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Посылки" sheetId="1" r:id="rId1"/>
    <sheet name="Заказы" sheetId="2" r:id="rId2"/>
  </sheets>
  <definedNames>
    <definedName name="STP17">'Посылки'!$M$268</definedName>
    <definedName name="_6862696">"$заказы.$#ссыл" "$#ССЫЛ!"</definedName>
    <definedName name="STP3">'Заказы'!$Q$197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395" authorId="0">
      <text>
        <r>
          <rPr>
            <sz val="9"/>
            <color indexed="9"/>
            <rFont val="Tahoma"/>
            <family val="2"/>
          </rPr>
          <t xml:space="preserve">указала цену со скидкой 30%
</t>
        </r>
      </text>
    </comment>
  </commentList>
</comments>
</file>

<file path=xl/sharedStrings.xml><?xml version="1.0" encoding="utf-8"?>
<sst xmlns="http://schemas.openxmlformats.org/spreadsheetml/2006/main" count="2399" uniqueCount="847">
  <si>
    <t>В консолидации, готовятся к отправке</t>
  </si>
  <si>
    <t>№44</t>
  </si>
  <si>
    <t>вес, фунты</t>
  </si>
  <si>
    <t>доставка</t>
  </si>
  <si>
    <t>в рублях</t>
  </si>
  <si>
    <t>Остаток</t>
  </si>
  <si>
    <t>внесено</t>
  </si>
  <si>
    <t>Долг (-) Сдача(+)</t>
  </si>
  <si>
    <t>ОПЛАТА доставки до РФ</t>
  </si>
  <si>
    <t>№43</t>
  </si>
  <si>
    <t>EE969238868US</t>
  </si>
  <si>
    <t>AE</t>
  </si>
  <si>
    <t>ON</t>
  </si>
  <si>
    <t>Malek</t>
  </si>
  <si>
    <t xml:space="preserve">Bidz </t>
  </si>
  <si>
    <t>Заказ 10</t>
  </si>
  <si>
    <t>В пути</t>
  </si>
  <si>
    <t>№42</t>
  </si>
  <si>
    <t>EE969221709US</t>
  </si>
  <si>
    <t>Заказ 7</t>
  </si>
  <si>
    <t>mismasc</t>
  </si>
  <si>
    <t>bidz</t>
  </si>
  <si>
    <t>Purr</t>
  </si>
  <si>
    <t>№39</t>
  </si>
  <si>
    <t>EE969154553US</t>
  </si>
  <si>
    <t>Заказ 2</t>
  </si>
  <si>
    <t>Заказ 6</t>
  </si>
  <si>
    <t>6pm easytone</t>
  </si>
  <si>
    <t>2/3</t>
  </si>
  <si>
    <t>3/3</t>
  </si>
  <si>
    <t>№38</t>
  </si>
  <si>
    <t>EE969121127US</t>
  </si>
  <si>
    <t>заказ 4</t>
  </si>
  <si>
    <t>Заказ 5</t>
  </si>
  <si>
    <t>Заказ 3</t>
  </si>
  <si>
    <t>1/3</t>
  </si>
  <si>
    <t>Раздача</t>
  </si>
  <si>
    <t>№41</t>
  </si>
  <si>
    <t>EE969221289US</t>
  </si>
  <si>
    <t>Заказ 8</t>
  </si>
  <si>
    <t>Заказ 9</t>
  </si>
  <si>
    <t>malek</t>
  </si>
  <si>
    <t>purr</t>
  </si>
  <si>
    <t>№40</t>
  </si>
  <si>
    <t>EE969162444US</t>
  </si>
  <si>
    <t>Заказ 11</t>
  </si>
  <si>
    <t>ksuksu</t>
  </si>
  <si>
    <t>6рм</t>
  </si>
  <si>
    <t>Girl-hope</t>
  </si>
  <si>
    <t>№37</t>
  </si>
  <si>
    <t>EE969076516US</t>
  </si>
  <si>
    <t>Заказ 1</t>
  </si>
  <si>
    <t>№36</t>
  </si>
  <si>
    <t>EE968940788US</t>
  </si>
  <si>
    <t>Gymboree</t>
  </si>
  <si>
    <t>Crazy8</t>
  </si>
  <si>
    <t>ebay ½</t>
  </si>
  <si>
    <t>Columbia 3/3</t>
  </si>
  <si>
    <t>из крейзи8, долг ювелирка</t>
  </si>
  <si>
    <t>№34</t>
  </si>
  <si>
    <t>EE968874973US</t>
  </si>
  <si>
    <t>вес</t>
  </si>
  <si>
    <t>в ае</t>
  </si>
  <si>
    <t>в табдице выше</t>
  </si>
  <si>
    <t>№35</t>
  </si>
  <si>
    <t>EE968914465US</t>
  </si>
  <si>
    <t>Ebags</t>
  </si>
  <si>
    <t>Columbia (1/3 и 2/3)</t>
  </si>
  <si>
    <t>№24 (Malek)</t>
  </si>
  <si>
    <t>EE968687689US</t>
  </si>
  <si>
    <t xml:space="preserve">GAP  </t>
  </si>
  <si>
    <t>Babymall (потеряшка)</t>
  </si>
  <si>
    <t>сдача ЧП лизамама</t>
  </si>
  <si>
    <t>Masha</t>
  </si>
  <si>
    <t>Архив</t>
  </si>
  <si>
    <t>№27</t>
  </si>
  <si>
    <t>EE968751841US</t>
  </si>
  <si>
    <t>Children's Place</t>
  </si>
  <si>
    <t>Bidz «заказ1»</t>
  </si>
  <si>
    <t>из 6рм</t>
  </si>
  <si>
    <t>Bidz «заказ6»</t>
  </si>
  <si>
    <t>№26 (ГАДКИЙ Я)</t>
  </si>
  <si>
    <t>EE968735676US</t>
  </si>
  <si>
    <t>Вторая (6pm)</t>
  </si>
  <si>
    <t>EE968726192US</t>
  </si>
  <si>
    <t>Гадкий Я</t>
  </si>
  <si>
    <t>1Z5V595W0320561696</t>
  </si>
  <si>
    <t>1Z5V595W0320593018</t>
  </si>
  <si>
    <t>1Z5V595W0321001664</t>
  </si>
  <si>
    <t>1Z5V595W0320774635</t>
  </si>
  <si>
    <t>KsuKsu</t>
  </si>
  <si>
    <t>EddieBauer</t>
  </si>
  <si>
    <t>№30</t>
  </si>
  <si>
    <t>EE968840303US</t>
  </si>
  <si>
    <t>Bidz «заказ7»</t>
  </si>
  <si>
    <t>Modnique «заказ5»</t>
  </si>
  <si>
    <t>Land's End</t>
  </si>
  <si>
    <t>тумаренчик</t>
  </si>
  <si>
    <t>Alyona*</t>
  </si>
  <si>
    <t>52vesna</t>
  </si>
  <si>
    <t>№32 (Sunnynat*)</t>
  </si>
  <si>
    <t>EE968850314US</t>
  </si>
  <si>
    <t>вторая Old Navy</t>
  </si>
  <si>
    <t>EE968852054US</t>
  </si>
  <si>
    <t>6pm Lisamama</t>
  </si>
  <si>
    <t>Old Navy Sunnynat*</t>
  </si>
  <si>
    <t>Piperlime Sunnynat*</t>
  </si>
  <si>
    <t>№33</t>
  </si>
  <si>
    <t>EE968854449US</t>
  </si>
  <si>
    <t>Bidz «заказ2»</t>
  </si>
  <si>
    <t>из крейзи8</t>
  </si>
  <si>
    <t>№31</t>
  </si>
  <si>
    <t>EE968840609US</t>
  </si>
  <si>
    <t>в 6рм</t>
  </si>
  <si>
    <t>№29</t>
  </si>
  <si>
    <t>EE968815697US</t>
  </si>
  <si>
    <t>Bidz «заказ4»</t>
  </si>
  <si>
    <t>aldo</t>
  </si>
  <si>
    <t>№28</t>
  </si>
  <si>
    <t>EE968813577US</t>
  </si>
  <si>
    <t>Bidz «заказ3»</t>
  </si>
  <si>
    <t>461096764216</t>
  </si>
  <si>
    <t>№25</t>
  </si>
  <si>
    <t>EE968722902US</t>
  </si>
  <si>
    <t>Семамама</t>
  </si>
  <si>
    <t>№23 (Sunnynat*)</t>
  </si>
  <si>
    <t>EE968649076US</t>
  </si>
  <si>
    <t>Swarovski</t>
  </si>
  <si>
    <t>amazon</t>
  </si>
  <si>
    <t>№22</t>
  </si>
  <si>
    <t>EE968642400US</t>
  </si>
  <si>
    <t xml:space="preserve">CP   </t>
  </si>
  <si>
    <t>6pm (распродажа 1я)</t>
  </si>
  <si>
    <t>№20</t>
  </si>
  <si>
    <t>EE968614298US</t>
  </si>
  <si>
    <t>№21</t>
  </si>
  <si>
    <t>EE968614222US</t>
  </si>
  <si>
    <t>№19</t>
  </si>
  <si>
    <t>GAP 20%</t>
  </si>
  <si>
    <t>-</t>
  </si>
  <si>
    <t>Sasha</t>
  </si>
  <si>
    <t>Ebay</t>
  </si>
  <si>
    <t>№18</t>
  </si>
  <si>
    <t>GAP Sunnynat*</t>
  </si>
  <si>
    <t>Arafelle</t>
  </si>
  <si>
    <t>shepplers</t>
  </si>
  <si>
    <t xml:space="preserve">Nataly_ </t>
  </si>
  <si>
    <t>Amazon</t>
  </si>
  <si>
    <t>Sachok</t>
  </si>
  <si>
    <t>Zappos</t>
  </si>
  <si>
    <t>№17</t>
  </si>
  <si>
    <t>ИлИ</t>
  </si>
  <si>
    <t>6pm</t>
  </si>
  <si>
    <t>ProBoardShop</t>
  </si>
  <si>
    <t>#16</t>
  </si>
  <si>
    <t>Сбор на аккуант</t>
  </si>
  <si>
    <t>BabyMall (1)</t>
  </si>
  <si>
    <t>Julial</t>
  </si>
  <si>
    <t>MJR Sales</t>
  </si>
  <si>
    <t>Rossomaxa</t>
  </si>
  <si>
    <t>перенесла в табличку выше</t>
  </si>
  <si>
    <t>#15</t>
  </si>
  <si>
    <t>BabyMall (2)</t>
  </si>
  <si>
    <t>Иностранка</t>
  </si>
  <si>
    <t>СветлаяЯ</t>
  </si>
  <si>
    <t>Malyga</t>
  </si>
  <si>
    <t>№ п/п</t>
  </si>
  <si>
    <t>Ссылка</t>
  </si>
  <si>
    <t>Артикул (если указан)</t>
  </si>
  <si>
    <t>Наименование (копируем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</si>
  <si>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</si>
  <si>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</si>
  <si>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</si>
  <si>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</si>
  <si>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</si>
  <si>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</si>
  <si>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</si>
  <si>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</si>
  <si>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http://www.proboardshop.com/sa1grw04wg8zz-salomon-bindings.html</t>
  </si>
  <si>
    <t>крепления</t>
  </si>
  <si>
    <t xml:space="preserve">White/Blue </t>
  </si>
  <si>
    <t>S/M(4.5-10)</t>
  </si>
  <si>
    <t>http://www.proboardshop.com/tr3wi01fbs9zz-trespass-snowboard-jackets.html</t>
  </si>
  <si>
    <t>куртка</t>
  </si>
  <si>
    <t>черн</t>
  </si>
  <si>
    <t>м</t>
  </si>
  <si>
    <t> </t>
  </si>
  <si>
    <t>http://www.proboardshop.com/bt8rbmo10zz-burton-beanies.html</t>
  </si>
  <si>
    <t>шапка</t>
  </si>
  <si>
    <t>Mocha</t>
  </si>
  <si>
    <t>нет</t>
  </si>
  <si>
    <t>оплата</t>
  </si>
  <si>
    <t>долг (-) / сдача (+)</t>
  </si>
  <si>
    <t>Ино$транка</t>
  </si>
  <si>
    <t>http://www.landsend.com/pp/BeltedDoryCoat~211559_59.html?bcc=y&amp;action=order_more&amp;sku_0=::AI7&amp;CM_MERCH=IDX_00002__0000000142&amp;origin=index</t>
  </si>
  <si>
    <t>Women's Regular Belted Dory™ Coat</t>
  </si>
  <si>
    <t>black</t>
  </si>
  <si>
    <t>xl</t>
  </si>
  <si>
    <t>http://www.landsend.com/pp/StylePage-394641_A5.html?CM_MERCH=REC-_-FPPP-_-GGT-_-1-_-394641-_-396509</t>
  </si>
  <si>
    <t>Women's Regular Lightweight Down Coat</t>
  </si>
  <si>
    <t>m</t>
  </si>
  <si>
    <t>http://www.landsend.com/pp/StylePage-359582_3A.html?CM_MERCH=REC-_-LIPP-_-GGT-_-1-_-359582-_-http</t>
  </si>
  <si>
    <t>Women's Medium Trekker Shoes</t>
  </si>
  <si>
    <t>9</t>
  </si>
  <si>
    <t>malyga</t>
  </si>
  <si>
    <t>Charles David: Patisse</t>
  </si>
  <si>
    <t>pewter</t>
  </si>
  <si>
    <t>8,5</t>
  </si>
  <si>
    <t xml:space="preserve">СветлаяЯ   </t>
  </si>
  <si>
    <t>http://www.6pm.com/asics-gt-2140-lightning-onyx-electric-blue</t>
  </si>
  <si>
    <t xml:space="preserve">ASICS GT-2140® </t>
  </si>
  <si>
    <t>с синим</t>
  </si>
  <si>
    <t>15, 4E Extra Wide</t>
  </si>
  <si>
    <t>ROSSOMAXA</t>
  </si>
  <si>
    <t>http://www.landsend.com/pp/GirlsKnitSkort~206436_5.html?bcc=y&amp;action=order_more&amp;sku_0=::CPL&amp;CM_MERCH=IDX_00008#BVRRWidgetID</t>
  </si>
  <si>
    <t>Toddler Girls' Knit Skort</t>
  </si>
  <si>
    <t>Dark Chocolate Plaid</t>
  </si>
  <si>
    <t>3 Т</t>
  </si>
  <si>
    <t xml:space="preserve"> Charcoal Heather Plaid</t>
  </si>
  <si>
    <t>4 Т</t>
  </si>
  <si>
    <t>http://www.landsend.com/pp/KidsFleeceFullzipJacket~207114_5.html?bcc=y&amp;action=order_more&amp;sku_0=::IVO&amp;CM_MERCH=IDX_00008&amp;origin=index</t>
  </si>
  <si>
    <t>Toddler Kids' Sport ThermaCheck® 300 Fleece Full-zip Jacket</t>
  </si>
  <si>
    <t xml:space="preserve"> Black</t>
  </si>
  <si>
    <t>3T</t>
  </si>
  <si>
    <t>http://www.landsend.com/pp/StylePage-48795_6H.html?CM_MERCH=REC-_-LIPP-_-GGT-_-1-_-48795-_-http</t>
  </si>
  <si>
    <t>Women's ThermaCheck® Fleece Roll Brim Hat</t>
  </si>
  <si>
    <t>Persian Blue</t>
  </si>
  <si>
    <t>SM</t>
  </si>
  <si>
    <t>http://www.landsend.com/pp/ThermaCheck100FleeceBalaclava~214117_-1.html?bcc=y&amp;action=order_more&amp;sku_0=::CHH&amp;CM_MERCH=IDX_00008__0000000338</t>
  </si>
  <si>
    <t>Kids' ThermaCheck® 100 Fleece Balaclava</t>
  </si>
  <si>
    <t xml:space="preserve"> Charcoal Heather</t>
  </si>
  <si>
    <t>S</t>
  </si>
  <si>
    <t>Women Regular Modern Solid Cap Sleeve Stretch Two Pocket Mesh Polo</t>
  </si>
  <si>
    <t>Turquoise Blue</t>
  </si>
  <si>
    <t>взяла на лэндс энд</t>
  </si>
  <si>
    <t>http://www.zappos.com/product/7620092/color/244187</t>
  </si>
  <si>
    <t>SKU: #7620092</t>
  </si>
  <si>
    <t>Burton Emphasis Pack</t>
  </si>
  <si>
    <t>True black 3</t>
  </si>
  <si>
    <t>http://www.zappos.com/oakley-groovin-track-jacket-white</t>
  </si>
  <si>
    <t>SKU: #7598140</t>
  </si>
  <si>
    <t>Oakley Groovin' Track Jacket</t>
  </si>
  <si>
    <t>White</t>
  </si>
  <si>
    <t>xs</t>
  </si>
  <si>
    <t>http://www.6pm.com/petit-61839-toddler-youth-pearlized-bone-leather</t>
  </si>
  <si>
    <t>SKU #7396330</t>
  </si>
  <si>
    <t>Petit 61839 (Toddler/Youth)</t>
  </si>
  <si>
    <t>pearlized Bone</t>
  </si>
  <si>
    <t>32 (US 1 Youth)</t>
  </si>
  <si>
    <t>http://www.6pm.com/umi-kids-opera-toddler-youth-black</t>
  </si>
  <si>
    <r>
      <t>SKU:</t>
    </r>
    <r>
      <rPr>
        <sz val="8"/>
        <color indexed="63"/>
        <rFont val="Verdana"/>
        <family val="2"/>
      </rPr>
      <t> #7550383</t>
    </r>
  </si>
  <si>
    <t>Umi Kids Opera (Toddler/Youth)</t>
  </si>
  <si>
    <t> 33 (US 1.5 Youth)</t>
  </si>
  <si>
    <t>http://www.6pm.com/timberland-kids-hypertrail-route-racer-youth-1-navy-grey</t>
  </si>
  <si>
    <r>
      <t>SKU:</t>
    </r>
    <r>
      <rPr>
        <sz val="8"/>
        <color indexed="63"/>
        <rFont val="Verdana"/>
        <family val="2"/>
      </rPr>
      <t> #7618529</t>
    </r>
  </si>
  <si>
    <t>Timberland Kids Hypertrail Route Racer (Youth 1)</t>
  </si>
  <si>
    <t> Navy/Grey</t>
  </si>
  <si>
    <t>1.5 Youth</t>
  </si>
  <si>
    <t>http://www.6pm.com/born-kids-joelle-youth-bronze-metallic</t>
  </si>
  <si>
    <t>Born Kids Joelle (Youth)</t>
  </si>
  <si>
    <t>Bronze Metallic</t>
  </si>
  <si>
    <t>http://www.amazon.com/Philips-DC315-37-Speaker-System/dp/B002IT1BFO/ref=sr_1_4?s=electronics&amp;ie=UTF8&amp;qid=1284616048&amp;sr=1-4</t>
  </si>
  <si>
    <t xml:space="preserve">Philips DC315/37 Speaker System </t>
  </si>
  <si>
    <t xml:space="preserve">Arafelle </t>
  </si>
  <si>
    <t>Shepplers</t>
  </si>
  <si>
    <t>http://www.sheplers.com/list/womens_dingo_boots/045f89.html</t>
  </si>
  <si>
    <t>045F89</t>
  </si>
  <si>
    <t>Dingo Harness Slouch Fashion Boots</t>
  </si>
  <si>
    <t>89 BLACK</t>
  </si>
  <si>
    <t>06 M</t>
  </si>
  <si>
    <t>http://www.sheplers.com/womens/womens_tops_29/658411.html</t>
  </si>
  <si>
    <t>Resistol Embroidered Tunic Top</t>
  </si>
  <si>
    <t>http://www.sheplers.com/mens/suits_and_sportcoats/072873.html#</t>
  </si>
  <si>
    <t>Item # 072873</t>
  </si>
  <si>
    <t>Circle S Sport Coat - Short, Reg, Tall</t>
  </si>
  <si>
    <t>33 Camel</t>
  </si>
  <si>
    <t>40 R</t>
  </si>
  <si>
    <t xml:space="preserve">Крошка Мю </t>
  </si>
  <si>
    <t xml:space="preserve">cgi.ebay.com/MANTLE-CLOCK-IT...h=item19bf8f50b </t>
  </si>
  <si>
    <t>Tolstish</t>
  </si>
  <si>
    <t>http://cgi.ebay.com/ws/eBayISAPI.dll?ViewItem&amp;item=320594273724&amp;ssPageName=STRK:MEWNX:IT</t>
  </si>
  <si>
    <t>жилет</t>
  </si>
  <si>
    <t>Iris</t>
  </si>
  <si>
    <t>M</t>
  </si>
  <si>
    <t>Herb Green</t>
  </si>
  <si>
    <t>S petites</t>
  </si>
  <si>
    <t>http://www.amazon.com/Navy-Scoop-Sweater-Dress-Medium/dp/B0041NMGPY/ref=sr_1_13?ie=UTF8&amp;s=apparel&amp;qid=1285590115&amp;sr=1-13</t>
  </si>
  <si>
    <t>Navy Blue Scoop Neck Sweater Dress Size Medium</t>
  </si>
  <si>
    <t xml:space="preserve">chirsi </t>
  </si>
  <si>
    <t>http://www.6pm.com/diba-dis-n-dat-tan</t>
  </si>
  <si>
    <t>SKU #7579425</t>
  </si>
  <si>
    <t>Diba Dis N Dat</t>
  </si>
  <si>
    <t>Tan</t>
  </si>
  <si>
    <t>8</t>
  </si>
  <si>
    <t xml:space="preserve">Alyona* </t>
  </si>
  <si>
    <t>http://cgi.ebay.com/ws/eBayISAPI.dll?ViewItem&amp;item=170544802267&amp;ssPageName=STRK:MEWAX:IT</t>
  </si>
  <si>
    <t>http://cgi.ebay.com/ws/eBayISAPI.dll?ViewItem&amp;item=170545792987&amp;var=470008670629&amp;ssPageName=STRK:MEWAX:IT</t>
  </si>
  <si>
    <t>dkrg</t>
  </si>
  <si>
    <t>http://www.6pm.com/product/7695850/color/275</t>
  </si>
  <si>
    <t>EMU Wool Avoca</t>
  </si>
  <si>
    <t>charcoal</t>
  </si>
  <si>
    <t>http://www.landsend.com/pp/StylePage-383033_6H.html?CM_MERCH=REC-_-LIPP-_-GGT-_-2-_-383033-_-257715</t>
  </si>
  <si>
    <t>Toddler Girls' Sport Squall Jacket</t>
  </si>
  <si>
    <t>Park Green</t>
  </si>
  <si>
    <t>2Т</t>
  </si>
  <si>
    <t>http://www.landsend.com/pp/KneeSquallBibPants~207021_5.html?bcc=y&amp;action=order_more&amp;sku_0=::CLN&amp;CM_MERCH=IDX_00008&amp;origin=index</t>
  </si>
  <si>
    <t>Toddler Reinforced Knee Squall Bib Pants</t>
  </si>
  <si>
    <t>Black</t>
  </si>
  <si>
    <t>2T</t>
  </si>
  <si>
    <t>http://www.landsend.com/pp/ThermaCheck100FleeceBalaclava~214117_-1.html?bcc=y&amp;action=order_more&amp;sku_0=::BLA&amp;CM_MERCH=IDX_00008&amp;origin=index</t>
  </si>
  <si>
    <t>Katrin13</t>
  </si>
  <si>
    <t>http://www.landsend.com/pp/DownJacket~212890_1187.html?bcc=y&amp;action=order_more&amp;sku_0=::LOA&amp;CM_MERCH=IDX_00004__0000000427&amp;origin=index</t>
  </si>
  <si>
    <t>Item # 39204-4ADX</t>
  </si>
  <si>
    <t>Girls' Down Jacket</t>
  </si>
  <si>
    <t>Loganberry</t>
  </si>
  <si>
    <t>L</t>
  </si>
  <si>
    <t>DiAnna</t>
  </si>
  <si>
    <t>М</t>
  </si>
  <si>
    <t>JuliaSad</t>
  </si>
  <si>
    <t>GAP</t>
  </si>
  <si>
    <t>http://oldnavy.gap.com/browse/product.do?cid=26195&amp;vid=1&amp;pid=792317</t>
  </si>
  <si>
    <t>Women's Cowl-Neck Tunic Sweaters</t>
  </si>
  <si>
    <t>Graphite</t>
  </si>
  <si>
    <t>http://oldnavy.gap.com/browse/product.do?cid=26196&amp;vid=1&amp;pid=772825</t>
  </si>
  <si>
    <t>Women's Hoodies with Faux-Fur Lining</t>
  </si>
  <si>
    <t>Carbon</t>
  </si>
  <si>
    <t>http://oldnavy.gap.com/browse/product.do?cid=41960&amp;vid=1&amp;pid=774548</t>
  </si>
  <si>
    <t>Women's Printed Flip-Flops</t>
  </si>
  <si>
    <t>Peacock Blue</t>
  </si>
  <si>
    <t>10</t>
  </si>
  <si>
    <t>http://oldnavy.gap.com/browse/product.do?cid=41978&amp;vid=1&amp;pid=699061</t>
  </si>
  <si>
    <t>Women's Printed Chenille Mary-Jane Slippers</t>
  </si>
  <si>
    <t>Black Stripe</t>
  </si>
  <si>
    <t>http://www.gap.com/browse/product.do?cid=26217&amp;vid=1&amp;pid=764400</t>
  </si>
  <si>
    <t>Black cat long sleep set</t>
  </si>
  <si>
    <t>true black</t>
  </si>
  <si>
    <t>5 YRS</t>
  </si>
  <si>
    <t xml:space="preserve"> Тайота</t>
  </si>
  <si>
    <t>http://www.amazon.com/Thomas-Friends-Easy-Go/dp/B002SNA5I4/ref=sr_1_238?s=STORE&amp;ie=UTF8&amp;qid=1285919727&amp;sr=1-238</t>
  </si>
  <si>
    <r>
      <t>номер модели:</t>
    </r>
    <r>
      <rPr>
        <sz val="10"/>
        <color indexed="8"/>
        <rFont val="Verdana"/>
        <family val="2"/>
      </rPr>
      <t xml:space="preserve"> R9638</t>
    </r>
  </si>
  <si>
    <t>Thomas &amp; Friends: Easy Go R/C Thomas</t>
  </si>
  <si>
    <t>непара</t>
  </si>
  <si>
    <t>http://www.6pm.com/roxy-kids-fast-track-boot-toddler-youth-winter-black-plaid</t>
  </si>
  <si>
    <t>SKU #7559296</t>
  </si>
  <si>
    <t>Roxy Kids Fast Track Boot (Toddler/Youth)</t>
  </si>
  <si>
    <t>winter black</t>
  </si>
  <si>
    <t>3</t>
  </si>
  <si>
    <t>http://www.6pm.com/volatile-chummy-brown</t>
  </si>
  <si>
    <t>SKU #7599252</t>
  </si>
  <si>
    <t>VOLATILE Chummy</t>
  </si>
  <si>
    <t>neutral</t>
  </si>
  <si>
    <t>7,5</t>
  </si>
  <si>
    <t>margshel</t>
  </si>
  <si>
    <t xml:space="preserve">http://www.6pm.com/calvin-klein-kaden-white-re-color-satin </t>
  </si>
  <si>
    <t>SKU #7650642</t>
  </si>
  <si>
    <t>Kaden</t>
  </si>
  <si>
    <t>white re-color satin</t>
  </si>
  <si>
    <t>6</t>
  </si>
  <si>
    <t>Anney-M</t>
  </si>
  <si>
    <t>http://www.amazon.com/BLOCH-Womens-Fusion-Dance-Sneaker/dp/B001U5Z9BO/ref=sr_1_309?s=shoes&amp;ie=UTF8&amp;qid=1286128792&amp;sr=1-309</t>
  </si>
  <si>
    <t>B001U5U09U</t>
  </si>
  <si>
    <t>Women's "Fusion" Dance Sneaker</t>
  </si>
  <si>
    <t>http://cgi.ebay.com/NWT-Flower-Girl-Holiday-Pageant-Dress-Gown-Purple-4-5-/160487324847?pt=US_Childrens_Clothing_Girls&amp;hash=item255dca3caf</t>
  </si>
  <si>
    <t>eiskhakov</t>
  </si>
  <si>
    <t>http://www.6pm.com/gabriella-rocha-bree-2-grey-leather</t>
  </si>
  <si>
    <t>Gabriella Rocha Bree 2</t>
  </si>
  <si>
    <t>grey leather</t>
  </si>
  <si>
    <t>http://www.6pm.com/gabriella-rocha-winter-hit-wide-calf-olive</t>
  </si>
  <si>
    <t>Gabriella Rocha Winter Hit Wide Calf SKU #7479055</t>
  </si>
  <si>
    <t>purple suede</t>
  </si>
  <si>
    <t>http://www.6pm.com/nike-kids-little-celso-toddler-dark-grey-white-black-stealth</t>
  </si>
  <si>
    <t>Nike Kids Little Celso (Toddler</t>
  </si>
  <si>
    <t>dark grey/white/blak/stea</t>
  </si>
  <si>
    <t>7</t>
  </si>
  <si>
    <t>http://www.6pm.com/k-swiss-kids-albury-ii-core-infant-toddler-white-platinum</t>
  </si>
  <si>
    <t>K-Swiss Kids Albury® II Core (Infant/Toddler) SKU #7575796</t>
  </si>
  <si>
    <t>white-platinum</t>
  </si>
  <si>
    <t>http://www.6pm.com/columbia-kids-skimmer-infant-toddler-windsor-boa</t>
  </si>
  <si>
    <t>Columbia Kids Skimmer® (Infant/Toddler) SKU #7597452</t>
  </si>
  <si>
    <t>windsor-boa</t>
  </si>
  <si>
    <t>Малышен</t>
  </si>
  <si>
    <t>http://cgi.ebay.com/calvin-klein-lean-boot-cut-dark-wash-jeans-womens-/230532522287?pt=US_CSA_WC_Jeans&amp;hash=item35accf212f</t>
  </si>
  <si>
    <t>abramova134</t>
  </si>
  <si>
    <t>http://www.6pm.com/emu-wool-bronte-lo-black</t>
  </si>
  <si>
    <t xml:space="preserve">EMU Wool Bronte Lo </t>
  </si>
  <si>
    <t xml:space="preserve"> 7 и 8</t>
  </si>
  <si>
    <t>Cabela's</t>
  </si>
  <si>
    <t>http://cabelas.com/cabelas/en/templates/links/link.jsp?type=product&amp;cmCat=Related_IPL_830535&amp;id=0050812830952a</t>
  </si>
  <si>
    <t>Item:IK-830952</t>
  </si>
  <si>
    <t>Cabela's Avalanche 400-Gram Winter Boots</t>
  </si>
  <si>
    <t>Brown</t>
  </si>
  <si>
    <t>10,5</t>
  </si>
  <si>
    <t>Катюх</t>
  </si>
  <si>
    <t>http://www.cabelas.com/catalog/product.jsp?productId=753556&amp;categoryId=0&amp;parentCategoryId=0&amp;subCategoryId=0&amp;indexId=0&amp;productVariantId=1752961&amp;quantity=5&amp;itemGUID=a501671bac107056205d4a6579055a47</t>
  </si>
  <si>
    <r>
      <t>Item:</t>
    </r>
    <r>
      <rPr>
        <sz val="10"/>
        <color indexed="63"/>
        <rFont val="Inherit"/>
        <family val="0"/>
      </rPr>
      <t xml:space="preserve"> IK-813431</t>
    </r>
  </si>
  <si>
    <t>The North Face® Chilkats Boots</t>
  </si>
  <si>
    <t>BROWN</t>
  </si>
  <si>
    <t>Rusenika</t>
  </si>
  <si>
    <t>http://www.amazon.com/Microplane-Professional-Series-Large-Shaver/dp/B0000CFF1U/ref=sr_1_18?s=home-garden&amp;ie=UTF8&amp;qid=1286283477&amp;sr=1-18</t>
  </si>
  <si>
    <t>http://www.amazon.com/Microplane-Professional-Series-Grater-Attachment/dp/B000P1SAEM/ref=pd_bxgy_k_img_c</t>
  </si>
  <si>
    <t>http://www.amazon.com/Microplane-Professional-Patented-Design-Coarse/dp/B00009WE3Y/ref=pd_bxgy_k_img_c</t>
  </si>
  <si>
    <t>http://www.amazon.com/Fiskars-95217097-45-Rotary-Cutter/dp/B000B7M8WU/ref=sr_1_6?s=home-garden&amp;ie=UTF8&amp;qid=1286954770&amp;sr=1-6</t>
  </si>
  <si>
    <t>http://www.amazon.com/Fiskars-95287097-Rotary-Staight-5-Pack/dp/B000B7MUFK/ref=sr_1_3?s=home-garden&amp;ie=UTF8&amp;qid=1286954770&amp;sr=1-3</t>
  </si>
  <si>
    <t>http://www.amazon.com/Self-Healing-Green-Cutting-inches/dp/B0025189VE/ref=sr_1_8?s=home-garden&amp;ie=UTF8&amp;qid=1287380434&amp;sr=1-8</t>
  </si>
  <si>
    <t>http://www.amazon.com/Razzberry-Parfait-Stick-Rotary-Cutter/dp/B003USTYII/ref=sr_1_13?s=home-garden&amp;ie=UTF8&amp;qid=1286956156&amp;sr=1-13</t>
  </si>
  <si>
    <t>Mr.Pyh</t>
  </si>
  <si>
    <t>http://www.amazon.com/gp/product/B002MAB3O8/ref=ord_cart_shr?ie=UTF8&amp;m=A1A5WKXZLE8CDR</t>
  </si>
  <si>
    <t>Schick Protector Refill 10 Pack</t>
  </si>
  <si>
    <t>http://www.amazon.com/gp/product/B001JP8T9Y/ref=ord_cart_shr?ie=UTF8&amp;m=A1QGIDACEIIO9M</t>
  </si>
  <si>
    <t>USB Data Cable + USB Car Charger + USB Home Charger + Black Rubber Silicone Skin Case + Elastic Armband + Clear Reusable LCD Screen Protector + White 3.5mm Stereo Headset for Apple Ipod Touch Itouch 8GB 16GB 32GB 2G 2nd Generation</t>
  </si>
  <si>
    <t>http://www.amazon.com/gp/product/B000VDZ9TS/ref=ord_cart_shr?ie=UTF8&amp;m=ATVPDKIKX0DER</t>
  </si>
  <si>
    <t>Kenneth Cole REACTION Men's Brown Out 1-1/2" Leather Reversible Belt</t>
  </si>
  <si>
    <t>38"</t>
  </si>
  <si>
    <t>Brown Pink Corduroy Jacket Coat Hat Boutique 18-24 M</t>
  </si>
  <si>
    <t>NWT Brown Pink Polka Dot Corduroy Coat Hat Boutique 6/7</t>
  </si>
  <si>
    <t xml:space="preserve">Carters 18 months Romper boys NWT </t>
  </si>
  <si>
    <t>Nuby 4pk Snack Cup and Spoon Set</t>
  </si>
  <si>
    <t>Nuby 6pk Nuby Bowls Lids</t>
  </si>
  <si>
    <t>Kindle</t>
  </si>
  <si>
    <t>Kindle Leather Cover</t>
  </si>
  <si>
    <t>green, red</t>
  </si>
  <si>
    <t>myakisch</t>
  </si>
  <si>
    <t>http://cgi.ebay.com/Wacom-Tech-Corp-Intuos4-Cintiq21-Airbrush-Pen-/200490935005?pt=LH_DefaultDomain_0&amp;hash=item2eae30e2dd</t>
  </si>
  <si>
    <t>Wacom Tech Corp. Intuos4/Cintiq21 Airbrush Pen</t>
  </si>
  <si>
    <t>http://cgi.ebay.com/Wacom-INTUOS4-CINTIQ21-DTK2100-Art-Pen-KP701E2-/290488978643?pt=LH_DefaultDomain_0&amp;hash=item43a27e0cd3</t>
  </si>
  <si>
    <t>WACOM KP701E2 Intuos4/Cintiq21 Art Pen KP701E2</t>
  </si>
  <si>
    <t>http://cgi.ebay.com/Wacom-Cintiq-Tablet-PC-Art-Glove-no-friction-smudges-/230538524587?pt=LH_DefaultDomain_0&amp;hash=item35ad2ab7ab</t>
  </si>
  <si>
    <t>Wacom Cintiq Tablet PC Art Glove -no friction &amp; smudges</t>
  </si>
  <si>
    <t>BelaDonna</t>
  </si>
  <si>
    <t>Наименование (скопировать с сайта)</t>
  </si>
  <si>
    <t>http://www.6pm.com/spiewak-cooper-jacket-black</t>
  </si>
  <si>
    <t>SKU #7565843</t>
  </si>
  <si>
    <t xml:space="preserve">Spiewak Cooper Jacket </t>
  </si>
  <si>
    <t>Frost Grey</t>
  </si>
  <si>
    <t>MD</t>
  </si>
  <si>
    <t>agny</t>
  </si>
  <si>
    <t>http://www.6pm.com/trotters-hanna-mocha-luxor</t>
  </si>
  <si>
    <t>SKU #7574219</t>
  </si>
  <si>
    <t xml:space="preserve">у нади </t>
  </si>
  <si>
    <t>mocha  luxor</t>
  </si>
  <si>
    <t>http://www.6pm.com/trotters-diana-black-leather</t>
  </si>
  <si>
    <t>SKU #7346051</t>
  </si>
  <si>
    <t>Trotters Diana</t>
  </si>
  <si>
    <t>ebags</t>
  </si>
  <si>
    <t>http://www.ebags.com/product/etienne-aigner/veldon-core-crossbody/144444?productid=10004290</t>
  </si>
  <si>
    <t>Etienne Aigner Veldon Core Crossbody</t>
  </si>
  <si>
    <t>Maple</t>
  </si>
  <si>
    <t>TatianaFadeeva</t>
  </si>
  <si>
    <t>http://www.6pm.com/nine-west-jiopa-black-satin</t>
  </si>
  <si>
    <t>SKU #7470951</t>
  </si>
  <si>
    <t>Nine West Jiopa</t>
  </si>
  <si>
    <t>Black Satin</t>
  </si>
  <si>
    <t>http://www.6pm.com/bass-dobson-tan-burnished-leather</t>
  </si>
  <si>
    <t>SKU #7738841</t>
  </si>
  <si>
    <t>Bass Dobson</t>
  </si>
  <si>
    <t>Tan Burnished Leather</t>
  </si>
  <si>
    <t>http://www.6pm.com/kangaroos-magnolia-black-s-pink-2440</t>
  </si>
  <si>
    <t>SKU #7376240</t>
  </si>
  <si>
    <t>KangaROOS Magnolia</t>
  </si>
  <si>
    <t>Black/S.Pink-2440</t>
  </si>
  <si>
    <t>http://www.6pm.com/kangaroos-nc-42-leather-white-heather-jet-black</t>
  </si>
  <si>
    <t>SKU #7715866</t>
  </si>
  <si>
    <t>KangaROOS NC 42 Leather</t>
  </si>
  <si>
    <t>http://www.6pm.com/enzo-angiolini-quertze-brown-natural-leather-canvas</t>
  </si>
  <si>
    <t>SKU #7688462</t>
  </si>
  <si>
    <t xml:space="preserve">Enzo Angiolini Quertze </t>
  </si>
  <si>
    <t xml:space="preserve">http://www.6pm.com/kangaroos-nc-42-leather-white-heather-jet-black </t>
  </si>
  <si>
    <t>White/Heather/Jet Black</t>
  </si>
  <si>
    <t xml:space="preserve">http://www.6pm.com/chinese-laundry-nixon-black </t>
  </si>
  <si>
    <t>SKU #7694346</t>
  </si>
  <si>
    <t>Chinese Laundry Nixon</t>
  </si>
  <si>
    <t>Plum Suede</t>
  </si>
  <si>
    <t>Airis80</t>
  </si>
  <si>
    <t>http://www.amazon.com/Reebok-Easytone-Outside-II-Walking/dp/B0031RGZ30/ref=sr_1_1?m=A2VSS4DN1MTZ61&amp;s=shoes&amp;ie=UTF8&amp;qid=1288085546&amp;sr=1-1&amp;searchContext=B0031RGZ30,B002R0EJVW,B003BQLJI2,B001SN89Q0,B001SN8DJI,B0031RGRQK,B001GMAPZ6,B00347A69G,B001XTWGIG,B00377ISTS,B001OW6TXA,B001SN8AYG,B002DZ9EK2,B003GDJNGK,B00377GVR4,B002R0EIUO,B002WJI0MC,B002SB8X1W,B002FL57FA,B002AQPESU,B003BZ95YS,B001SN8BOA,B002UD4UY2,B00394DMA4</t>
  </si>
  <si>
    <t>Reebok Women's Easytone Go Outside II Walking Shoe</t>
  </si>
  <si>
    <t>черный</t>
  </si>
  <si>
    <t>velen</t>
  </si>
  <si>
    <t>http://www.6pm.com/frye-ada-pleats-peep-cognac-antique-brush-off</t>
  </si>
  <si>
    <t>SKU #7498442</t>
  </si>
  <si>
    <t>Frye Ada Pleats Peep</t>
  </si>
  <si>
    <t>cognac-antique-brush-off</t>
  </si>
  <si>
    <t>http://www.6pm.com/tsubo-erebus-mid-brown-dirty-lime-nappa</t>
  </si>
  <si>
    <t>SKU #7603554</t>
  </si>
  <si>
    <t>Tsubo Erebus</t>
  </si>
  <si>
    <t>mid-brown-dirty-lime-nappa</t>
  </si>
  <si>
    <t>Тумаренчик</t>
  </si>
  <si>
    <t>http://www.6pm.com/la-canadienne-agatha-dark-brown</t>
  </si>
  <si>
    <t xml:space="preserve"> #7622675</t>
  </si>
  <si>
    <t>La Canadienne Agatha</t>
  </si>
  <si>
    <t>dark brown</t>
  </si>
  <si>
    <t xml:space="preserve">http://www.6pm.com/adidas-originals-ciero-mid-black-black-collegiate-red </t>
  </si>
  <si>
    <t>SKU #7413303</t>
  </si>
  <si>
    <t>adidas Originals Ciero Mid</t>
  </si>
  <si>
    <t>Black/Black/Collegiate Red</t>
  </si>
  <si>
    <t xml:space="preserve">http://www.6pm.com/product/7525601/color/236909 </t>
  </si>
  <si>
    <t>SKU #7525601</t>
  </si>
  <si>
    <t xml:space="preserve">Nike Sweet Classic High </t>
  </si>
  <si>
    <t xml:space="preserve">Black/Khaki-White </t>
  </si>
  <si>
    <t xml:space="preserve">http://www.6pm.com/reebok-lifestyle-ex-o-fit-plus-hi-stripes-sd-black-white-team-dark-royal-brass </t>
  </si>
  <si>
    <t>SKU #7599124</t>
  </si>
  <si>
    <t>Reebok Lifestyle Ex-O-Fit Plus Hi Stripes SD</t>
  </si>
  <si>
    <t>Black/White/Team Dark Royal/Brass</t>
  </si>
  <si>
    <t>Luna-Lena</t>
  </si>
  <si>
    <t>http://www.amazon.com/Columbia-Sportswear-Titanium-Omni-Tech-Insulated/dp/B001C4IVOK/ref=pd_sim_sg_1</t>
  </si>
  <si>
    <t>Columbia Sportswear Men's Titanium Bugaboot Xtm Omni-Tech Insulated Winter Boot</t>
  </si>
  <si>
    <t>Black/Light Grey</t>
  </si>
  <si>
    <t>11 D(M) US</t>
  </si>
  <si>
    <t>columbia</t>
  </si>
  <si>
    <t>Winter White/Light Grey</t>
  </si>
  <si>
    <t>8.5 B(M) US</t>
  </si>
  <si>
    <t>makushka</t>
  </si>
  <si>
    <t>aA</t>
  </si>
  <si>
    <t>http://www.ebags.com/product/tignanello/perfect-body-eastwest-cross-body-organizer/100814?productid=1266542</t>
  </si>
  <si>
    <t>http://www.landsend.com/pp/ChevronDownCoat~212608_59.html?bcc=y&amp;action=order_more&amp;sku_0=::AUB&amp;CM_MERCH=IDX_00002__0000000158&amp;origin=index#BVRRWidgetID</t>
  </si>
  <si>
    <t>39467-9A77</t>
  </si>
  <si>
    <t>Women's Regular Chevron Down Coat</t>
  </si>
  <si>
    <t>Dark Sapphire</t>
  </si>
  <si>
    <t>gymboee</t>
  </si>
  <si>
    <t>http://www.gymboree.com/shop/dept_item.jsp?PRODUCT%3C%3Eprd_id=845524445994614&amp;FOLDER%3C%3Efolder_id=2534374305284917&amp;ASSORTMENT%3C%3East_id=1408474395917465&amp;bmUID=1288360557129&amp;productSizeSelected=0&amp;fit_type=</t>
  </si>
  <si>
    <t>Ribbon Bow Velveteen Pant</t>
  </si>
  <si>
    <t>Chocolate Brown</t>
  </si>
  <si>
    <t>12-18</t>
  </si>
  <si>
    <t>http://www.gymboree.com/shop/dept_item.jsp?PRODUCT%3C%3Eprd_id=845524445994379&amp;FOLDER%3C%3Efolder_id=2534374305284919&amp;ASSORTMENT%3C%3East_id=1408474395917465&amp;bmUID=1288360557132&amp;productSizeSelected=0&amp;fit_type=</t>
  </si>
  <si>
    <t>Lamb Corduroy Jumper</t>
  </si>
  <si>
    <t>Orchid Bloom</t>
  </si>
  <si>
    <t>18-24</t>
  </si>
  <si>
    <t>http://www.gymboree.com/shop/dept_item.jsp?PRODUCT%3C%3Eprd_id=845524445994682&amp;FOLDER%3C%3Efolder_id=2534374305284919&amp;ASSORTMENT%3C%3East_id=1408474395917465&amp;bmUID=1288360557136&amp;productSizeSelected=0&amp;fit_type=</t>
  </si>
  <si>
    <t>Teddy Bear Floral Two-Piece Set</t>
  </si>
  <si>
    <t>Pink Blush</t>
  </si>
  <si>
    <t>http://www.gymboree.com/shop/dept_item.jsp?PRODUCT%3C%3Eprd_id=845524445994464&amp;FOLDER%3C%3Efolder_id=2534374305284917&amp;ASSORTMENT%3C%3East_id=1408474395917465&amp;bmUID=1288463121689&amp;productSizeSelected=0&amp;fit_type=</t>
  </si>
  <si>
    <t>Legging</t>
  </si>
  <si>
    <t>http://www.gymboree.com/shop/dept_item.jsp?PRODUCT%3C%3Eprd_id=845524445992215&amp;FOLDER%3C%3Efolder_id=2534374306255746&amp;ASSORTMENT%3C%3East_id=1408474395917465&amp;bmUID=1288364541789&amp;productSizeSelected=0&amp;fit_type=</t>
  </si>
  <si>
    <t>Monkey Ballerina Tee</t>
  </si>
  <si>
    <t>Ivory</t>
  </si>
  <si>
    <t>y@rink@</t>
  </si>
  <si>
    <t>ссылка</t>
  </si>
  <si>
    <t>http://www.amazon.com/Vanilla-Fields-Coty-Women-Cologne/dp/B002Z7FUKG/ref=sr_1_1?ie=UTF8&amp;s=beauty&amp;qid=1288555480&amp;sr=1-1</t>
  </si>
  <si>
    <t>Vanilla Fields by Coty for Women 1.7 oz Cologne</t>
  </si>
  <si>
    <t>http://www.amazon.com/Exclamation-Coty-Women-Cologne-Spray/dp/B000JL69XC/ref=sr_1_6?s=beauty&amp;ie=UTF8&amp;qid=1288555990&amp;sr=1-6</t>
  </si>
  <si>
    <t>Exclamation by Coty for Women 1.7 oz Cologne Spray</t>
  </si>
  <si>
    <t>ebay</t>
  </si>
  <si>
    <t>http://cgi.ebay.com/ws/eBayISAPI.dll?ViewItem&amp;item=150508695074</t>
  </si>
  <si>
    <t>AIRIS*</t>
  </si>
  <si>
    <t>http://www.amazon.com/Reebok-Womens-EasyTone-Sandal-purplelight/dp/B002FL57EQ/ref=sr_1_fkmr0_1?ie=UTF8&amp;qid=1288618450&amp;sr=8-1-fkmr0</t>
  </si>
  <si>
    <t>Reebok Women's EasyTone Flip Sandal</t>
  </si>
  <si>
    <t>White/Purple Light/Purple</t>
  </si>
  <si>
    <t>http://www.amazon.com/gp/product/B002WTC38O/ref=s9_simh_gw_p194_d0_i1?pf_rd_m=ATVPDKIKX0DER&amp;pf_rd_s=center-2&amp;pf_rd_r=0Q2JG3A773SR15T4S8ZF&amp;pf_rd_t=101&amp;pf_rd_p=470938631&amp;pf_rd_i=507846</t>
  </si>
  <si>
    <t>Rapidlash Eyelash Renewal Serum</t>
  </si>
  <si>
    <t>долг с предыдущей коробки</t>
  </si>
  <si>
    <t>Aldo</t>
  </si>
  <si>
    <t>http://www.aldoshoes.com/us/sale/handbags/sale-shoulder-bags-totes/80550685-dehoyos/98</t>
  </si>
  <si>
    <t>DEHOYOS</t>
  </si>
  <si>
    <t>Черный</t>
  </si>
  <si>
    <t>Nike</t>
  </si>
  <si>
    <t>http://store.nike.com/us/en_us/?sitesrc=uslp=#l=shop,pdp,ctr-inline/cid-100701/pid-284395/pgid-381214</t>
  </si>
  <si>
    <t>362349-100</t>
  </si>
  <si>
    <t>Nike Stripe Women's Racerback Tank Top</t>
  </si>
  <si>
    <t>White/Dark Obsidian</t>
  </si>
  <si>
    <t>http://store.nike.com/us/en_us/?sitesrc=uslp=#l=shop,pdp,ctr-inline/cid-100701/pid-284773</t>
  </si>
  <si>
    <t xml:space="preserve"> 371576-010</t>
  </si>
  <si>
    <t>Nike Women's Racerback Tank Top</t>
  </si>
  <si>
    <t>Black/Matte Silver</t>
  </si>
  <si>
    <t>http://www.nike.com/nikeos/p/nikewomen/en_US/clothing?hf=10001^12002^4294962509&amp;p=PWP&amp;t=Women%27s%20Tops#?ll=en_US&amp;ct=US&amp;pid=283580&amp;cid=101101&amp;pgid=371379&amp;p=PDP</t>
  </si>
  <si>
    <t>362767-101</t>
  </si>
  <si>
    <t>Nike Distance Airborne Women's Running Sports Bra</t>
  </si>
  <si>
    <t>White/White/Matte Silver</t>
  </si>
  <si>
    <t>http://store.nike.com/us/en_us/?sitesrc=uslp=#l=shop,pdp,ctr-inline/cid-100701/pid-326848/pgid-381129</t>
  </si>
  <si>
    <t>365067-063</t>
  </si>
  <si>
    <t>Nike Brandi Women's Jersey Shapris</t>
  </si>
  <si>
    <t>Dk Grey Heather/White/White</t>
  </si>
  <si>
    <t>http://store.nike.com/us/en_us/?sitesrc=uslp=#l=shop,pdp,ctr-inline/cid-100701/pid-300825</t>
  </si>
  <si>
    <t>362376-100</t>
  </si>
  <si>
    <t>Nike Street Women's Cotton Capris</t>
  </si>
  <si>
    <t>White/White</t>
  </si>
  <si>
    <t>http://store.nike.com/us/en_us/?sitesrc=uslp=#l=shop,pdp,ctr-inline/cid-1/pid-321258/pgid-321257</t>
  </si>
  <si>
    <t>9341009-403</t>
  </si>
  <si>
    <t>Nike Sport Water Bottle</t>
  </si>
  <si>
    <t>Dark Obsidian/Blac</t>
  </si>
  <si>
    <t>http://oldnavy.gap.com/browse/product.do?pid=7931490020003&amp;cid=37366</t>
  </si>
  <si>
    <t>Women's Plus Performance Fleece Mock-Neck Jackets</t>
  </si>
  <si>
    <t>Black Jack</t>
  </si>
  <si>
    <t>3X</t>
  </si>
  <si>
    <t>http://oldnavy.gap.com/browse/product.do?pid=7969560120204&amp;cid=59029</t>
  </si>
  <si>
    <t>Men's Performance Fleece 1/4-Zip Pullovers</t>
  </si>
  <si>
    <t>Coffee Grounds</t>
  </si>
  <si>
    <t>L Tall</t>
  </si>
  <si>
    <t>http://oldnavy.gap.com/browse/product.do?pid=7933070820002&amp;cid=53934</t>
  </si>
  <si>
    <t>Women's Performance Fleece Mock-Neck Jackets</t>
  </si>
  <si>
    <t xml:space="preserve"> (White)</t>
  </si>
  <si>
    <t>S Regular</t>
  </si>
  <si>
    <t>http://oldnavy.gap.com/browse/product.do?pid=7988770120000&amp;cid=62140</t>
  </si>
  <si>
    <t>Girls Patterned Legwarmers</t>
  </si>
  <si>
    <t>Fair Isle Multi (Серый)</t>
  </si>
  <si>
    <t>http://oldnavy.gap.com/browse/product.do?pid=7977230120003&amp;cid=61923</t>
  </si>
  <si>
    <t>Women's Fair Isle Flip-Top Mittens</t>
  </si>
  <si>
    <t>Neutral Combo (Коричневый с белым)</t>
  </si>
  <si>
    <t>L/XL</t>
  </si>
  <si>
    <t>http://oldnavy.gap.com/browse/product.do?pid=5221730420010&amp;cid=60979</t>
  </si>
  <si>
    <t>Women's Classic Flip-Flops</t>
  </si>
  <si>
    <t>Dark Sea Blue</t>
  </si>
  <si>
    <t>http://oldnavy.gap.com/browse/product.do?pid=6380170020003&amp;cid=55153</t>
  </si>
  <si>
    <t>Women's Terry Thong Slippers</t>
  </si>
  <si>
    <t>Cabot Cove (синий)</t>
  </si>
  <si>
    <t>Elena77</t>
  </si>
  <si>
    <t>http://www.amazon.com/Marc-New-York-Andrew-Hudson/dp/B003YULFWU/ref=sr_1_22?s=apparel&amp;ie=UTF8&amp;qid=1289047198&amp;sr=1-22&amp;searchContext=B0048G69WA,B0048GQQ8W,B0048GQQ8M,B0048GCC0I,B0048GCCJ4,B0048GAEJY,B003LQ22JC,B00416PWL6,B00422MK2S,B00415YI08,B00415Y27C,B00422MJYW,B003YULFHA,B003YUH66E,B003LPWOGO,B0037M0JKE,B00416PYZK,B003YUH5P6,B00422MJM4,B004171DHM,B003YUH5VU,B003YULFWU,B00422MJOW,B003YBNL4O</t>
  </si>
  <si>
    <t>Marc New York By Andrew Marc Mens Hudson Down</t>
  </si>
  <si>
    <t>http://www.amazon.com/DKNY-Danielle-Ruffled-Placket-Winter/dp/B003XHI5WC/ref=sr_1_1?s=apparel&amp;ie=UTF8&amp;qid=1289047629&amp;sr=1-1&amp;searchContext=B003XHI5WC,B003XHGWEA,B003XHJOVS,B003XCXHBG,B003XHF07U,B003XD15KA,B003U4TYUA,B003U7YWDQ,B003XHI3BK,B0048KSNDO,B0048CIMCO,B003ZJS60E,B0048CGBLS,B003XHHZDW,B0036V44IE,B003ZJLCOQ,B003ZJS67C,B003VJQ0FQ</t>
  </si>
  <si>
    <t>DKNY Coat, Danielle Ruffled Placket</t>
  </si>
  <si>
    <t>Dark Charcoal</t>
  </si>
  <si>
    <t>http://www.amazon.com/Tommy-Hilfiger-Sweaters-Tempest-Quarter/dp/B0046QHLUQ/ref=sr_1_1?ie=UTF8&amp;s=apparel&amp;qid=1289048955&amp;sr=1-1&amp;searchContext=B0046QHLUQ,B003YUM9P2,B0047OM7AG,B0040VLN7O</t>
  </si>
  <si>
    <t>Tommy Hilfiger Sweaters, Tempest Quarter Zip</t>
  </si>
  <si>
    <t>Navy</t>
  </si>
  <si>
    <t>http://www.proboardshop.com/sa390z04bk10zz-salomon-hoodies.html</t>
  </si>
  <si>
    <t>Salomon 900 Degrees Zip Softshell Hoodie Black - Mens</t>
  </si>
  <si>
    <t>Medium</t>
  </si>
  <si>
    <t>http://www.6pm.com/the-sak-pax-leather-crossbody-luggage</t>
  </si>
  <si>
    <t>SKU #7638790</t>
  </si>
  <si>
    <t xml:space="preserve">The Sak Pax Leather Crossbody </t>
  </si>
  <si>
    <t>Luggage</t>
  </si>
  <si>
    <t>http://www.amazon.com/gp/product/B001O9CZZY/ref=ord_cart_shr?ie=UTF8&amp;m=ACX92JP8G1QSD</t>
  </si>
  <si>
    <t>Samsonite Leather Portfolio</t>
  </si>
  <si>
    <t>Helg@</t>
  </si>
  <si>
    <t>http://www.6pm.com/sudini-summit-chocolate-waterproof-calf</t>
  </si>
  <si>
    <t>Sudini Summit</t>
  </si>
  <si>
    <t>chocolate</t>
  </si>
  <si>
    <t>http://www.amazon.com/GUESS-Diamond-Rosary-Necklace-SILVER/dp/B0041MAX96/ref=sr_1_178?s=jewelry&amp;ie=UTF8&amp;qid=1288162330&amp;sr=1-178</t>
  </si>
  <si>
    <t>GUESS Diamond Rosary Necklace, SILVER</t>
  </si>
  <si>
    <t>silver</t>
  </si>
  <si>
    <t>koalla</t>
  </si>
  <si>
    <t>Доставка c 6pm</t>
  </si>
  <si>
    <t>http://www.6pm.com/stride-rite-tt-hendrix-h-l-core-toddler-youth-navy-graphite-yolk</t>
  </si>
  <si>
    <t>SKU #7559447</t>
  </si>
  <si>
    <t>Stride Rite TT Hendrix H&amp;L Core (Toddler/Youth)</t>
  </si>
  <si>
    <t>silver\navy\ooze</t>
  </si>
  <si>
    <t>http://www.6pm.com/vaneli-nevis-black-nairobi-patent</t>
  </si>
  <si>
    <t>SKU #7505611</t>
  </si>
  <si>
    <t xml:space="preserve">Vaneli Nevis </t>
  </si>
  <si>
    <t>Душенька</t>
  </si>
  <si>
    <t>http://www.6pm.com/jessica-simpson-lepolia-black</t>
  </si>
  <si>
    <t>SKU: #7657077</t>
  </si>
  <si>
    <t>Jessica Simpson Lepolia</t>
  </si>
  <si>
    <t>Color: Black</t>
  </si>
  <si>
    <t>http://www.6pm.com/calvin-klein-carrie-bright-red-pearlized-patent</t>
  </si>
  <si>
    <t>SKU #7695839</t>
  </si>
  <si>
    <t>Calvin Klein Carrie</t>
  </si>
  <si>
    <t>Color: Bright Red Pearlized Patent</t>
  </si>
  <si>
    <t>http://www.6pm.com/product/7702763/color/5492</t>
  </si>
  <si>
    <t>SKU: #7702763</t>
  </si>
  <si>
    <t>Nine West Mastique</t>
  </si>
  <si>
    <t>Color: Black/Black Suede</t>
  </si>
  <si>
    <t>Paris look</t>
  </si>
  <si>
    <t>http://www.6pm.com/calvin-klein-jeans-beaded-tank-greenhouse</t>
  </si>
  <si>
    <t>SKU #7690710</t>
  </si>
  <si>
    <t>Calvin Klein Jeans Beaded Tank</t>
  </si>
  <si>
    <t>Greenhouse</t>
  </si>
  <si>
    <t>XL</t>
  </si>
  <si>
    <t>http://www.6pm.com/calvin-klein-625108-black</t>
  </si>
  <si>
    <t>SKU #7675841</t>
  </si>
  <si>
    <t>Calvin Klein 625108</t>
  </si>
  <si>
    <t>LG/XL</t>
  </si>
  <si>
    <t>http://www.6pm.com/calvin-klein-karsyn-chino</t>
  </si>
  <si>
    <t>SKU #7748544</t>
  </si>
  <si>
    <t>Calvin Klein Karsyn</t>
  </si>
  <si>
    <t>Chino</t>
  </si>
  <si>
    <t>http://www.6pm.com/wesc-stash-we-are-nozzle-smoked-pearl</t>
  </si>
  <si>
    <t>SKU #7510237</t>
  </si>
  <si>
    <t>WeSC Stash We Are… Nozzle</t>
  </si>
  <si>
    <t xml:space="preserve">Smoked Pearl </t>
  </si>
  <si>
    <t>LG</t>
  </si>
  <si>
    <t>Ольга Соловьева</t>
  </si>
  <si>
    <t>Columbia</t>
  </si>
  <si>
    <t>http://www.columbia.com/on/demandware.store/Sites-Columbia_US-Site/default/Product-Show?pid=786636572523&amp;v=true</t>
  </si>
  <si>
    <t>Style #TL6908_S</t>
  </si>
  <si>
    <t>Bhutan Trek™ Tank</t>
  </si>
  <si>
    <t>Melon</t>
  </si>
  <si>
    <t>http://www.columbia.com/Bugapowder%E2%84%A2/BL1387_S,default,pd.html#</t>
  </si>
  <si>
    <t>Style #BL1387_S</t>
  </si>
  <si>
    <t>Bugapowder™</t>
  </si>
  <si>
    <t>Buffalo, Lagoon</t>
  </si>
  <si>
    <t>http://www.columbia.com/Men%27s-Bugastump%E2%84%A2-Omni-Tech%C2%AE/BM1447,default,pd.html#</t>
  </si>
  <si>
    <t>Style #BM1447</t>
  </si>
  <si>
    <t>Men's Bugastump™ Omni-Tech®</t>
  </si>
  <si>
    <t>Cordovan, Burnt Orange</t>
  </si>
  <si>
    <t>MED2004</t>
  </si>
  <si>
    <t>http://www.amazon.com/gp/product/B003ZTT1I0/ref=twister_dp_update?ie=UTF8&amp;psc=1</t>
  </si>
  <si>
    <t>5/B003ZTT1I0/</t>
  </si>
  <si>
    <t>BLAKE</t>
  </si>
  <si>
    <t>5X</t>
  </si>
  <si>
    <t>116$</t>
  </si>
  <si>
    <t>http://www.sheplers.com/mens/suits_and_sportcoats/072873.html</t>
  </si>
  <si>
    <t>33 CAMEL</t>
  </si>
  <si>
    <t>40 T</t>
  </si>
  <si>
    <t>http://www.sheplers.com/promo/mensouterwear_60percentoff/070041.html</t>
  </si>
  <si>
    <t>Item # 070041</t>
  </si>
  <si>
    <t>Wrangler Wrancher Stretch Jeans - Solid</t>
  </si>
  <si>
    <t>41 BROWN</t>
  </si>
  <si>
    <t>30W 34L</t>
  </si>
  <si>
    <t>из гэп саннинат</t>
  </si>
  <si>
    <t>frakin</t>
  </si>
  <si>
    <t>Levis 517 Mens Boot Cut Hard Raw Rigid Blue Jeans 0217</t>
  </si>
  <si>
    <t>36/40</t>
  </si>
  <si>
    <t>MENS SIZE 36X40 LONG JEANS WRANGLER STRAIGHT CUT LEGS</t>
  </si>
  <si>
    <t>Оксана2009</t>
  </si>
  <si>
    <t>http://www.landsend.com/pp/DownCommuterCoat~213595_59.html?bcc=y&amp;action=order_more&amp;sku_0=::AI7&amp;CM_MERCH=IDX_00002__0000000141&amp;origin=index</t>
  </si>
  <si>
    <t>Item # 39461-2A71</t>
  </si>
  <si>
    <t>Women's Regular Down Commuter Coat</t>
  </si>
  <si>
    <t>Beechnut</t>
  </si>
  <si>
    <t>http://www.6pm.com/emu-wool-nelly-black</t>
  </si>
  <si>
    <t>EMU Wool Nelly</t>
  </si>
  <si>
    <t>zappos</t>
  </si>
  <si>
    <t>сапоги</t>
  </si>
  <si>
    <t>игрушка</t>
  </si>
  <si>
    <t>KirA13</t>
  </si>
  <si>
    <t>http://www.aldoshoes.com/us/women/boo...</t>
  </si>
  <si>
    <t>jirabasik</t>
  </si>
  <si>
    <t>http://www.amazon.com/Americolor-Student-Culinary-Academy-Choice/dp/B000MSXFWA/ref=sr_1_668?s=home-garden&amp;ie=UTF8&amp;qid=1290623180&amp;sr=1-668</t>
  </si>
  <si>
    <t>Americolor Soft Gel Paste Student Kit- Culinary Academy 1st Choice!</t>
  </si>
  <si>
    <t>http://www.amazon.com/Gluten-Free-Mama-Purpose-32-Ounce/dp/B002YR7B7C/ref=sr_1_3?ie=UTF8&amp;qid=1290634293&amp;sr=8-3</t>
  </si>
  <si>
    <t>Gluten Free Mama, Mama's Almond Blend Flour, All Purpose Flour, 32-Ounce Pouches (Pack of 2)</t>
  </si>
  <si>
    <t>http://www.amazon.com/Matcha-Green-Powder-loose-sample/dp/B000GB7RV8/ref=sr_1_17?ie=UTF8&amp;qid=1290670660&amp;sr=8-17</t>
  </si>
  <si>
    <t>Matcha Green Tea Powder 1 oz loose tea sample</t>
  </si>
  <si>
    <t>http://www.amazon.com/Wilton-Disposable-Inch-Decorating-Bags/dp/B0000CFMLT/ref=pd_bxgy_k_img_b</t>
  </si>
  <si>
    <t>Wilton Disposable 12 Inch Decorating Bags, Pack Of 24</t>
  </si>
  <si>
    <t>http://www.amazon.com/I-Love-Macarons-Hisako-Ogita/dp/0811868710/ref=pd_luc_sim_01_02_t_lh</t>
  </si>
  <si>
    <t>http://www.6pm.com/emu-wool-hip-button-sand</t>
  </si>
  <si>
    <t>SKU #7695846</t>
  </si>
  <si>
    <t>EMU Wool Hip Button</t>
  </si>
  <si>
    <t>Sand</t>
  </si>
  <si>
    <t>http://www.6pm.com/diesel-t-morrow-t-shirt-beige</t>
  </si>
  <si>
    <t>SKU #7622550</t>
  </si>
  <si>
    <t>Diesel T-Morrow T-Shirt</t>
  </si>
  <si>
    <t>Beige</t>
  </si>
  <si>
    <t>http://www.6pm.com/diesel-t-quay2-t-shirt-black</t>
  </si>
  <si>
    <t>SKU #7647128</t>
  </si>
  <si>
    <t>Diesel T-Quay2 T-Shirt</t>
  </si>
  <si>
    <t>http://www.6pm.com/diesel-bmbx-deck-shorts-navy-blue~1</t>
  </si>
  <si>
    <t>SKU #7647543</t>
  </si>
  <si>
    <t>Diesel Bmbx-Deck Shorts</t>
  </si>
  <si>
    <t>Navy/Blue</t>
  </si>
  <si>
    <t>http://www.6pm.com/boss-hugo-boss-b0026-white-opal</t>
  </si>
  <si>
    <t>SKU #7311860</t>
  </si>
  <si>
    <t>BOSS Hugo Boss B0026</t>
  </si>
  <si>
    <t>white opal</t>
  </si>
  <si>
    <t>one size</t>
  </si>
  <si>
    <t>http://www.6pm.com/product/7670821/color/4854</t>
  </si>
  <si>
    <t>SKU #7670821</t>
  </si>
  <si>
    <t>Volcom Archetype Backpack</t>
  </si>
  <si>
    <t>dark grey</t>
  </si>
  <si>
    <t>one size (men)</t>
  </si>
  <si>
    <t>http://www.6pm.com/radcliffe-denim-twist-jumper-heather-charcoal</t>
  </si>
  <si>
    <t>SKU #7729029</t>
  </si>
  <si>
    <t>Radcliffe Denim Twist Jumper</t>
  </si>
  <si>
    <t>heather charcoal</t>
  </si>
  <si>
    <t>inzin</t>
  </si>
  <si>
    <t>http://viewitem.eim.ebay.ru/LOWRANCE_MARK5X_PRO__FISHFINDER_MONO_83200_KHZ_TM/180588203273/item</t>
  </si>
  <si>
    <t>Эхолот LOWRANCE MARK-5X PRO FISHFINDER MONO 83/200 KHZ</t>
  </si>
  <si>
    <t>Magister</t>
  </si>
  <si>
    <t>http://www.amazon.com/Disney-Tangled-Rapunzel-Doll/dp/B0041IAGTW/ref=pd_sim_t_17</t>
  </si>
  <si>
    <t>Disney Tangled Rapunzel Doll -- 12''</t>
  </si>
  <si>
    <t>12``</t>
  </si>
  <si>
    <t>http://www.amazon.com/Girls-Party-Dress-Taffeta-Sequins/dp/B001MGLPFA/ref=pd_sbs_a_3</t>
  </si>
  <si>
    <t>Girls Party Dress - Pink Taffeta Dress with Sequins (Girls Size 1/2 - 11/12) NEW</t>
  </si>
  <si>
    <t>Pink</t>
  </si>
  <si>
    <t>7 8</t>
  </si>
  <si>
    <t>Larisa NN</t>
  </si>
  <si>
    <t>http://cgi.ebay.com/7-Pcs-Makeup-Brushes-Set-Goat-Hair-Eyeshadow-Brush-BS7-/320626190187?pt=LH_DefaultDomain_0&amp;hash=item4aa6cf676b</t>
  </si>
  <si>
    <t>7 Pcs Makeup Brushes Set Goat Hair Eyeshadow Brush ➹BS7</t>
  </si>
  <si>
    <t>http://cgi.ebay.com/new-P-88-color-eyeshadow-matt-palette-warm-04-1-/320550812688?pt=US_Makeup_Eyes&amp;hash=item4aa2513c10</t>
  </si>
  <si>
    <t>new P 88 color eyeshadow matt palette warm 04# 1</t>
  </si>
  <si>
    <t>http://cgi.ebay.com/NEW-15-Piece-Eye-Shadow-Eyeshadow-Neutral-Nudes-Palette-/220616641089?pt=UK_Health_Beauty_Make_up_Cosmetics_Eye_Shadow_PP&amp;hash=item335dc6ca41</t>
  </si>
  <si>
    <t>NEW 15 Piece Eye Shadow Eyeshadow Neutral Nudes Palette</t>
  </si>
  <si>
    <t>14 color powder mineral eyeshadow makeup eye shadow M18</t>
  </si>
  <si>
    <t>5 Piece QUICK FIX KIT Mineral Makeup Brushes Bare Cover</t>
  </si>
  <si>
    <t>Васена</t>
  </si>
  <si>
    <t>http://www.6pm.com/cole-haan-zoom-flywire-fuschia-vintage-silver</t>
  </si>
  <si>
    <t>SKU #7500266</t>
  </si>
  <si>
    <t>Cole Haan Zoom Flywire</t>
  </si>
  <si>
    <t>Fuschia/Vintage Silver</t>
  </si>
  <si>
    <t>http://www.6pm.com/product/7416050/color/3</t>
  </si>
  <si>
    <t>SKU #7416050</t>
  </si>
  <si>
    <t>PUMA Sport Fashion Speedcat Re-luxe Wn's</t>
  </si>
  <si>
    <t>http://www.6pm.com/etnies-fielder-vi-brown-beige-gum</t>
  </si>
  <si>
    <t>SKU #7606280</t>
  </si>
  <si>
    <t>etnies Fielder VI</t>
  </si>
  <si>
    <t>Brown/Beige/Gum</t>
  </si>
  <si>
    <t>http://www.6pm.com/columbia-monterosso-hawk</t>
  </si>
  <si>
    <t>SKU #7593492</t>
  </si>
  <si>
    <t>Columbia Monterosso™</t>
  </si>
  <si>
    <t>Hawk</t>
  </si>
  <si>
    <t>http://www.6pm.com/oakley-bottlecap-2-black-orange</t>
  </si>
  <si>
    <t>SKU #7609395</t>
  </si>
  <si>
    <t>Oakley Bottlecap™ 2</t>
  </si>
  <si>
    <t>Black/Orange</t>
  </si>
  <si>
    <t>http://www.6pm.com/bacco-bucci-cj-tan</t>
  </si>
  <si>
    <t>SKU #7635334</t>
  </si>
  <si>
    <t>Bacco Bucci CJ</t>
  </si>
  <si>
    <t>http://www.6pm.com/garvalin-kids-092135-toddler-youth-white-leather</t>
  </si>
  <si>
    <t>SKU #7499154</t>
  </si>
  <si>
    <t>Garvalin Kids 092135 (Toddler/Youth)</t>
  </si>
  <si>
    <t>White Leather</t>
  </si>
  <si>
    <t>30 (13 Youth)</t>
  </si>
  <si>
    <t>http://www.amazon.com/Prehistoric-Pets-Terrordactyl-Interactive-Dinosaur/dp/B00383PNKS/ref=ty_blfr10_up_to_50pctFDoc_1000639851_2_27_img?ie=UTF8&amp;m=ATVPDKIKX0DER&amp;s=toys-and-games&amp;pf_rd_p=1284790142&amp;pf_rd_s=center-2&amp;pf_rd_t=1401&amp;pf_rd_i=1000639851&amp;pf_rd_m=ATVPDKIKX0DER&amp;pf_rd_r=0Q17PDDJRZH88K04YH5X</t>
  </si>
  <si>
    <t>Prehistoric Pets Terrordactyl Interactive Dinosaur</t>
  </si>
  <si>
    <t>http://www.amazon.com/Disney-Flo-Die-Cast-Car/dp/B002FWW3R4/ref=sr_1_110?s=toys-and-games&amp;ie=UTF8&amp;qid=1293129917&amp;sr=1-110</t>
  </si>
  <si>
    <t>Disney Flo Die Cast Car</t>
  </si>
  <si>
    <t>http://www.amazon.com/Disney-Paddy-OConcrete-Monster-Truck/dp/B0047Q5I1O/ref=pd_bxgy_t_img_c</t>
  </si>
  <si>
    <t>Disney Cars Toon Paddy O'Concrete Monster Truck</t>
  </si>
  <si>
    <t>http://www.amazon.com/Disney-Cars-I-Screamer-Monster-Truck/dp/B0047Q78I0/ref=pd_bxgy_t_text_c</t>
  </si>
  <si>
    <t>Disney Cars Toon I-Screamer Monster Truck</t>
  </si>
  <si>
    <t>http://www.amazon.com/Fisher-Price-N5045-Medical-Kit/dp/B0015AM26E/ref=sr_1_2?s=toys-and-games&amp;ie=UTF8&amp;qid=1293176962&amp;sr=1-2</t>
  </si>
  <si>
    <t>Fisher-Price Medical Kit</t>
  </si>
  <si>
    <t>http://www.amazon.com/Wacom-CTH661-Bamboo-Fun-Tablet/dp/B002OOWC4C/ref=sr_1_2?s=electronics&amp;ie=UTF8&amp;qid=1293639471&amp;sr=1-2</t>
  </si>
  <si>
    <t>Wacom Bamboo Fun Tablet</t>
  </si>
  <si>
    <t>http://cgi.ebay.com/ws/eBayISAPI.dll?ViewItem&amp;item=270685299317&amp;_trksid=p1000006.m2000041#shId</t>
  </si>
  <si>
    <t>ВCBG MAXAZRIA Red Leather shoulder bag NWT!</t>
  </si>
  <si>
    <t>красный</t>
  </si>
  <si>
    <t xml:space="preserve">  </t>
  </si>
  <si>
    <t>american eagle</t>
  </si>
  <si>
    <t>http://www.ae.com/web/browse/product.jsp?catId=cat200133&amp;productId=0186_9476&amp;initialSize=3000</t>
  </si>
  <si>
    <t>AE Graphic Full Zip Hoodie</t>
  </si>
  <si>
    <t>Deep Navy</t>
  </si>
  <si>
    <t>http://www.ae.com/web/browse/product.jsp?catId=cat90090&amp;productId=prod390054&amp;initialSize=3000</t>
  </si>
  <si>
    <t>AE Striped Graphic Hoodie</t>
  </si>
  <si>
    <t>Sun fade Olive</t>
  </si>
  <si>
    <t>http://www.ae.com/web/browse/product.jsp?catId=cat90070&amp;productId=1171_6403&amp;initialSize=3000</t>
  </si>
  <si>
    <t>AE Striped Polo</t>
  </si>
  <si>
    <t>Blue Boulder</t>
  </si>
  <si>
    <t>old navy</t>
  </si>
  <si>
    <t>http://oldnavy.gap.com/browse/product.do?cid=54493&amp;vid=2&amp;pid=776370&amp;actFltr=true</t>
  </si>
  <si>
    <t>Men's Jersey-Fleece Sweatpants</t>
  </si>
  <si>
    <t>Shining Armor</t>
  </si>
  <si>
    <t>M Tall</t>
  </si>
  <si>
    <t>http://www.gap.com/browse/product.do?pid=8054670020204&amp;cid=51964</t>
  </si>
  <si>
    <t>Stitched argyle cardigan</t>
  </si>
  <si>
    <t>Gray</t>
  </si>
  <si>
    <t>mrj sales</t>
  </si>
  <si>
    <t>http://www.mjrsales.com/ecko-red-banded-bottom-dress-sz-xs.html</t>
  </si>
  <si>
    <t>ECKO RED BANDED BOTTOM DRESS SZ XS</t>
  </si>
  <si>
    <t>Chocolate</t>
  </si>
  <si>
    <t>http://www.mjrsales.com/buffalo-by-david-bitton-long-sleeve-v-neck-wrap-top-sz-xs-nwt-39509.html</t>
  </si>
  <si>
    <t>BUFFALO by DAVID BITTON LONG SLEEVE V-NECK WRAP TOP SZ XS NWT</t>
  </si>
  <si>
    <t>http://www.amazon.com/Play-Doh-24-Pack-of-Colors/dp/B000V64HZ2/ref=sr_1_1?s=toys-and-games&amp;ie=UTF8&amp;qid=1294758541&amp;sr=1-1</t>
  </si>
  <si>
    <t>Play-Doh 24 Pack of Colors</t>
  </si>
  <si>
    <t>http://www.amazon.com/Crayola-Color-Wonder-Sound-Studio/dp/B003P8FL1C/ref=sr_1_1?s=toys-and-games&amp;ie=UTF8&amp;qid=1294759732&amp;sr=1-1</t>
  </si>
  <si>
    <t>Crayola Color Wonder Sound Studio</t>
  </si>
  <si>
    <t>http://www.amazon.com/Hasbro-23867-Play-Doh-Undersea-Adventure/dp/B00198S50E/ref=sr_1_53?s=toys-and-games&amp;ie=UTF8&amp;qid=1294759081&amp;sr=1-53</t>
  </si>
  <si>
    <t>Play-Doh Undersea Adventure Bucket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</si>
</sst>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#,##0;[RED]\-#,##0"/>
    <numFmt numFmtId="169" formatCode="#,##0"/>
    <numFmt numFmtId="170" formatCode="[$£-809]#,##0.00;[RED]\-[$£-809]#,##0.00"/>
  </numFmts>
  <fonts count="69">
    <font>
      <sz val="10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b/>
      <sz val="12"/>
      <color indexed="45"/>
      <name val="Arial Black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10"/>
      <name val="Arial Black"/>
      <family val="2"/>
    </font>
    <font>
      <b/>
      <sz val="10"/>
      <color indexed="8"/>
      <name val="Arial"/>
      <family val="2"/>
    </font>
    <font>
      <sz val="7"/>
      <color indexed="21"/>
      <name val="Arial"/>
      <family val="2"/>
    </font>
    <font>
      <sz val="7"/>
      <name val="Arial"/>
      <family val="2"/>
    </font>
    <font>
      <b/>
      <sz val="12"/>
      <color indexed="38"/>
      <name val="Arial Black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15"/>
      <name val="Arial Black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22"/>
      <name val="Arial"/>
      <family val="2"/>
    </font>
    <font>
      <b/>
      <sz val="10"/>
      <color indexed="21"/>
      <name val="Arial"/>
      <family val="2"/>
    </font>
    <font>
      <sz val="7"/>
      <color indexed="17"/>
      <name val="Arial"/>
      <family val="2"/>
    </font>
    <font>
      <sz val="10"/>
      <color indexed="55"/>
      <name val="Arial"/>
      <family val="2"/>
    </font>
    <font>
      <b/>
      <sz val="12"/>
      <color indexed="55"/>
      <name val="Arial Black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8"/>
      <color indexed="22"/>
      <name val="Arial"/>
      <family val="2"/>
    </font>
    <font>
      <i/>
      <sz val="10"/>
      <color indexed="22"/>
      <name val="Arial"/>
      <family val="2"/>
    </font>
    <font>
      <b/>
      <sz val="12"/>
      <color indexed="22"/>
      <name val="Arial Black"/>
      <family val="2"/>
    </font>
    <font>
      <i/>
      <sz val="8"/>
      <color indexed="46"/>
      <name val="Arial"/>
      <family val="2"/>
    </font>
    <font>
      <b/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2"/>
      <color indexed="46"/>
      <name val="Arial Black"/>
      <family val="2"/>
    </font>
    <font>
      <b/>
      <sz val="10"/>
      <color indexed="17"/>
      <name val="Arial"/>
      <family val="2"/>
    </font>
    <font>
      <b/>
      <i/>
      <sz val="10"/>
      <color indexed="46"/>
      <name val="Arial"/>
      <family val="2"/>
    </font>
    <font>
      <i/>
      <sz val="8"/>
      <color indexed="46"/>
      <name val="Times New Roman"/>
      <family val="1"/>
    </font>
    <font>
      <i/>
      <sz val="6"/>
      <color indexed="46"/>
      <name val="Arial"/>
      <family val="2"/>
    </font>
    <font>
      <sz val="10"/>
      <color indexed="4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46"/>
      <name val="Arial"/>
      <family val="2"/>
    </font>
    <font>
      <b/>
      <i/>
      <sz val="8"/>
      <color indexed="46"/>
      <name val="Arial"/>
      <family val="2"/>
    </font>
    <font>
      <sz val="8"/>
      <color indexed="46"/>
      <name val="Verdana"/>
      <family val="2"/>
    </font>
    <font>
      <sz val="8"/>
      <color indexed="63"/>
      <name val="Verdana"/>
      <family val="2"/>
    </font>
    <font>
      <sz val="10"/>
      <color indexed="12"/>
      <name val="Times New Roman"/>
      <family val="1"/>
    </font>
    <font>
      <b/>
      <i/>
      <sz val="10"/>
      <color indexed="38"/>
      <name val="Arial"/>
      <family val="2"/>
    </font>
    <font>
      <i/>
      <sz val="8"/>
      <color indexed="22"/>
      <name val="Times New Roman"/>
      <family val="1"/>
    </font>
    <font>
      <i/>
      <sz val="6"/>
      <color indexed="22"/>
      <name val="Arial"/>
      <family val="2"/>
    </font>
    <font>
      <sz val="10"/>
      <color indexed="22"/>
      <name val="Times New Roman"/>
      <family val="1"/>
    </font>
    <font>
      <sz val="10"/>
      <color indexed="8"/>
      <name val="Verdana"/>
      <family val="2"/>
    </font>
    <font>
      <sz val="10"/>
      <color indexed="63"/>
      <name val="Inherit"/>
      <family val="0"/>
    </font>
    <font>
      <u val="single"/>
      <sz val="10"/>
      <color indexed="22"/>
      <name val="Arial"/>
      <family val="2"/>
    </font>
    <font>
      <b/>
      <i/>
      <sz val="8"/>
      <color indexed="22"/>
      <name val="Arial"/>
      <family val="2"/>
    </font>
    <font>
      <sz val="10"/>
      <name val="Times New Roman"/>
      <family val="1"/>
    </font>
    <font>
      <i/>
      <sz val="10"/>
      <color indexed="46"/>
      <name val="Times New Roman"/>
      <family val="1"/>
    </font>
    <font>
      <i/>
      <sz val="10"/>
      <name val="Times New Roman"/>
      <family val="1"/>
    </font>
    <font>
      <b/>
      <i/>
      <sz val="8"/>
      <color indexed="38"/>
      <name val="Arial"/>
      <family val="2"/>
    </font>
    <font>
      <i/>
      <sz val="8"/>
      <name val="Times New Roman"/>
      <family val="1"/>
    </font>
    <font>
      <i/>
      <sz val="6"/>
      <name val="Arial"/>
      <family val="2"/>
    </font>
    <font>
      <b/>
      <sz val="10"/>
      <color indexed="18"/>
      <name val="Arial"/>
      <family val="2"/>
    </font>
    <font>
      <b/>
      <sz val="10"/>
      <color indexed="38"/>
      <name val="Arial"/>
      <family val="2"/>
    </font>
    <font>
      <b/>
      <i/>
      <sz val="7"/>
      <color indexed="3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color indexed="9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Times New Roman"/>
      <family val="2"/>
    </font>
    <font>
      <b/>
      <i/>
      <sz val="8"/>
      <color indexed="4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19"/>
      </top>
      <bottom style="hair">
        <color indexed="19"/>
      </bottom>
    </border>
    <border>
      <left style="hair">
        <color indexed="8"/>
      </left>
      <right style="hair">
        <color indexed="8"/>
      </right>
      <top style="hair">
        <color indexed="19"/>
      </top>
      <bottom>
        <color indexed="63"/>
      </bottom>
    </border>
    <border>
      <left>
        <color indexed="63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hair">
        <color indexed="8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54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</border>
    <border>
      <left style="hair">
        <color indexed="8"/>
      </left>
      <right style="hair">
        <color indexed="8"/>
      </right>
      <top style="hair">
        <color indexed="2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9" fillId="0" borderId="0" applyNumberFormat="0" applyFill="0" applyBorder="0" applyAlignment="0" applyProtection="0"/>
    <xf numFmtId="164" fontId="0" fillId="0" borderId="0">
      <alignment/>
      <protection/>
    </xf>
  </cellStyleXfs>
  <cellXfs count="43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vertical="center"/>
    </xf>
    <xf numFmtId="167" fontId="0" fillId="2" borderId="0" xfId="0" applyNumberFormat="1" applyFont="1" applyFill="1" applyAlignment="1">
      <alignment/>
    </xf>
    <xf numFmtId="167" fontId="4" fillId="3" borderId="1" xfId="0" applyNumberFormat="1" applyFont="1" applyFill="1" applyBorder="1" applyAlignment="1">
      <alignment horizontal="left" vertical="center" indent="5"/>
    </xf>
    <xf numFmtId="164" fontId="5" fillId="3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3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5" xfId="0" applyNumberFormat="1" applyFont="1" applyBorder="1" applyAlignment="1">
      <alignment horizontal="left"/>
    </xf>
    <xf numFmtId="164" fontId="0" fillId="0" borderId="5" xfId="0" applyFont="1" applyBorder="1" applyAlignment="1">
      <alignment/>
    </xf>
    <xf numFmtId="166" fontId="7" fillId="4" borderId="5" xfId="0" applyNumberFormat="1" applyFont="1" applyFill="1" applyBorder="1" applyAlignment="1">
      <alignment/>
    </xf>
    <xf numFmtId="164" fontId="8" fillId="0" borderId="5" xfId="0" applyFont="1" applyBorder="1" applyAlignment="1">
      <alignment/>
    </xf>
    <xf numFmtId="167" fontId="0" fillId="0" borderId="5" xfId="0" applyNumberFormat="1" applyFont="1" applyBorder="1" applyAlignment="1">
      <alignment/>
    </xf>
    <xf numFmtId="168" fontId="0" fillId="0" borderId="6" xfId="0" applyNumberFormat="1" applyFont="1" applyBorder="1" applyAlignment="1">
      <alignment/>
    </xf>
    <xf numFmtId="164" fontId="1" fillId="0" borderId="0" xfId="0" applyFont="1" applyAlignment="1">
      <alignment wrapText="1"/>
    </xf>
    <xf numFmtId="164" fontId="0" fillId="5" borderId="0" xfId="0" applyFont="1" applyFill="1" applyAlignment="1">
      <alignment/>
    </xf>
    <xf numFmtId="164" fontId="9" fillId="5" borderId="0" xfId="0" applyFont="1" applyFill="1" applyBorder="1" applyAlignment="1">
      <alignment horizontal="center" vertical="center"/>
    </xf>
    <xf numFmtId="167" fontId="0" fillId="5" borderId="0" xfId="0" applyNumberFormat="1" applyFont="1" applyFill="1" applyAlignment="1">
      <alignment/>
    </xf>
    <xf numFmtId="167" fontId="10" fillId="6" borderId="1" xfId="0" applyNumberFormat="1" applyFont="1" applyFill="1" applyBorder="1" applyAlignment="1">
      <alignment horizontal="left" vertical="center" indent="5"/>
    </xf>
    <xf numFmtId="164" fontId="5" fillId="6" borderId="1" xfId="0" applyFont="1" applyFill="1" applyBorder="1" applyAlignment="1">
      <alignment horizontal="center" vertical="center"/>
    </xf>
    <xf numFmtId="166" fontId="7" fillId="6" borderId="5" xfId="0" applyNumberFormat="1" applyFont="1" applyFill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3" fillId="2" borderId="0" xfId="0" applyFont="1" applyFill="1" applyBorder="1" applyAlignment="1">
      <alignment horizontal="center" vertical="center"/>
    </xf>
    <xf numFmtId="167" fontId="10" fillId="7" borderId="1" xfId="0" applyNumberFormat="1" applyFont="1" applyFill="1" applyBorder="1" applyAlignment="1">
      <alignment horizontal="left" vertical="center" indent="5"/>
    </xf>
    <xf numFmtId="164" fontId="5" fillId="7" borderId="1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166" fontId="7" fillId="7" borderId="5" xfId="0" applyNumberFormat="1" applyFont="1" applyFill="1" applyBorder="1" applyAlignment="1">
      <alignment/>
    </xf>
    <xf numFmtId="167" fontId="14" fillId="8" borderId="1" xfId="0" applyNumberFormat="1" applyFont="1" applyFill="1" applyBorder="1" applyAlignment="1">
      <alignment horizontal="left" vertical="center" indent="5"/>
    </xf>
    <xf numFmtId="164" fontId="5" fillId="8" borderId="1" xfId="0" applyFont="1" applyFill="1" applyBorder="1" applyAlignment="1">
      <alignment horizontal="center" vertical="center"/>
    </xf>
    <xf numFmtId="166" fontId="15" fillId="8" borderId="5" xfId="0" applyNumberFormat="1" applyFont="1" applyFill="1" applyBorder="1" applyAlignment="1">
      <alignment/>
    </xf>
    <xf numFmtId="167" fontId="14" fillId="9" borderId="1" xfId="0" applyNumberFormat="1" applyFont="1" applyFill="1" applyBorder="1" applyAlignment="1">
      <alignment horizontal="left" vertical="center" indent="5"/>
    </xf>
    <xf numFmtId="164" fontId="5" fillId="9" borderId="1" xfId="0" applyFont="1" applyFill="1" applyBorder="1" applyAlignment="1">
      <alignment horizontal="center" vertical="center"/>
    </xf>
    <xf numFmtId="166" fontId="15" fillId="9" borderId="5" xfId="0" applyNumberFormat="1" applyFont="1" applyFill="1" applyBorder="1" applyAlignment="1">
      <alignment/>
    </xf>
    <xf numFmtId="164" fontId="16" fillId="5" borderId="0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left" vertical="center" indent="5"/>
    </xf>
    <xf numFmtId="164" fontId="17" fillId="10" borderId="1" xfId="0" applyFont="1" applyFill="1" applyBorder="1" applyAlignment="1">
      <alignment horizontal="center" vertical="center"/>
    </xf>
    <xf numFmtId="166" fontId="7" fillId="10" borderId="5" xfId="0" applyNumberFormat="1" applyFont="1" applyFill="1" applyBorder="1" applyAlignment="1">
      <alignment/>
    </xf>
    <xf numFmtId="167" fontId="14" fillId="11" borderId="1" xfId="0" applyNumberFormat="1" applyFont="1" applyFill="1" applyBorder="1" applyAlignment="1">
      <alignment horizontal="left" vertical="center" indent="5"/>
    </xf>
    <xf numFmtId="164" fontId="5" fillId="11" borderId="1" xfId="0" applyFont="1" applyFill="1" applyBorder="1" applyAlignment="1">
      <alignment horizontal="center" vertical="center"/>
    </xf>
    <xf numFmtId="166" fontId="18" fillId="0" borderId="0" xfId="0" applyNumberFormat="1" applyFont="1" applyAlignment="1">
      <alignment/>
    </xf>
    <xf numFmtId="166" fontId="15" fillId="11" borderId="5" xfId="0" applyNumberFormat="1" applyFont="1" applyFill="1" applyBorder="1" applyAlignment="1">
      <alignment/>
    </xf>
    <xf numFmtId="167" fontId="14" fillId="12" borderId="1" xfId="0" applyNumberFormat="1" applyFont="1" applyFill="1" applyBorder="1" applyAlignment="1">
      <alignment horizontal="left" vertical="center" indent="5"/>
    </xf>
    <xf numFmtId="164" fontId="5" fillId="12" borderId="1" xfId="0" applyFont="1" applyFill="1" applyBorder="1" applyAlignment="1">
      <alignment horizontal="center" vertical="center"/>
    </xf>
    <xf numFmtId="169" fontId="19" fillId="13" borderId="3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6" fontId="15" fillId="12" borderId="5" xfId="0" applyNumberFormat="1" applyFont="1" applyFill="1" applyBorder="1" applyAlignment="1">
      <alignment/>
    </xf>
    <xf numFmtId="167" fontId="4" fillId="14" borderId="1" xfId="0" applyNumberFormat="1" applyFont="1" applyFill="1" applyBorder="1" applyAlignment="1">
      <alignment horizontal="left" vertical="center" indent="5"/>
    </xf>
    <xf numFmtId="164" fontId="5" fillId="14" borderId="1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8" fontId="19" fillId="13" borderId="3" xfId="0" applyNumberFormat="1" applyFont="1" applyFill="1" applyBorder="1" applyAlignment="1">
      <alignment/>
    </xf>
    <xf numFmtId="166" fontId="18" fillId="14" borderId="5" xfId="0" applyNumberFormat="1" applyFont="1" applyFill="1" applyBorder="1" applyAlignment="1">
      <alignment/>
    </xf>
    <xf numFmtId="167" fontId="4" fillId="15" borderId="1" xfId="0" applyNumberFormat="1" applyFont="1" applyFill="1" applyBorder="1" applyAlignment="1">
      <alignment horizontal="left" vertical="center" indent="5"/>
    </xf>
    <xf numFmtId="164" fontId="5" fillId="15" borderId="1" xfId="0" applyFont="1" applyFill="1" applyBorder="1" applyAlignment="1">
      <alignment horizontal="center" vertical="center"/>
    </xf>
    <xf numFmtId="166" fontId="18" fillId="15" borderId="5" xfId="0" applyNumberFormat="1" applyFont="1" applyFill="1" applyBorder="1" applyAlignment="1">
      <alignment/>
    </xf>
    <xf numFmtId="167" fontId="4" fillId="16" borderId="1" xfId="0" applyNumberFormat="1" applyFont="1" applyFill="1" applyBorder="1" applyAlignment="1">
      <alignment horizontal="left" vertical="center" indent="5"/>
    </xf>
    <xf numFmtId="164" fontId="5" fillId="16" borderId="1" xfId="0" applyFont="1" applyFill="1" applyBorder="1" applyAlignment="1">
      <alignment horizontal="center" vertical="center"/>
    </xf>
    <xf numFmtId="164" fontId="21" fillId="0" borderId="0" xfId="0" applyFont="1" applyAlignment="1">
      <alignment wrapText="1"/>
    </xf>
    <xf numFmtId="166" fontId="18" fillId="16" borderId="5" xfId="0" applyNumberFormat="1" applyFont="1" applyFill="1" applyBorder="1" applyAlignment="1">
      <alignment/>
    </xf>
    <xf numFmtId="167" fontId="4" fillId="13" borderId="1" xfId="0" applyNumberFormat="1" applyFont="1" applyFill="1" applyBorder="1" applyAlignment="1">
      <alignment horizontal="left" vertical="center" indent="5"/>
    </xf>
    <xf numFmtId="164" fontId="5" fillId="13" borderId="1" xfId="0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0" fillId="14" borderId="2" xfId="0" applyFont="1" applyFill="1" applyBorder="1" applyAlignment="1">
      <alignment/>
    </xf>
    <xf numFmtId="164" fontId="18" fillId="14" borderId="0" xfId="0" applyFont="1" applyFill="1" applyAlignment="1">
      <alignment wrapText="1"/>
    </xf>
    <xf numFmtId="164" fontId="0" fillId="14" borderId="0" xfId="0" applyNumberFormat="1" applyFont="1" applyFill="1" applyAlignment="1">
      <alignment/>
    </xf>
    <xf numFmtId="164" fontId="6" fillId="14" borderId="0" xfId="0" applyFont="1" applyFill="1" applyAlignment="1">
      <alignment horizontal="center"/>
    </xf>
    <xf numFmtId="166" fontId="0" fillId="14" borderId="0" xfId="0" applyNumberFormat="1" applyFont="1" applyFill="1" applyAlignment="1">
      <alignment/>
    </xf>
    <xf numFmtId="168" fontId="4" fillId="14" borderId="3" xfId="0" applyNumberFormat="1" applyFont="1" applyFill="1" applyBorder="1" applyAlignment="1">
      <alignment/>
    </xf>
    <xf numFmtId="166" fontId="18" fillId="13" borderId="5" xfId="0" applyNumberFormat="1" applyFont="1" applyFill="1" applyBorder="1" applyAlignment="1">
      <alignment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4" fillId="0" borderId="0" xfId="0" applyFont="1" applyAlignment="1">
      <alignment/>
    </xf>
    <xf numFmtId="167" fontId="25" fillId="17" borderId="1" xfId="0" applyNumberFormat="1" applyFont="1" applyFill="1" applyBorder="1" applyAlignment="1">
      <alignment horizontal="left" vertical="center" indent="5"/>
    </xf>
    <xf numFmtId="164" fontId="5" fillId="17" borderId="1" xfId="0" applyFont="1" applyFill="1" applyBorder="1" applyAlignment="1">
      <alignment horizontal="center" vertical="center"/>
    </xf>
    <xf numFmtId="164" fontId="26" fillId="0" borderId="2" xfId="0" applyFont="1" applyBorder="1" applyAlignment="1">
      <alignment/>
    </xf>
    <xf numFmtId="165" fontId="27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64" fontId="27" fillId="0" borderId="3" xfId="0" applyFont="1" applyBorder="1" applyAlignment="1">
      <alignment horizontal="left"/>
    </xf>
    <xf numFmtId="164" fontId="27" fillId="0" borderId="0" xfId="0" applyFont="1" applyBorder="1" applyAlignment="1">
      <alignment horizontal="center"/>
    </xf>
    <xf numFmtId="164" fontId="26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8" fontId="25" fillId="0" borderId="3" xfId="0" applyNumberFormat="1" applyFont="1" applyBorder="1" applyAlignment="1">
      <alignment/>
    </xf>
    <xf numFmtId="164" fontId="26" fillId="0" borderId="0" xfId="0" applyFont="1" applyAlignment="1">
      <alignment/>
    </xf>
    <xf numFmtId="164" fontId="26" fillId="0" borderId="4" xfId="0" applyFont="1" applyBorder="1" applyAlignment="1">
      <alignment/>
    </xf>
    <xf numFmtId="165" fontId="26" fillId="0" borderId="5" xfId="0" applyNumberFormat="1" applyFont="1" applyBorder="1" applyAlignment="1">
      <alignment horizontal="left"/>
    </xf>
    <xf numFmtId="164" fontId="26" fillId="0" borderId="5" xfId="0" applyFont="1" applyBorder="1" applyAlignment="1">
      <alignment/>
    </xf>
    <xf numFmtId="166" fontId="28" fillId="17" borderId="5" xfId="0" applyNumberFormat="1" applyFont="1" applyFill="1" applyBorder="1" applyAlignment="1">
      <alignment/>
    </xf>
    <xf numFmtId="164" fontId="19" fillId="0" borderId="5" xfId="0" applyFont="1" applyBorder="1" applyAlignment="1">
      <alignment/>
    </xf>
    <xf numFmtId="167" fontId="26" fillId="0" borderId="5" xfId="0" applyNumberFormat="1" applyFont="1" applyBorder="1" applyAlignment="1">
      <alignment/>
    </xf>
    <xf numFmtId="168" fontId="26" fillId="0" borderId="6" xfId="0" applyNumberFormat="1" applyFont="1" applyBorder="1" applyAlignment="1">
      <alignment/>
    </xf>
    <xf numFmtId="167" fontId="25" fillId="14" borderId="1" xfId="0" applyNumberFormat="1" applyFont="1" applyFill="1" applyBorder="1" applyAlignment="1">
      <alignment horizontal="left" vertical="center" indent="5"/>
    </xf>
    <xf numFmtId="166" fontId="2" fillId="0" borderId="0" xfId="0" applyNumberFormat="1" applyFont="1" applyAlignment="1">
      <alignment wrapText="1"/>
    </xf>
    <xf numFmtId="164" fontId="28" fillId="0" borderId="0" xfId="0" applyFont="1" applyAlignment="1">
      <alignment horizontal="right"/>
    </xf>
    <xf numFmtId="166" fontId="28" fillId="14" borderId="5" xfId="0" applyNumberFormat="1" applyFont="1" applyFill="1" applyBorder="1" applyAlignment="1">
      <alignment/>
    </xf>
    <xf numFmtId="167" fontId="25" fillId="18" borderId="1" xfId="0" applyNumberFormat="1" applyFont="1" applyFill="1" applyBorder="1" applyAlignment="1">
      <alignment horizontal="left" vertical="center" indent="5"/>
    </xf>
    <xf numFmtId="164" fontId="5" fillId="18" borderId="1" xfId="0" applyFont="1" applyFill="1" applyBorder="1" applyAlignment="1">
      <alignment horizontal="center" vertical="center"/>
    </xf>
    <xf numFmtId="164" fontId="0" fillId="0" borderId="0" xfId="0" applyFont="1" applyAlignment="1">
      <alignment wrapText="1"/>
    </xf>
    <xf numFmtId="166" fontId="28" fillId="18" borderId="5" xfId="0" applyNumberFormat="1" applyFont="1" applyFill="1" applyBorder="1" applyAlignment="1">
      <alignment/>
    </xf>
    <xf numFmtId="167" fontId="25" fillId="7" borderId="1" xfId="0" applyNumberFormat="1" applyFont="1" applyFill="1" applyBorder="1" applyAlignment="1">
      <alignment horizontal="left" vertical="center" indent="5"/>
    </xf>
    <xf numFmtId="164" fontId="2" fillId="0" borderId="0" xfId="0" applyFont="1" applyAlignment="1">
      <alignment wrapText="1"/>
    </xf>
    <xf numFmtId="166" fontId="28" fillId="7" borderId="5" xfId="0" applyNumberFormat="1" applyFont="1" applyFill="1" applyBorder="1" applyAlignment="1">
      <alignment/>
    </xf>
    <xf numFmtId="167" fontId="25" fillId="19" borderId="1" xfId="0" applyNumberFormat="1" applyFont="1" applyFill="1" applyBorder="1" applyAlignment="1">
      <alignment horizontal="left" vertical="center" indent="5"/>
    </xf>
    <xf numFmtId="164" fontId="5" fillId="19" borderId="1" xfId="0" applyFont="1" applyFill="1" applyBorder="1" applyAlignment="1">
      <alignment horizontal="center" vertical="center"/>
    </xf>
    <xf numFmtId="166" fontId="28" fillId="19" borderId="5" xfId="0" applyNumberFormat="1" applyFont="1" applyFill="1" applyBorder="1" applyAlignment="1">
      <alignment/>
    </xf>
    <xf numFmtId="167" fontId="25" fillId="20" borderId="1" xfId="0" applyNumberFormat="1" applyFont="1" applyFill="1" applyBorder="1" applyAlignment="1">
      <alignment horizontal="left" vertical="center" indent="5"/>
    </xf>
    <xf numFmtId="164" fontId="5" fillId="20" borderId="1" xfId="0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/>
    </xf>
    <xf numFmtId="164" fontId="27" fillId="0" borderId="0" xfId="0" applyFont="1" applyFill="1" applyBorder="1" applyAlignment="1">
      <alignment horizontal="center"/>
    </xf>
    <xf numFmtId="164" fontId="26" fillId="0" borderId="0" xfId="0" applyNumberFormat="1" applyFont="1" applyFill="1" applyAlignment="1">
      <alignment/>
    </xf>
    <xf numFmtId="164" fontId="27" fillId="0" borderId="0" xfId="0" applyFont="1" applyFill="1" applyAlignment="1">
      <alignment horizontal="center"/>
    </xf>
    <xf numFmtId="166" fontId="26" fillId="0" borderId="0" xfId="0" applyNumberFormat="1" applyFont="1" applyFill="1" applyAlignment="1">
      <alignment/>
    </xf>
    <xf numFmtId="168" fontId="25" fillId="0" borderId="3" xfId="0" applyNumberFormat="1" applyFont="1" applyFill="1" applyBorder="1" applyAlignment="1">
      <alignment/>
    </xf>
    <xf numFmtId="166" fontId="28" fillId="20" borderId="5" xfId="0" applyNumberFormat="1" applyFont="1" applyFill="1" applyBorder="1" applyAlignment="1">
      <alignment/>
    </xf>
    <xf numFmtId="167" fontId="25" fillId="9" borderId="1" xfId="0" applyNumberFormat="1" applyFont="1" applyFill="1" applyBorder="1" applyAlignment="1">
      <alignment horizontal="left" vertical="center" indent="5"/>
    </xf>
    <xf numFmtId="166" fontId="28" fillId="9" borderId="5" xfId="0" applyNumberFormat="1" applyFont="1" applyFill="1" applyBorder="1" applyAlignment="1">
      <alignment/>
    </xf>
    <xf numFmtId="167" fontId="25" fillId="21" borderId="1" xfId="0" applyNumberFormat="1" applyFont="1" applyFill="1" applyBorder="1" applyAlignment="1">
      <alignment horizontal="left" vertical="center" indent="5"/>
    </xf>
    <xf numFmtId="164" fontId="5" fillId="21" borderId="1" xfId="0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167" fontId="27" fillId="0" borderId="0" xfId="0" applyNumberFormat="1" applyFont="1" applyFill="1" applyAlignment="1">
      <alignment horizontal="center"/>
    </xf>
    <xf numFmtId="164" fontId="27" fillId="0" borderId="3" xfId="0" applyFont="1" applyFill="1" applyBorder="1" applyAlignment="1">
      <alignment horizontal="left"/>
    </xf>
    <xf numFmtId="164" fontId="26" fillId="0" borderId="0" xfId="0" applyFont="1" applyFill="1" applyAlignment="1">
      <alignment/>
    </xf>
    <xf numFmtId="166" fontId="28" fillId="21" borderId="5" xfId="0" applyNumberFormat="1" applyFont="1" applyFill="1" applyBorder="1" applyAlignment="1">
      <alignment/>
    </xf>
    <xf numFmtId="167" fontId="25" fillId="15" borderId="1" xfId="0" applyNumberFormat="1" applyFont="1" applyFill="1" applyBorder="1" applyAlignment="1">
      <alignment horizontal="left" vertical="center" indent="5"/>
    </xf>
    <xf numFmtId="164" fontId="28" fillId="0" borderId="0" xfId="0" applyFont="1" applyAlignment="1">
      <alignment wrapText="1"/>
    </xf>
    <xf numFmtId="166" fontId="28" fillId="15" borderId="5" xfId="0" applyNumberFormat="1" applyFont="1" applyFill="1" applyBorder="1" applyAlignment="1">
      <alignment/>
    </xf>
    <xf numFmtId="167" fontId="25" fillId="22" borderId="1" xfId="0" applyNumberFormat="1" applyFont="1" applyFill="1" applyBorder="1" applyAlignment="1">
      <alignment horizontal="left" vertical="center" indent="5"/>
    </xf>
    <xf numFmtId="164" fontId="5" fillId="22" borderId="1" xfId="0" applyFont="1" applyFill="1" applyBorder="1" applyAlignment="1">
      <alignment horizontal="center" vertical="center"/>
    </xf>
    <xf numFmtId="166" fontId="28" fillId="23" borderId="5" xfId="0" applyNumberFormat="1" applyFont="1" applyFill="1" applyBorder="1" applyAlignment="1">
      <alignment/>
    </xf>
    <xf numFmtId="166" fontId="28" fillId="22" borderId="5" xfId="0" applyNumberFormat="1" applyFont="1" applyFill="1" applyBorder="1" applyAlignment="1">
      <alignment/>
    </xf>
    <xf numFmtId="167" fontId="25" fillId="24" borderId="1" xfId="0" applyNumberFormat="1" applyFont="1" applyFill="1" applyBorder="1" applyAlignment="1">
      <alignment horizontal="left" vertical="center" indent="5"/>
    </xf>
    <xf numFmtId="164" fontId="26" fillId="24" borderId="1" xfId="0" applyFont="1" applyFill="1" applyBorder="1" applyAlignment="1">
      <alignment horizontal="center" vertical="center"/>
    </xf>
    <xf numFmtId="166" fontId="28" fillId="24" borderId="5" xfId="0" applyNumberFormat="1" applyFont="1" applyFill="1" applyBorder="1" applyAlignment="1">
      <alignment/>
    </xf>
    <xf numFmtId="164" fontId="29" fillId="0" borderId="0" xfId="0" applyFont="1" applyBorder="1" applyAlignment="1">
      <alignment horizontal="center" vertical="center"/>
    </xf>
    <xf numFmtId="164" fontId="25" fillId="25" borderId="7" xfId="0" applyFont="1" applyFill="1" applyBorder="1" applyAlignment="1">
      <alignment horizontal="center"/>
    </xf>
    <xf numFmtId="164" fontId="24" fillId="0" borderId="2" xfId="0" applyFont="1" applyBorder="1" applyAlignment="1">
      <alignment/>
    </xf>
    <xf numFmtId="165" fontId="3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6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64" fontId="30" fillId="0" borderId="3" xfId="0" applyFont="1" applyBorder="1" applyAlignment="1">
      <alignment horizontal="left"/>
    </xf>
    <xf numFmtId="167" fontId="24" fillId="0" borderId="0" xfId="0" applyNumberFormat="1" applyFont="1" applyAlignment="1">
      <alignment/>
    </xf>
    <xf numFmtId="164" fontId="30" fillId="0" borderId="0" xfId="0" applyFont="1" applyBorder="1" applyAlignment="1">
      <alignment horizontal="center"/>
    </xf>
    <xf numFmtId="166" fontId="24" fillId="0" borderId="0" xfId="0" applyNumberFormat="1" applyFont="1" applyAlignment="1">
      <alignment/>
    </xf>
    <xf numFmtId="168" fontId="31" fillId="0" borderId="3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6" fontId="2" fillId="0" borderId="0" xfId="0" applyNumberFormat="1" applyFont="1" applyAlignment="1">
      <alignment vertical="top" wrapText="1"/>
    </xf>
    <xf numFmtId="166" fontId="24" fillId="0" borderId="0" xfId="0" applyNumberFormat="1" applyFont="1" applyAlignment="1">
      <alignment horizontal="center"/>
    </xf>
    <xf numFmtId="168" fontId="31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31" fillId="0" borderId="0" xfId="0" applyFont="1" applyAlignment="1">
      <alignment wrapText="1"/>
    </xf>
    <xf numFmtId="164" fontId="31" fillId="0" borderId="0" xfId="0" applyNumberFormat="1" applyFont="1" applyAlignment="1">
      <alignment wrapText="1"/>
    </xf>
    <xf numFmtId="164" fontId="24" fillId="0" borderId="4" xfId="0" applyFont="1" applyBorder="1" applyAlignment="1">
      <alignment/>
    </xf>
    <xf numFmtId="165" fontId="24" fillId="0" borderId="5" xfId="0" applyNumberFormat="1" applyFont="1" applyBorder="1" applyAlignment="1">
      <alignment horizontal="left"/>
    </xf>
    <xf numFmtId="164" fontId="24" fillId="0" borderId="5" xfId="0" applyFont="1" applyBorder="1" applyAlignment="1">
      <alignment/>
    </xf>
    <xf numFmtId="166" fontId="32" fillId="25" borderId="5" xfId="0" applyNumberFormat="1" applyFont="1" applyFill="1" applyBorder="1" applyAlignment="1">
      <alignment/>
    </xf>
    <xf numFmtId="167" fontId="24" fillId="0" borderId="5" xfId="0" applyNumberFormat="1" applyFont="1" applyBorder="1" applyAlignment="1">
      <alignment/>
    </xf>
    <xf numFmtId="168" fontId="24" fillId="0" borderId="6" xfId="0" applyNumberFormat="1" applyFont="1" applyBorder="1" applyAlignment="1">
      <alignment/>
    </xf>
    <xf numFmtId="164" fontId="24" fillId="0" borderId="0" xfId="0" applyFont="1" applyAlignment="1">
      <alignment wrapText="1"/>
    </xf>
    <xf numFmtId="164" fontId="2" fillId="0" borderId="0" xfId="0" applyFont="1" applyAlignment="1">
      <alignment/>
    </xf>
    <xf numFmtId="164" fontId="33" fillId="0" borderId="0" xfId="0" applyFont="1" applyAlignment="1">
      <alignment horizontal="left"/>
    </xf>
    <xf numFmtId="164" fontId="31" fillId="26" borderId="7" xfId="0" applyFont="1" applyFill="1" applyBorder="1" applyAlignment="1">
      <alignment horizontal="center"/>
    </xf>
    <xf numFmtId="166" fontId="34" fillId="0" borderId="0" xfId="0" applyNumberFormat="1" applyFont="1" applyAlignment="1">
      <alignment wrapText="1"/>
    </xf>
    <xf numFmtId="166" fontId="32" fillId="26" borderId="5" xfId="0" applyNumberFormat="1" applyFont="1" applyFill="1" applyBorder="1" applyAlignment="1">
      <alignment/>
    </xf>
    <xf numFmtId="166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/>
    </xf>
    <xf numFmtId="164" fontId="31" fillId="14" borderId="7" xfId="0" applyFont="1" applyFill="1" applyBorder="1" applyAlignment="1">
      <alignment horizontal="center"/>
    </xf>
    <xf numFmtId="166" fontId="32" fillId="14" borderId="5" xfId="0" applyNumberFormat="1" applyFont="1" applyFill="1" applyBorder="1" applyAlignment="1">
      <alignment/>
    </xf>
    <xf numFmtId="164" fontId="31" fillId="22" borderId="7" xfId="0" applyFont="1" applyFill="1" applyBorder="1" applyAlignment="1">
      <alignment horizontal="center"/>
    </xf>
    <xf numFmtId="167" fontId="31" fillId="0" borderId="3" xfId="0" applyNumberFormat="1" applyFont="1" applyBorder="1" applyAlignment="1">
      <alignment/>
    </xf>
    <xf numFmtId="166" fontId="32" fillId="22" borderId="5" xfId="0" applyNumberFormat="1" applyFont="1" applyFill="1" applyBorder="1" applyAlignment="1">
      <alignment/>
    </xf>
    <xf numFmtId="164" fontId="24" fillId="0" borderId="6" xfId="0" applyFont="1" applyBorder="1" applyAlignment="1">
      <alignment/>
    </xf>
    <xf numFmtId="164" fontId="31" fillId="3" borderId="7" xfId="0" applyFont="1" applyFill="1" applyBorder="1" applyAlignment="1">
      <alignment horizontal="center"/>
    </xf>
    <xf numFmtId="166" fontId="32" fillId="3" borderId="5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35" fillId="0" borderId="0" xfId="0" applyFont="1" applyFill="1" applyBorder="1" applyAlignment="1">
      <alignment horizontal="center"/>
    </xf>
    <xf numFmtId="164" fontId="36" fillId="0" borderId="8" xfId="0" applyFont="1" applyFill="1" applyBorder="1" applyAlignment="1">
      <alignment horizontal="center" vertical="center" wrapText="1"/>
    </xf>
    <xf numFmtId="165" fontId="30" fillId="0" borderId="8" xfId="0" applyNumberFormat="1" applyFont="1" applyFill="1" applyBorder="1" applyAlignment="1">
      <alignment horizontal="center" vertical="center"/>
    </xf>
    <xf numFmtId="164" fontId="30" fillId="0" borderId="8" xfId="0" applyFont="1" applyFill="1" applyBorder="1" applyAlignment="1">
      <alignment horizontal="center" vertical="center"/>
    </xf>
    <xf numFmtId="164" fontId="30" fillId="0" borderId="9" xfId="0" applyFont="1" applyFill="1" applyBorder="1" applyAlignment="1">
      <alignment horizontal="center" vertical="center"/>
    </xf>
    <xf numFmtId="166" fontId="30" fillId="0" borderId="9" xfId="0" applyNumberFormat="1" applyFont="1" applyFill="1" applyBorder="1" applyAlignment="1">
      <alignment horizontal="center" vertical="center"/>
    </xf>
    <xf numFmtId="164" fontId="37" fillId="0" borderId="0" xfId="0" applyFont="1" applyFill="1" applyAlignment="1">
      <alignment horizontal="center"/>
    </xf>
    <xf numFmtId="164" fontId="38" fillId="0" borderId="10" xfId="0" applyNumberFormat="1" applyFont="1" applyFill="1" applyBorder="1" applyAlignment="1">
      <alignment/>
    </xf>
    <xf numFmtId="166" fontId="39" fillId="0" borderId="10" xfId="20" applyNumberFormat="1" applyFont="1" applyFill="1" applyBorder="1" applyAlignment="1" applyProtection="1">
      <alignment wrapText="1"/>
      <protection/>
    </xf>
    <xf numFmtId="164" fontId="38" fillId="0" borderId="10" xfId="0" applyFont="1" applyFill="1" applyBorder="1" applyAlignment="1">
      <alignment/>
    </xf>
    <xf numFmtId="164" fontId="24" fillId="0" borderId="10" xfId="0" applyFont="1" applyFill="1" applyBorder="1" applyAlignment="1">
      <alignment/>
    </xf>
    <xf numFmtId="164" fontId="24" fillId="0" borderId="10" xfId="0" applyFont="1" applyFill="1" applyBorder="1" applyAlignment="1">
      <alignment wrapText="1"/>
    </xf>
    <xf numFmtId="165" fontId="24" fillId="0" borderId="10" xfId="0" applyNumberFormat="1" applyFont="1" applyFill="1" applyBorder="1" applyAlignment="1">
      <alignment horizontal="left"/>
    </xf>
    <xf numFmtId="164" fontId="24" fillId="0" borderId="10" xfId="0" applyFont="1" applyFill="1" applyBorder="1" applyAlignment="1">
      <alignment/>
    </xf>
    <xf numFmtId="166" fontId="24" fillId="0" borderId="11" xfId="0" applyNumberFormat="1" applyFont="1" applyFill="1" applyBorder="1" applyAlignment="1">
      <alignment/>
    </xf>
    <xf numFmtId="166" fontId="40" fillId="0" borderId="10" xfId="20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 wrapText="1"/>
    </xf>
    <xf numFmtId="164" fontId="24" fillId="0" borderId="0" xfId="0" applyFont="1" applyFill="1" applyAlignment="1">
      <alignment/>
    </xf>
    <xf numFmtId="164" fontId="24" fillId="0" borderId="0" xfId="0" applyFont="1" applyFill="1" applyAlignment="1">
      <alignment/>
    </xf>
    <xf numFmtId="165" fontId="24" fillId="0" borderId="0" xfId="0" applyNumberFormat="1" applyFont="1" applyFill="1" applyAlignment="1">
      <alignment horizontal="left"/>
    </xf>
    <xf numFmtId="166" fontId="32" fillId="0" borderId="0" xfId="0" applyNumberFormat="1" applyFont="1" applyFill="1" applyAlignment="1">
      <alignment/>
    </xf>
    <xf numFmtId="164" fontId="32" fillId="0" borderId="0" xfId="0" applyFont="1" applyFill="1" applyAlignment="1">
      <alignment/>
    </xf>
    <xf numFmtId="164" fontId="31" fillId="0" borderId="0" xfId="0" applyFont="1" applyFill="1" applyAlignment="1">
      <alignment horizontal="right"/>
    </xf>
    <xf numFmtId="166" fontId="31" fillId="0" borderId="0" xfId="0" applyNumberFormat="1" applyFont="1" applyFill="1" applyAlignment="1">
      <alignment/>
    </xf>
    <xf numFmtId="164" fontId="41" fillId="0" borderId="0" xfId="0" applyFont="1" applyFill="1" applyBorder="1" applyAlignment="1">
      <alignment horizontal="center"/>
    </xf>
    <xf numFmtId="165" fontId="37" fillId="0" borderId="0" xfId="0" applyNumberFormat="1" applyFont="1" applyFill="1" applyAlignment="1">
      <alignment horizontal="center"/>
    </xf>
    <xf numFmtId="164" fontId="5" fillId="0" borderId="10" xfId="0" applyFont="1" applyFill="1" applyBorder="1" applyAlignment="1">
      <alignment/>
    </xf>
    <xf numFmtId="164" fontId="18" fillId="0" borderId="0" xfId="0" applyFont="1" applyAlignment="1">
      <alignment/>
    </xf>
    <xf numFmtId="164" fontId="39" fillId="0" borderId="10" xfId="0" applyFont="1" applyFill="1" applyBorder="1" applyAlignment="1">
      <alignment/>
    </xf>
    <xf numFmtId="164" fontId="42" fillId="0" borderId="10" xfId="0" applyFont="1" applyFill="1" applyBorder="1" applyAlignment="1">
      <alignment/>
    </xf>
    <xf numFmtId="164" fontId="38" fillId="0" borderId="10" xfId="0" applyFont="1" applyFill="1" applyBorder="1" applyAlignment="1">
      <alignment horizontal="left"/>
    </xf>
    <xf numFmtId="164" fontId="5" fillId="0" borderId="0" xfId="0" applyFont="1" applyFill="1" applyAlignment="1">
      <alignment wrapText="1"/>
    </xf>
    <xf numFmtId="164" fontId="39" fillId="0" borderId="0" xfId="0" applyFont="1" applyFill="1" applyAlignment="1">
      <alignment wrapText="1"/>
    </xf>
    <xf numFmtId="164" fontId="44" fillId="0" borderId="0" xfId="0" applyFont="1" applyFill="1" applyAlignment="1">
      <alignment wrapText="1"/>
    </xf>
    <xf numFmtId="164" fontId="45" fillId="0" borderId="0" xfId="0" applyFont="1" applyFill="1" applyBorder="1" applyAlignment="1">
      <alignment horizontal="center"/>
    </xf>
    <xf numFmtId="164" fontId="32" fillId="0" borderId="12" xfId="0" applyFont="1" applyFill="1" applyBorder="1" applyAlignment="1">
      <alignment/>
    </xf>
    <xf numFmtId="164" fontId="39" fillId="0" borderId="0" xfId="0" applyFont="1" applyFill="1" applyAlignment="1">
      <alignment/>
    </xf>
    <xf numFmtId="164" fontId="44" fillId="0" borderId="10" xfId="0" applyFont="1" applyFill="1" applyBorder="1" applyAlignment="1">
      <alignment/>
    </xf>
    <xf numFmtId="164" fontId="39" fillId="0" borderId="10" xfId="20" applyNumberFormat="1" applyFont="1" applyFill="1" applyBorder="1" applyAlignment="1" applyProtection="1">
      <alignment/>
      <protection/>
    </xf>
    <xf numFmtId="164" fontId="25" fillId="0" borderId="0" xfId="0" applyFont="1" applyFill="1" applyAlignment="1">
      <alignment horizontal="right"/>
    </xf>
    <xf numFmtId="166" fontId="25" fillId="0" borderId="0" xfId="0" applyNumberFormat="1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46" fillId="0" borderId="8" xfId="0" applyFont="1" applyFill="1" applyBorder="1" applyAlignment="1">
      <alignment horizontal="center" vertical="center" wrapText="1"/>
    </xf>
    <xf numFmtId="165" fontId="27" fillId="0" borderId="8" xfId="0" applyNumberFormat="1" applyFont="1" applyFill="1" applyBorder="1" applyAlignment="1">
      <alignment horizontal="center" vertical="center"/>
    </xf>
    <xf numFmtId="164" fontId="27" fillId="0" borderId="8" xfId="0" applyFont="1" applyFill="1" applyBorder="1" applyAlignment="1">
      <alignment horizontal="center" vertical="center"/>
    </xf>
    <xf numFmtId="164" fontId="27" fillId="0" borderId="9" xfId="0" applyFont="1" applyFill="1" applyBorder="1" applyAlignment="1">
      <alignment horizontal="center" vertical="center"/>
    </xf>
    <xf numFmtId="164" fontId="47" fillId="0" borderId="0" xfId="0" applyFont="1" applyFill="1" applyAlignment="1">
      <alignment horizontal="center"/>
    </xf>
    <xf numFmtId="164" fontId="48" fillId="0" borderId="10" xfId="0" applyNumberFormat="1" applyFont="1" applyFill="1" applyBorder="1" applyAlignment="1">
      <alignment/>
    </xf>
    <xf numFmtId="164" fontId="48" fillId="0" borderId="10" xfId="0" applyFont="1" applyFill="1" applyBorder="1" applyAlignment="1">
      <alignment/>
    </xf>
    <xf numFmtId="164" fontId="26" fillId="0" borderId="10" xfId="0" applyFont="1" applyFill="1" applyBorder="1" applyAlignment="1">
      <alignment/>
    </xf>
    <xf numFmtId="165" fontId="26" fillId="0" borderId="10" xfId="0" applyNumberFormat="1" applyFont="1" applyFill="1" applyBorder="1" applyAlignment="1">
      <alignment horizontal="left"/>
    </xf>
    <xf numFmtId="164" fontId="26" fillId="0" borderId="10" xfId="0" applyFont="1" applyFill="1" applyBorder="1" applyAlignment="1">
      <alignment/>
    </xf>
    <xf numFmtId="164" fontId="26" fillId="0" borderId="5" xfId="0" applyFont="1" applyFill="1" applyBorder="1" applyAlignment="1">
      <alignment/>
    </xf>
    <xf numFmtId="166" fontId="26" fillId="0" borderId="11" xfId="0" applyNumberFormat="1" applyFont="1" applyFill="1" applyBorder="1" applyAlignment="1">
      <alignment/>
    </xf>
    <xf numFmtId="164" fontId="26" fillId="0" borderId="0" xfId="0" applyFont="1" applyFill="1" applyAlignment="1">
      <alignment/>
    </xf>
    <xf numFmtId="165" fontId="26" fillId="0" borderId="0" xfId="0" applyNumberFormat="1" applyFont="1" applyFill="1" applyAlignment="1">
      <alignment horizontal="left"/>
    </xf>
    <xf numFmtId="166" fontId="28" fillId="0" borderId="0" xfId="0" applyNumberFormat="1" applyFont="1" applyFill="1" applyAlignment="1">
      <alignment/>
    </xf>
    <xf numFmtId="164" fontId="26" fillId="0" borderId="13" xfId="0" applyFont="1" applyFill="1" applyBorder="1" applyAlignment="1">
      <alignment/>
    </xf>
    <xf numFmtId="164" fontId="39" fillId="0" borderId="10" xfId="0" applyFont="1" applyFill="1" applyBorder="1" applyAlignment="1">
      <alignment/>
    </xf>
    <xf numFmtId="164" fontId="24" fillId="0" borderId="13" xfId="0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166" fontId="26" fillId="0" borderId="13" xfId="0" applyNumberFormat="1" applyFont="1" applyFill="1" applyBorder="1" applyAlignment="1">
      <alignment/>
    </xf>
    <xf numFmtId="164" fontId="24" fillId="0" borderId="0" xfId="0" applyFont="1" applyFill="1" applyAlignment="1">
      <alignment wrapText="1"/>
    </xf>
    <xf numFmtId="164" fontId="5" fillId="0" borderId="10" xfId="0" applyFont="1" applyFill="1" applyBorder="1" applyAlignment="1">
      <alignment/>
    </xf>
    <xf numFmtId="164" fontId="40" fillId="0" borderId="10" xfId="0" applyFont="1" applyFill="1" applyBorder="1" applyAlignment="1">
      <alignment/>
    </xf>
    <xf numFmtId="166" fontId="24" fillId="0" borderId="13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40" fillId="0" borderId="10" xfId="0" applyFont="1" applyFill="1" applyBorder="1" applyAlignment="1">
      <alignment/>
    </xf>
    <xf numFmtId="164" fontId="51" fillId="0" borderId="10" xfId="0" applyFont="1" applyFill="1" applyBorder="1" applyAlignment="1">
      <alignment/>
    </xf>
    <xf numFmtId="164" fontId="28" fillId="0" borderId="0" xfId="0" applyFont="1" applyFill="1" applyAlignment="1">
      <alignment/>
    </xf>
    <xf numFmtId="166" fontId="27" fillId="0" borderId="9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left"/>
    </xf>
    <xf numFmtId="164" fontId="52" fillId="0" borderId="0" xfId="0" applyFont="1" applyFill="1" applyBorder="1" applyAlignment="1">
      <alignment horizontal="center"/>
    </xf>
    <xf numFmtId="165" fontId="24" fillId="0" borderId="0" xfId="0" applyNumberFormat="1" applyFont="1" applyFill="1" applyAlignment="1">
      <alignment/>
    </xf>
    <xf numFmtId="164" fontId="36" fillId="0" borderId="8" xfId="0" applyFont="1" applyFill="1" applyBorder="1" applyAlignment="1">
      <alignment horizontal="right" vertical="center" wrapText="1"/>
    </xf>
    <xf numFmtId="164" fontId="24" fillId="0" borderId="0" xfId="0" applyFont="1" applyFill="1" applyAlignment="1">
      <alignment horizontal="right"/>
    </xf>
    <xf numFmtId="165" fontId="36" fillId="0" borderId="8" xfId="0" applyNumberFormat="1" applyFont="1" applyFill="1" applyBorder="1" applyAlignment="1">
      <alignment horizontal="center" vertical="center" wrapText="1"/>
    </xf>
    <xf numFmtId="164" fontId="36" fillId="0" borderId="9" xfId="0" applyFont="1" applyFill="1" applyBorder="1" applyAlignment="1">
      <alignment horizontal="center" vertical="center" wrapText="1"/>
    </xf>
    <xf numFmtId="166" fontId="36" fillId="0" borderId="9" xfId="0" applyNumberFormat="1" applyFont="1" applyFill="1" applyBorder="1" applyAlignment="1">
      <alignment horizontal="center" vertical="center" wrapText="1"/>
    </xf>
    <xf numFmtId="164" fontId="53" fillId="0" borderId="0" xfId="0" applyFont="1" applyAlignment="1">
      <alignment wrapText="1"/>
    </xf>
    <xf numFmtId="164" fontId="38" fillId="0" borderId="0" xfId="0" applyFont="1" applyFill="1" applyAlignment="1">
      <alignment wrapText="1"/>
    </xf>
    <xf numFmtId="166" fontId="54" fillId="0" borderId="0" xfId="0" applyNumberFormat="1" applyFont="1" applyFill="1" applyAlignment="1">
      <alignment wrapText="1"/>
    </xf>
    <xf numFmtId="164" fontId="54" fillId="0" borderId="0" xfId="0" applyFont="1" applyFill="1" applyAlignment="1">
      <alignment wrapText="1"/>
    </xf>
    <xf numFmtId="164" fontId="55" fillId="0" borderId="0" xfId="0" applyFont="1" applyAlignment="1">
      <alignment wrapText="1"/>
    </xf>
    <xf numFmtId="164" fontId="56" fillId="0" borderId="0" xfId="0" applyFont="1" applyBorder="1" applyAlignment="1">
      <alignment horizontal="center"/>
    </xf>
    <xf numFmtId="164" fontId="57" fillId="0" borderId="8" xfId="0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4" fontId="58" fillId="0" borderId="0" xfId="0" applyFont="1" applyAlignment="1">
      <alignment horizontal="center"/>
    </xf>
    <xf numFmtId="164" fontId="53" fillId="16" borderId="10" xfId="0" applyNumberFormat="1" applyFont="1" applyFill="1" applyBorder="1" applyAlignment="1">
      <alignment/>
    </xf>
    <xf numFmtId="164" fontId="39" fillId="16" borderId="10" xfId="0" applyFont="1" applyFill="1" applyBorder="1" applyAlignment="1">
      <alignment/>
    </xf>
    <xf numFmtId="164" fontId="53" fillId="16" borderId="10" xfId="0" applyFont="1" applyFill="1" applyBorder="1" applyAlignment="1">
      <alignment/>
    </xf>
    <xf numFmtId="164" fontId="39" fillId="16" borderId="10" xfId="0" applyFont="1" applyFill="1" applyBorder="1" applyAlignment="1">
      <alignment/>
    </xf>
    <xf numFmtId="164" fontId="0" fillId="16" borderId="10" xfId="0" applyFont="1" applyFill="1" applyBorder="1" applyAlignment="1">
      <alignment/>
    </xf>
    <xf numFmtId="165" fontId="0" fillId="16" borderId="10" xfId="0" applyNumberFormat="1" applyFont="1" applyFill="1" applyBorder="1" applyAlignment="1">
      <alignment horizontal="left"/>
    </xf>
    <xf numFmtId="164" fontId="0" fillId="16" borderId="10" xfId="0" applyFont="1" applyFill="1" applyBorder="1" applyAlignment="1">
      <alignment/>
    </xf>
    <xf numFmtId="164" fontId="0" fillId="16" borderId="13" xfId="0" applyFont="1" applyFill="1" applyBorder="1" applyAlignment="1">
      <alignment/>
    </xf>
    <xf numFmtId="166" fontId="0" fillId="16" borderId="13" xfId="0" applyNumberFormat="1" applyFont="1" applyFill="1" applyBorder="1" applyAlignment="1">
      <alignment/>
    </xf>
    <xf numFmtId="166" fontId="0" fillId="16" borderId="11" xfId="0" applyNumberFormat="1" applyFont="1" applyFill="1" applyBorder="1" applyAlignment="1">
      <alignment/>
    </xf>
    <xf numFmtId="164" fontId="53" fillId="5" borderId="10" xfId="0" applyNumberFormat="1" applyFont="1" applyFill="1" applyBorder="1" applyAlignment="1">
      <alignment/>
    </xf>
    <xf numFmtId="164" fontId="39" fillId="5" borderId="10" xfId="0" applyFont="1" applyFill="1" applyBorder="1" applyAlignment="1">
      <alignment/>
    </xf>
    <xf numFmtId="164" fontId="53" fillId="5" borderId="10" xfId="0" applyFont="1" applyFill="1" applyBorder="1" applyAlignment="1">
      <alignment/>
    </xf>
    <xf numFmtId="164" fontId="5" fillId="5" borderId="10" xfId="0" applyFont="1" applyFill="1" applyBorder="1" applyAlignment="1">
      <alignment/>
    </xf>
    <xf numFmtId="164" fontId="0" fillId="5" borderId="10" xfId="0" applyFont="1" applyFill="1" applyBorder="1" applyAlignment="1">
      <alignment/>
    </xf>
    <xf numFmtId="165" fontId="0" fillId="5" borderId="10" xfId="0" applyNumberFormat="1" applyFont="1" applyFill="1" applyBorder="1" applyAlignment="1">
      <alignment horizontal="left"/>
    </xf>
    <xf numFmtId="164" fontId="0" fillId="5" borderId="10" xfId="0" applyFont="1" applyFill="1" applyBorder="1" applyAlignment="1">
      <alignment/>
    </xf>
    <xf numFmtId="164" fontId="0" fillId="5" borderId="13" xfId="0" applyFont="1" applyFill="1" applyBorder="1" applyAlignment="1">
      <alignment/>
    </xf>
    <xf numFmtId="166" fontId="0" fillId="5" borderId="11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4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164" fontId="59" fillId="0" borderId="0" xfId="0" applyFont="1" applyFill="1" applyAlignment="1">
      <alignment horizontal="right"/>
    </xf>
    <xf numFmtId="166" fontId="59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0" fillId="0" borderId="0" xfId="0" applyFont="1" applyFill="1" applyAlignment="1">
      <alignment horizontal="right"/>
    </xf>
    <xf numFmtId="166" fontId="60" fillId="0" borderId="0" xfId="0" applyNumberFormat="1" applyFont="1" applyAlignment="1">
      <alignment/>
    </xf>
    <xf numFmtId="164" fontId="24" fillId="0" borderId="0" xfId="0" applyFont="1" applyFill="1" applyAlignment="1">
      <alignment horizontal="center"/>
    </xf>
    <xf numFmtId="164" fontId="57" fillId="0" borderId="14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164" fontId="6" fillId="0" borderId="14" xfId="0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4" fontId="53" fillId="15" borderId="10" xfId="0" applyNumberFormat="1" applyFont="1" applyFill="1" applyBorder="1" applyAlignment="1">
      <alignment/>
    </xf>
    <xf numFmtId="164" fontId="39" fillId="15" borderId="10" xfId="0" applyFont="1" applyFill="1" applyBorder="1" applyAlignment="1">
      <alignment/>
    </xf>
    <xf numFmtId="164" fontId="53" fillId="15" borderId="10" xfId="0" applyFont="1" applyFill="1" applyBorder="1" applyAlignment="1">
      <alignment/>
    </xf>
    <xf numFmtId="164" fontId="39" fillId="15" borderId="10" xfId="0" applyFont="1" applyFill="1" applyBorder="1" applyAlignment="1">
      <alignment/>
    </xf>
    <xf numFmtId="164" fontId="0" fillId="15" borderId="10" xfId="0" applyFont="1" applyFill="1" applyBorder="1" applyAlignment="1">
      <alignment/>
    </xf>
    <xf numFmtId="165" fontId="0" fillId="15" borderId="10" xfId="0" applyNumberFormat="1" applyFont="1" applyFill="1" applyBorder="1" applyAlignment="1">
      <alignment horizontal="left"/>
    </xf>
    <xf numFmtId="164" fontId="0" fillId="15" borderId="10" xfId="0" applyFont="1" applyFill="1" applyBorder="1" applyAlignment="1">
      <alignment/>
    </xf>
    <xf numFmtId="164" fontId="0" fillId="15" borderId="13" xfId="0" applyFont="1" applyFill="1" applyBorder="1" applyAlignment="1">
      <alignment/>
    </xf>
    <xf numFmtId="166" fontId="0" fillId="15" borderId="13" xfId="0" applyNumberFormat="1" applyFont="1" applyFill="1" applyBorder="1" applyAlignment="1">
      <alignment/>
    </xf>
    <xf numFmtId="166" fontId="0" fillId="15" borderId="11" xfId="0" applyNumberFormat="1" applyFont="1" applyFill="1" applyBorder="1" applyAlignment="1">
      <alignment/>
    </xf>
    <xf numFmtId="164" fontId="36" fillId="0" borderId="14" xfId="0" applyFont="1" applyFill="1" applyBorder="1" applyAlignment="1">
      <alignment horizontal="center" vertical="center" wrapText="1"/>
    </xf>
    <xf numFmtId="165" fontId="30" fillId="0" borderId="14" xfId="0" applyNumberFormat="1" applyFont="1" applyFill="1" applyBorder="1" applyAlignment="1">
      <alignment horizontal="center" vertical="center"/>
    </xf>
    <xf numFmtId="164" fontId="30" fillId="0" borderId="14" xfId="0" applyFont="1" applyFill="1" applyBorder="1" applyAlignment="1">
      <alignment horizontal="center" vertical="center"/>
    </xf>
    <xf numFmtId="166" fontId="30" fillId="0" borderId="16" xfId="0" applyNumberFormat="1" applyFont="1" applyFill="1" applyBorder="1" applyAlignment="1">
      <alignment horizontal="center" vertical="center"/>
    </xf>
    <xf numFmtId="164" fontId="61" fillId="0" borderId="0" xfId="0" applyFont="1" applyBorder="1" applyAlignment="1">
      <alignment horizontal="center"/>
    </xf>
    <xf numFmtId="164" fontId="5" fillId="16" borderId="10" xfId="0" applyFont="1" applyFill="1" applyBorder="1" applyAlignment="1">
      <alignment/>
    </xf>
    <xf numFmtId="164" fontId="53" fillId="14" borderId="10" xfId="0" applyNumberFormat="1" applyFont="1" applyFill="1" applyBorder="1" applyAlignment="1">
      <alignment/>
    </xf>
    <xf numFmtId="164" fontId="39" fillId="14" borderId="10" xfId="0" applyFont="1" applyFill="1" applyBorder="1" applyAlignment="1">
      <alignment/>
    </xf>
    <xf numFmtId="164" fontId="53" fillId="14" borderId="10" xfId="0" applyFont="1" applyFill="1" applyBorder="1" applyAlignment="1">
      <alignment/>
    </xf>
    <xf numFmtId="164" fontId="5" fillId="14" borderId="10" xfId="0" applyFont="1" applyFill="1" applyBorder="1" applyAlignment="1">
      <alignment/>
    </xf>
    <xf numFmtId="164" fontId="0" fillId="14" borderId="10" xfId="0" applyFont="1" applyFill="1" applyBorder="1" applyAlignment="1">
      <alignment/>
    </xf>
    <xf numFmtId="165" fontId="0" fillId="14" borderId="10" xfId="0" applyNumberFormat="1" applyFont="1" applyFill="1" applyBorder="1" applyAlignment="1">
      <alignment horizontal="left"/>
    </xf>
    <xf numFmtId="164" fontId="0" fillId="14" borderId="10" xfId="0" applyFont="1" applyFill="1" applyBorder="1" applyAlignment="1">
      <alignment/>
    </xf>
    <xf numFmtId="164" fontId="0" fillId="14" borderId="13" xfId="0" applyFont="1" applyFill="1" applyBorder="1" applyAlignment="1">
      <alignment/>
    </xf>
    <xf numFmtId="166" fontId="0" fillId="14" borderId="11" xfId="0" applyNumberFormat="1" applyFont="1" applyFill="1" applyBorder="1" applyAlignment="1">
      <alignment/>
    </xf>
    <xf numFmtId="164" fontId="62" fillId="0" borderId="0" xfId="0" applyFont="1" applyAlignment="1">
      <alignment/>
    </xf>
    <xf numFmtId="166" fontId="63" fillId="0" borderId="0" xfId="0" applyNumberFormat="1" applyFont="1" applyFill="1" applyAlignment="1">
      <alignment/>
    </xf>
    <xf numFmtId="164" fontId="57" fillId="0" borderId="9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/>
    </xf>
    <xf numFmtId="164" fontId="53" fillId="12" borderId="10" xfId="0" applyNumberFormat="1" applyFont="1" applyFill="1" applyBorder="1" applyAlignment="1">
      <alignment/>
    </xf>
    <xf numFmtId="164" fontId="39" fillId="12" borderId="10" xfId="0" applyFont="1" applyFill="1" applyBorder="1" applyAlignment="1">
      <alignment/>
    </xf>
    <xf numFmtId="164" fontId="53" fillId="12" borderId="10" xfId="0" applyFont="1" applyFill="1" applyBorder="1" applyAlignment="1">
      <alignment/>
    </xf>
    <xf numFmtId="164" fontId="5" fillId="12" borderId="10" xfId="0" applyFont="1" applyFill="1" applyBorder="1" applyAlignment="1">
      <alignment/>
    </xf>
    <xf numFmtId="164" fontId="0" fillId="12" borderId="10" xfId="0" applyFont="1" applyFill="1" applyBorder="1" applyAlignment="1">
      <alignment/>
    </xf>
    <xf numFmtId="165" fontId="0" fillId="12" borderId="10" xfId="0" applyNumberFormat="1" applyFont="1" applyFill="1" applyBorder="1" applyAlignment="1">
      <alignment horizontal="left"/>
    </xf>
    <xf numFmtId="164" fontId="0" fillId="12" borderId="10" xfId="0" applyFont="1" applyFill="1" applyBorder="1" applyAlignment="1">
      <alignment/>
    </xf>
    <xf numFmtId="164" fontId="0" fillId="12" borderId="13" xfId="0" applyFont="1" applyFill="1" applyBorder="1" applyAlignment="1">
      <alignment/>
    </xf>
    <xf numFmtId="166" fontId="0" fillId="12" borderId="13" xfId="0" applyNumberFormat="1" applyFont="1" applyFill="1" applyBorder="1" applyAlignment="1">
      <alignment/>
    </xf>
    <xf numFmtId="166" fontId="0" fillId="12" borderId="11" xfId="0" applyNumberFormat="1" applyFont="1" applyFill="1" applyBorder="1" applyAlignment="1">
      <alignment/>
    </xf>
    <xf numFmtId="166" fontId="0" fillId="14" borderId="13" xfId="0" applyNumberFormat="1" applyFont="1" applyFill="1" applyBorder="1" applyAlignment="1">
      <alignment/>
    </xf>
    <xf numFmtId="164" fontId="0" fillId="0" borderId="0" xfId="0" applyAlignment="1">
      <alignment/>
    </xf>
    <xf numFmtId="164" fontId="39" fillId="14" borderId="10" xfId="0" applyFont="1" applyFill="1" applyBorder="1" applyAlignment="1">
      <alignment/>
    </xf>
    <xf numFmtId="164" fontId="39" fillId="12" borderId="1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53" fillId="7" borderId="10" xfId="0" applyNumberFormat="1" applyFont="1" applyFill="1" applyBorder="1" applyAlignment="1">
      <alignment/>
    </xf>
    <xf numFmtId="164" fontId="5" fillId="7" borderId="10" xfId="0" applyFont="1" applyFill="1" applyBorder="1" applyAlignment="1">
      <alignment/>
    </xf>
    <xf numFmtId="164" fontId="53" fillId="7" borderId="10" xfId="0" applyFont="1" applyFill="1" applyBorder="1" applyAlignment="1">
      <alignment/>
    </xf>
    <xf numFmtId="164" fontId="39" fillId="7" borderId="10" xfId="0" applyFont="1" applyFill="1" applyBorder="1" applyAlignment="1">
      <alignment/>
    </xf>
    <xf numFmtId="164" fontId="0" fillId="7" borderId="10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left"/>
    </xf>
    <xf numFmtId="164" fontId="0" fillId="7" borderId="10" xfId="0" applyFont="1" applyFill="1" applyBorder="1" applyAlignment="1">
      <alignment/>
    </xf>
    <xf numFmtId="164" fontId="0" fillId="7" borderId="13" xfId="0" applyFont="1" applyFill="1" applyBorder="1" applyAlignment="1">
      <alignment/>
    </xf>
    <xf numFmtId="166" fontId="0" fillId="7" borderId="13" xfId="0" applyNumberFormat="1" applyFont="1" applyFill="1" applyBorder="1" applyAlignment="1">
      <alignment/>
    </xf>
    <xf numFmtId="166" fontId="0" fillId="7" borderId="11" xfId="0" applyNumberFormat="1" applyFont="1" applyFill="1" applyBorder="1" applyAlignment="1">
      <alignment/>
    </xf>
    <xf numFmtId="164" fontId="53" fillId="11" borderId="10" xfId="0" applyNumberFormat="1" applyFont="1" applyFill="1" applyBorder="1" applyAlignment="1">
      <alignment/>
    </xf>
    <xf numFmtId="164" fontId="39" fillId="11" borderId="10" xfId="0" applyFont="1" applyFill="1" applyBorder="1" applyAlignment="1">
      <alignment/>
    </xf>
    <xf numFmtId="164" fontId="53" fillId="11" borderId="10" xfId="0" applyFont="1" applyFill="1" applyBorder="1" applyAlignment="1">
      <alignment/>
    </xf>
    <xf numFmtId="164" fontId="39" fillId="11" borderId="10" xfId="0" applyFont="1" applyFill="1" applyBorder="1" applyAlignment="1">
      <alignment/>
    </xf>
    <xf numFmtId="164" fontId="0" fillId="11" borderId="10" xfId="0" applyFont="1" applyFill="1" applyBorder="1" applyAlignment="1">
      <alignment/>
    </xf>
    <xf numFmtId="165" fontId="0" fillId="11" borderId="10" xfId="0" applyNumberFormat="1" applyFont="1" applyFill="1" applyBorder="1" applyAlignment="1">
      <alignment horizontal="left"/>
    </xf>
    <xf numFmtId="164" fontId="0" fillId="11" borderId="10" xfId="0" applyFont="1" applyFill="1" applyBorder="1" applyAlignment="1">
      <alignment/>
    </xf>
    <xf numFmtId="164" fontId="0" fillId="11" borderId="13" xfId="0" applyFont="1" applyFill="1" applyBorder="1" applyAlignment="1">
      <alignment/>
    </xf>
    <xf numFmtId="166" fontId="0" fillId="11" borderId="13" xfId="0" applyNumberFormat="1" applyFont="1" applyFill="1" applyBorder="1" applyAlignment="1">
      <alignment/>
    </xf>
    <xf numFmtId="166" fontId="0" fillId="11" borderId="11" xfId="0" applyNumberFormat="1" applyFont="1" applyFill="1" applyBorder="1" applyAlignment="1">
      <alignment/>
    </xf>
    <xf numFmtId="164" fontId="53" fillId="20" borderId="10" xfId="0" applyNumberFormat="1" applyFont="1" applyFill="1" applyBorder="1" applyAlignment="1">
      <alignment/>
    </xf>
    <xf numFmtId="164" fontId="39" fillId="20" borderId="10" xfId="0" applyFont="1" applyFill="1" applyBorder="1" applyAlignment="1">
      <alignment/>
    </xf>
    <xf numFmtId="164" fontId="53" fillId="20" borderId="10" xfId="0" applyFont="1" applyFill="1" applyBorder="1" applyAlignment="1">
      <alignment/>
    </xf>
    <xf numFmtId="164" fontId="39" fillId="20" borderId="10" xfId="0" applyFont="1" applyFill="1" applyBorder="1" applyAlignment="1">
      <alignment/>
    </xf>
    <xf numFmtId="164" fontId="0" fillId="20" borderId="10" xfId="0" applyFont="1" applyFill="1" applyBorder="1" applyAlignment="1">
      <alignment/>
    </xf>
    <xf numFmtId="165" fontId="0" fillId="20" borderId="10" xfId="0" applyNumberFormat="1" applyFont="1" applyFill="1" applyBorder="1" applyAlignment="1">
      <alignment horizontal="left"/>
    </xf>
    <xf numFmtId="164" fontId="0" fillId="20" borderId="10" xfId="0" applyFont="1" applyFill="1" applyBorder="1" applyAlignment="1">
      <alignment/>
    </xf>
    <xf numFmtId="164" fontId="0" fillId="20" borderId="13" xfId="0" applyFont="1" applyFill="1" applyBorder="1" applyAlignment="1">
      <alignment/>
    </xf>
    <xf numFmtId="166" fontId="0" fillId="20" borderId="13" xfId="0" applyNumberFormat="1" applyFont="1" applyFill="1" applyBorder="1" applyAlignment="1">
      <alignment/>
    </xf>
    <xf numFmtId="166" fontId="0" fillId="20" borderId="11" xfId="0" applyNumberFormat="1" applyFont="1" applyFill="1" applyBorder="1" applyAlignment="1">
      <alignment/>
    </xf>
    <xf numFmtId="164" fontId="53" fillId="10" borderId="10" xfId="0" applyNumberFormat="1" applyFont="1" applyFill="1" applyBorder="1" applyAlignment="1">
      <alignment/>
    </xf>
    <xf numFmtId="164" fontId="39" fillId="10" borderId="10" xfId="0" applyFont="1" applyFill="1" applyBorder="1" applyAlignment="1">
      <alignment/>
    </xf>
    <xf numFmtId="164" fontId="53" fillId="10" borderId="10" xfId="0" applyFont="1" applyFill="1" applyBorder="1" applyAlignment="1">
      <alignment/>
    </xf>
    <xf numFmtId="164" fontId="39" fillId="10" borderId="10" xfId="0" applyFont="1" applyFill="1" applyBorder="1" applyAlignment="1">
      <alignment/>
    </xf>
    <xf numFmtId="164" fontId="0" fillId="10" borderId="10" xfId="0" applyFont="1" applyFill="1" applyBorder="1" applyAlignment="1">
      <alignment/>
    </xf>
    <xf numFmtId="165" fontId="0" fillId="10" borderId="10" xfId="0" applyNumberFormat="1" applyFont="1" applyFill="1" applyBorder="1" applyAlignment="1">
      <alignment horizontal="left"/>
    </xf>
    <xf numFmtId="164" fontId="0" fillId="10" borderId="10" xfId="0" applyFont="1" applyFill="1" applyBorder="1" applyAlignment="1">
      <alignment/>
    </xf>
    <xf numFmtId="164" fontId="0" fillId="10" borderId="13" xfId="0" applyFont="1" applyFill="1" applyBorder="1" applyAlignment="1">
      <alignment/>
    </xf>
    <xf numFmtId="166" fontId="0" fillId="10" borderId="13" xfId="0" applyNumberFormat="1" applyFont="1" applyFill="1" applyBorder="1" applyAlignment="1">
      <alignment/>
    </xf>
    <xf numFmtId="166" fontId="0" fillId="10" borderId="11" xfId="0" applyNumberFormat="1" applyFont="1" applyFill="1" applyBorder="1" applyAlignment="1">
      <alignment/>
    </xf>
    <xf numFmtId="165" fontId="0" fillId="0" borderId="0" xfId="0" applyNumberFormat="1" applyAlignment="1">
      <alignment horizontal="left"/>
    </xf>
    <xf numFmtId="164" fontId="53" fillId="13" borderId="10" xfId="0" applyNumberFormat="1" applyFont="1" applyFill="1" applyBorder="1" applyAlignment="1">
      <alignment/>
    </xf>
    <xf numFmtId="164" fontId="39" fillId="13" borderId="10" xfId="0" applyFont="1" applyFill="1" applyBorder="1" applyAlignment="1">
      <alignment/>
    </xf>
    <xf numFmtId="164" fontId="53" fillId="13" borderId="10" xfId="0" applyFont="1" applyFill="1" applyBorder="1" applyAlignment="1">
      <alignment/>
    </xf>
    <xf numFmtId="164" fontId="65" fillId="13" borderId="10" xfId="0" applyFont="1" applyFill="1" applyBorder="1" applyAlignment="1">
      <alignment/>
    </xf>
    <xf numFmtId="164" fontId="0" fillId="13" borderId="10" xfId="0" applyFont="1" applyFill="1" applyBorder="1" applyAlignment="1">
      <alignment/>
    </xf>
    <xf numFmtId="165" fontId="0" fillId="13" borderId="10" xfId="0" applyNumberFormat="1" applyFont="1" applyFill="1" applyBorder="1" applyAlignment="1">
      <alignment horizontal="left"/>
    </xf>
    <xf numFmtId="164" fontId="0" fillId="13" borderId="10" xfId="0" applyFont="1" applyFill="1" applyBorder="1" applyAlignment="1">
      <alignment/>
    </xf>
    <xf numFmtId="164" fontId="0" fillId="13" borderId="13" xfId="0" applyFont="1" applyFill="1" applyBorder="1" applyAlignment="1">
      <alignment/>
    </xf>
    <xf numFmtId="166" fontId="0" fillId="13" borderId="13" xfId="0" applyNumberFormat="1" applyFont="1" applyFill="1" applyBorder="1" applyAlignment="1">
      <alignment/>
    </xf>
    <xf numFmtId="166" fontId="0" fillId="13" borderId="11" xfId="0" applyNumberFormat="1" applyFont="1" applyFill="1" applyBorder="1" applyAlignment="1">
      <alignment/>
    </xf>
    <xf numFmtId="164" fontId="39" fillId="7" borderId="10" xfId="0" applyFont="1" applyFill="1" applyBorder="1" applyAlignment="1">
      <alignment/>
    </xf>
    <xf numFmtId="164" fontId="65" fillId="7" borderId="10" xfId="0" applyFont="1" applyFill="1" applyBorder="1" applyAlignment="1">
      <alignment/>
    </xf>
    <xf numFmtId="164" fontId="65" fillId="10" borderId="10" xfId="0" applyFont="1" applyFill="1" applyBorder="1" applyAlignment="1">
      <alignment/>
    </xf>
    <xf numFmtId="170" fontId="0" fillId="13" borderId="10" xfId="0" applyNumberFormat="1" applyFont="1" applyFill="1" applyBorder="1" applyAlignment="1">
      <alignment/>
    </xf>
    <xf numFmtId="170" fontId="0" fillId="13" borderId="13" xfId="0" applyNumberFormat="1" applyFont="1" applyFill="1" applyBorder="1" applyAlignment="1">
      <alignment/>
    </xf>
    <xf numFmtId="170" fontId="0" fillId="13" borderId="11" xfId="0" applyNumberFormat="1" applyFont="1" applyFill="1" applyBorder="1" applyAlignment="1">
      <alignment/>
    </xf>
    <xf numFmtId="164" fontId="5" fillId="13" borderId="10" xfId="0" applyFont="1" applyFill="1" applyBorder="1" applyAlignment="1">
      <alignment/>
    </xf>
    <xf numFmtId="164" fontId="57" fillId="0" borderId="17" xfId="0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164" fontId="6" fillId="0" borderId="17" xfId="0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4" fontId="53" fillId="22" borderId="10" xfId="0" applyNumberFormat="1" applyFont="1" applyFill="1" applyBorder="1" applyAlignment="1">
      <alignment/>
    </xf>
    <xf numFmtId="164" fontId="39" fillId="22" borderId="10" xfId="0" applyFont="1" applyFill="1" applyBorder="1" applyAlignment="1">
      <alignment/>
    </xf>
    <xf numFmtId="164" fontId="53" fillId="22" borderId="10" xfId="0" applyFont="1" applyFill="1" applyBorder="1" applyAlignment="1">
      <alignment/>
    </xf>
    <xf numFmtId="164" fontId="0" fillId="22" borderId="10" xfId="0" applyFont="1" applyFill="1" applyBorder="1" applyAlignment="1">
      <alignment/>
    </xf>
    <xf numFmtId="165" fontId="0" fillId="22" borderId="10" xfId="0" applyNumberFormat="1" applyFont="1" applyFill="1" applyBorder="1" applyAlignment="1">
      <alignment horizontal="left"/>
    </xf>
    <xf numFmtId="164" fontId="0" fillId="22" borderId="10" xfId="0" applyFont="1" applyFill="1" applyBorder="1" applyAlignment="1">
      <alignment/>
    </xf>
    <xf numFmtId="164" fontId="0" fillId="22" borderId="13" xfId="0" applyFont="1" applyFill="1" applyBorder="1" applyAlignment="1">
      <alignment/>
    </xf>
    <xf numFmtId="166" fontId="0" fillId="22" borderId="11" xfId="0" applyNumberFormat="1" applyFont="1" applyFill="1" applyBorder="1" applyAlignment="1">
      <alignment/>
    </xf>
    <xf numFmtId="164" fontId="66" fillId="22" borderId="10" xfId="0" applyFont="1" applyFill="1" applyBorder="1" applyAlignment="1">
      <alignment/>
    </xf>
    <xf numFmtId="164" fontId="53" fillId="27" borderId="10" xfId="0" applyNumberFormat="1" applyFont="1" applyFill="1" applyBorder="1" applyAlignment="1">
      <alignment/>
    </xf>
    <xf numFmtId="164" fontId="39" fillId="27" borderId="10" xfId="0" applyFont="1" applyFill="1" applyBorder="1" applyAlignment="1">
      <alignment/>
    </xf>
    <xf numFmtId="164" fontId="53" fillId="27" borderId="10" xfId="0" applyFont="1" applyFill="1" applyBorder="1" applyAlignment="1">
      <alignment/>
    </xf>
    <xf numFmtId="164" fontId="0" fillId="27" borderId="10" xfId="0" applyFont="1" applyFill="1" applyBorder="1" applyAlignment="1">
      <alignment/>
    </xf>
    <xf numFmtId="165" fontId="0" fillId="27" borderId="10" xfId="0" applyNumberFormat="1" applyFont="1" applyFill="1" applyBorder="1" applyAlignment="1">
      <alignment horizontal="left"/>
    </xf>
    <xf numFmtId="164" fontId="0" fillId="27" borderId="10" xfId="0" applyFont="1" applyFill="1" applyBorder="1" applyAlignment="1">
      <alignment/>
    </xf>
    <xf numFmtId="164" fontId="0" fillId="27" borderId="13" xfId="0" applyFont="1" applyFill="1" applyBorder="1" applyAlignment="1">
      <alignment/>
    </xf>
    <xf numFmtId="166" fontId="0" fillId="27" borderId="11" xfId="0" applyNumberFormat="1" applyFont="1" applyFill="1" applyBorder="1" applyAlignment="1">
      <alignment/>
    </xf>
    <xf numFmtId="164" fontId="6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E64C"/>
      <rgbColor rgb="00FF00FF"/>
      <rgbColor rgb="0033CC66"/>
      <rgbColor rgb="00800000"/>
      <rgbColor rgb="0000AE00"/>
      <rgbColor rgb="00280099"/>
      <rgbColor rgb="00666666"/>
      <rgbColor rgb="00800080"/>
      <rgbColor rgb="000084D1"/>
      <rgbColor rgb="00CCCCCC"/>
      <rgbColor rgb="00808080"/>
      <rgbColor rgb="009999CC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3CAFF"/>
      <rgbColor rgb="00800080"/>
      <rgbColor rgb="00800000"/>
      <rgbColor rgb="000099FF"/>
      <rgbColor rgb="000000FF"/>
      <rgbColor rgb="0000CCFF"/>
      <rgbColor rgb="00E6E6FF"/>
      <rgbColor rgb="00E6E6E6"/>
      <rgbColor rgb="00FFFF99"/>
      <rgbColor rgb="0099CCFF"/>
      <rgbColor rgb="00FF9966"/>
      <rgbColor rgb="00B3B3B3"/>
      <rgbColor rgb="00FFCC99"/>
      <rgbColor rgb="003366FF"/>
      <rgbColor rgb="0047B8B8"/>
      <rgbColor rgb="0094BD5E"/>
      <rgbColor rgb="00FFD320"/>
      <rgbColor rgb="00FFB515"/>
      <rgbColor rgb="00FF6600"/>
      <rgbColor rgb="00666699"/>
      <rgbColor rgb="00999999"/>
      <rgbColor rgb="00003366"/>
      <rgbColor rgb="0033A3A3"/>
      <rgbColor rgb="00003300"/>
      <rgbColor rgb="00323232"/>
      <rgbColor rgb="00993300"/>
      <rgbColor rgb="009966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365</xdr:row>
      <xdr:rowOff>123825</xdr:rowOff>
    </xdr:from>
    <xdr:to>
      <xdr:col>34</xdr:col>
      <xdr:colOff>361950</xdr:colOff>
      <xdr:row>386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11725" y="58312050"/>
          <a:ext cx="8848725" cy="3429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371475</xdr:colOff>
      <xdr:row>365</xdr:row>
      <xdr:rowOff>123825</xdr:rowOff>
    </xdr:from>
    <xdr:to>
      <xdr:col>35</xdr:col>
      <xdr:colOff>352425</xdr:colOff>
      <xdr:row>381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68625" y="58312050"/>
          <a:ext cx="11553825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22</xdr:col>
      <xdr:colOff>0</xdr:colOff>
      <xdr:row>365</xdr:row>
      <xdr:rowOff>123825</xdr:rowOff>
    </xdr:from>
    <xdr:to>
      <xdr:col>33</xdr:col>
      <xdr:colOff>0</xdr:colOff>
      <xdr:row>376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40200" y="58312050"/>
          <a:ext cx="848677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742950</xdr:colOff>
      <xdr:row>365</xdr:row>
      <xdr:rowOff>123825</xdr:rowOff>
    </xdr:from>
    <xdr:to>
      <xdr:col>34</xdr:col>
      <xdr:colOff>657225</xdr:colOff>
      <xdr:row>381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54675" y="58312050"/>
          <a:ext cx="8401050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352425</xdr:colOff>
      <xdr:row>365</xdr:row>
      <xdr:rowOff>123825</xdr:rowOff>
    </xdr:from>
    <xdr:to>
      <xdr:col>31</xdr:col>
      <xdr:colOff>371475</xdr:colOff>
      <xdr:row>373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49575" y="58312050"/>
          <a:ext cx="85058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113</xdr:row>
      <xdr:rowOff>152400</xdr:rowOff>
    </xdr:from>
    <xdr:to>
      <xdr:col>10</xdr:col>
      <xdr:colOff>76200</xdr:colOff>
      <xdr:row>115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18449925"/>
          <a:ext cx="762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kcnfrm1.smi.usps.com/PTSInternetWeb/InterLabelInquiry.do?strOrigTrackNum=EE969238868US" TargetMode="External" /><Relationship Id="rId2" Type="http://schemas.openxmlformats.org/officeDocument/2006/relationships/hyperlink" Target="http://trkcnfrm1.smi.usps.com/PTSInternetWeb/InterLabelInquiry.do?strOrigTrackNum=EE969221709US" TargetMode="External" /><Relationship Id="rId3" Type="http://schemas.openxmlformats.org/officeDocument/2006/relationships/hyperlink" Target="http://trkcnfrm1.smi.usps.com/PTSInternetWeb/InterLabelInquiry.do?strOrigTrackNum=EE969154553US" TargetMode="External" /><Relationship Id="rId4" Type="http://schemas.openxmlformats.org/officeDocument/2006/relationships/hyperlink" Target="http://trkcnfrm1.smi.usps.com/PTSInternetWeb/InterLabelInquiry.do?strOrigTrackNum=EE969121127US" TargetMode="External" /><Relationship Id="rId5" Type="http://schemas.openxmlformats.org/officeDocument/2006/relationships/hyperlink" Target="http://trkcnfrm1.smi.usps.com/PTSInternetWeb/InterLabelInquiry.do?strOrigTrackNum=EE969221289US" TargetMode="External" /><Relationship Id="rId6" Type="http://schemas.openxmlformats.org/officeDocument/2006/relationships/hyperlink" Target="http://trkcnfrm1.smi.usps.com/PTSInternetWeb/InterLabelInquiry.do?strOrigTrackNum=EE969162444US" TargetMode="External" /><Relationship Id="rId7" Type="http://schemas.openxmlformats.org/officeDocument/2006/relationships/hyperlink" Target="http://trkcnfrm1.smi.usps.com/PTSInternetWeb/InterLabelInquiry.do?strOrigTrackNum=EE969076516US" TargetMode="External" /><Relationship Id="rId8" Type="http://schemas.openxmlformats.org/officeDocument/2006/relationships/hyperlink" Target="http://trkcnfrm1.smi.usps.com/PTSInternetWeb/InterLabelInquiry.do?strOrigTrackNum=EE968940788US" TargetMode="External" /><Relationship Id="rId9" Type="http://schemas.openxmlformats.org/officeDocument/2006/relationships/hyperlink" Target="http://trkcnfrm1.smi.usps.com/PTSInternetWeb/InterLabelInquiry.do?strOrigTrackNum=EE968874973US" TargetMode="External" /><Relationship Id="rId10" Type="http://schemas.openxmlformats.org/officeDocument/2006/relationships/hyperlink" Target="http://trkcnfrm1.smi.usps.com/PTSInternetWeb/InterLabelInquiry.do?strOrigTrackNum=EE968914465US" TargetMode="External" /><Relationship Id="rId11" Type="http://schemas.openxmlformats.org/officeDocument/2006/relationships/hyperlink" Target="http://trkcnfrm1.smi.usps.com/PTSInternetWeb/InterLabelInquiry.do?strOrigTrackNum=EE968687689US" TargetMode="External" /><Relationship Id="rId12" Type="http://schemas.openxmlformats.org/officeDocument/2006/relationships/hyperlink" Target="http://trkcnfrm1.smi.usps.com/PTSInternetWeb/InterLabelInquiry.do?strOrigTrackNum=EE968751841US" TargetMode="External" /><Relationship Id="rId13" Type="http://schemas.openxmlformats.org/officeDocument/2006/relationships/hyperlink" Target="http://trkcnfrm1.smi.usps.com/PTSInternetWeb/InterLabelInquiry.do?strOrigTrackNum=EE968735676US" TargetMode="External" /><Relationship Id="rId14" Type="http://schemas.openxmlformats.org/officeDocument/2006/relationships/hyperlink" Target="http://trkcnfrm1.smi.usps.com/PTSInternetWeb/InterLabelInquiry.do?strOrigTrackNum=EE968726192US" TargetMode="External" /><Relationship Id="rId15" Type="http://schemas.openxmlformats.org/officeDocument/2006/relationships/hyperlink" Target="http://trkcnfrm1.smi.usps.com/PTSInternetWeb/InterLabelInquiry.do?strOrigTrackNum=EE968840303US" TargetMode="External" /><Relationship Id="rId16" Type="http://schemas.openxmlformats.org/officeDocument/2006/relationships/hyperlink" Target="http://trkcnfrm1.smi.usps.com/PTSInternetWeb/InterLabelInquiry.do?strOrigTrackNum=EE968850314US" TargetMode="External" /><Relationship Id="rId17" Type="http://schemas.openxmlformats.org/officeDocument/2006/relationships/hyperlink" Target="http://trkcnfrm1.smi.usps.com/PTSInternetWeb/InterLabelInquiry.do?strOrigTrackNum=EE968852054US" TargetMode="External" /><Relationship Id="rId18" Type="http://schemas.openxmlformats.org/officeDocument/2006/relationships/hyperlink" Target="http://trkcnfrm1.smi.usps.com/PTSInternetWeb/InterLabelInquiry.do?strOrigTrackNum=EE968854449US" TargetMode="External" /><Relationship Id="rId19" Type="http://schemas.openxmlformats.org/officeDocument/2006/relationships/hyperlink" Target="http://trkcnfrm1.smi.usps.com/PTSInternetWeb/InterLabelInquiry.do?strOrigTrackNum=EE968840609US" TargetMode="External" /><Relationship Id="rId20" Type="http://schemas.openxmlformats.org/officeDocument/2006/relationships/hyperlink" Target="http://trkcnfrm1.smi.usps.com/PTSInternetWeb/InterLabelInquiry.do?strOrigTrackNum=EE968815697US" TargetMode="External" /><Relationship Id="rId21" Type="http://schemas.openxmlformats.org/officeDocument/2006/relationships/hyperlink" Target="http://trkcnfrm1.smi.usps.com/PTSInternetWeb/InterLabelInquiry.do?strOrigTrackNum=EE968813577US" TargetMode="External" /><Relationship Id="rId22" Type="http://schemas.openxmlformats.org/officeDocument/2006/relationships/hyperlink" Target="http://trkcnfrm1.smi.usps.com/PTSInternetWeb/InterLabelInquiry.do?strOrigTrackNum=EE968722902US" TargetMode="External" /><Relationship Id="rId23" Type="http://schemas.openxmlformats.org/officeDocument/2006/relationships/hyperlink" Target="http://trkcnfrm1.smi.usps.com/PTSInternetWeb/InterLabelInquiry.do?strOrigTrackNum=EE968649076US" TargetMode="External" /><Relationship Id="rId24" Type="http://schemas.openxmlformats.org/officeDocument/2006/relationships/hyperlink" Target="http://trkcnfrm1.smi.usps.com/PTSInternetWeb/InterLabelInquiry.do?strOrigTrackNum=EE968642400US" TargetMode="External" /><Relationship Id="rId25" Type="http://schemas.openxmlformats.org/officeDocument/2006/relationships/hyperlink" Target="http://trkcnfrm1.smi.usps.com/PTSInternetWeb/InterLabelInquiry.do?strOrigTrackNum=EE968614298US" TargetMode="External" /><Relationship Id="rId26" Type="http://schemas.openxmlformats.org/officeDocument/2006/relationships/hyperlink" Target="http://trkcnfrm1.smi.usps.com/PTSInternetWeb/InterLabelInquiry.do?strOrigTrackNum=EE968614222US" TargetMode="External" /><Relationship Id="rId2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boardshop.com/sa1grw04wg8zz-salomon-bindings.html" TargetMode="External" /><Relationship Id="rId2" Type="http://schemas.openxmlformats.org/officeDocument/2006/relationships/hyperlink" Target="http://www.proboardshop.com/tr3wi01fbs9zz-trespass-snowboard-jackets.html" TargetMode="External" /><Relationship Id="rId3" Type="http://schemas.openxmlformats.org/officeDocument/2006/relationships/hyperlink" Target="http://www.proboardshop.com/bt8rbmo10zz-burton-beanies.html" TargetMode="External" /><Relationship Id="rId4" Type="http://schemas.openxmlformats.org/officeDocument/2006/relationships/hyperlink" Target="http://www.landsend.com/pp/BeltedDoryCoat~211559_59.html?bcc=y&amp;action=order_more&amp;sku_0=::AI7&amp;CM_MERCH=IDX_00002__0000000142&amp;origin=index" TargetMode="External" /><Relationship Id="rId5" Type="http://schemas.openxmlformats.org/officeDocument/2006/relationships/hyperlink" Target="http://www.landsend.com/pp/StylePage-394641_A5.html?CM_MERCH=REC-_-FPPP-_-GGT-_-1-_-394641-_-396509" TargetMode="External" /><Relationship Id="rId6" Type="http://schemas.openxmlformats.org/officeDocument/2006/relationships/hyperlink" Target="http://www.landsend.com/pp/StylePage-359582_3A.html?CM_MERCH=REC-_-LIPP-_-GGT-_-1-_-359582-_-http" TargetMode="External" /><Relationship Id="rId7" Type="http://schemas.openxmlformats.org/officeDocument/2006/relationships/hyperlink" Target="https://secure-www.6pm.com/product/7287467/color/552" TargetMode="External" /><Relationship Id="rId8" Type="http://schemas.openxmlformats.org/officeDocument/2006/relationships/hyperlink" Target="http://www.6pm.com/asics-gt-2140-lightning-onyx-electric-blue" TargetMode="External" /><Relationship Id="rId9" Type="http://schemas.openxmlformats.org/officeDocument/2006/relationships/hyperlink" Target="http://www.6pm.com/asics" TargetMode="External" /><Relationship Id="rId10" Type="http://schemas.openxmlformats.org/officeDocument/2006/relationships/hyperlink" Target="http://www.landsend.com/pp/GirlsKnitSkort~206436_5.html?bcc=y&amp;action=order_more&amp;sku_0=::CPL&amp;CM_MERCH=IDX_00008#BVRRWidgetID" TargetMode="External" /><Relationship Id="rId11" Type="http://schemas.openxmlformats.org/officeDocument/2006/relationships/hyperlink" Target="http://www.landsend.com/pp/GirlsKnitSkort~206436_5.html?bcc=y&amp;action=order_more&amp;sku_0=::CPL&amp;CM_MERCH=IDX_00008#BVRRWidgetID" TargetMode="External" /><Relationship Id="rId12" Type="http://schemas.openxmlformats.org/officeDocument/2006/relationships/hyperlink" Target="http://www.landsend.com/pp/KidsFleeceFullzipJacket~207114_5.html?bcc=y&amp;action=order_more&amp;sku_0=::IVO&amp;CM_MERCH=IDX_00008&amp;origin=index" TargetMode="External" /><Relationship Id="rId13" Type="http://schemas.openxmlformats.org/officeDocument/2006/relationships/hyperlink" Target="http://www.landsend.com/pp/StylePage-48795_6H.html?CM_MERCH=REC-_-LIPP-_-GGT-_-1-_-48795-_-http" TargetMode="External" /><Relationship Id="rId14" Type="http://schemas.openxmlformats.org/officeDocument/2006/relationships/hyperlink" Target="http://www.landsend.com/pp/ThermaCheck100FleeceBalaclava~214117_-1.html?bcc=y&amp;action=order_more&amp;sku_0=::CHH&amp;CM_MERCH=IDX_00008__0000000338" TargetMode="External" /><Relationship Id="rId15" Type="http://schemas.openxmlformats.org/officeDocument/2006/relationships/hyperlink" Target="https://www.landsend.com/ix/index.html?store=le&amp;action=newSearch&amp;searchType=ORDER_HISTORY&amp;search=347204OHX" TargetMode="External" /><Relationship Id="rId16" Type="http://schemas.openxmlformats.org/officeDocument/2006/relationships/hyperlink" Target="http://www.zappos.com/product/7620092/color/244187" TargetMode="External" /><Relationship Id="rId17" Type="http://schemas.openxmlformats.org/officeDocument/2006/relationships/hyperlink" Target="http://www.zappos.com/oakley-groovin-track-jacket-white" TargetMode="External" /><Relationship Id="rId18" Type="http://schemas.openxmlformats.org/officeDocument/2006/relationships/hyperlink" Target="http://www.6pm.com/petit-61839-toddler-youth-pearlized-bone-leather" TargetMode="External" /><Relationship Id="rId19" Type="http://schemas.openxmlformats.org/officeDocument/2006/relationships/hyperlink" Target="http://www.6pm.com/petit" TargetMode="External" /><Relationship Id="rId20" Type="http://schemas.openxmlformats.org/officeDocument/2006/relationships/hyperlink" Target="http://www.6pm.com/umi-kids-opera-toddler-youth-black" TargetMode="External" /><Relationship Id="rId21" Type="http://schemas.openxmlformats.org/officeDocument/2006/relationships/hyperlink" Target="http://www.6pm.com/umi-kids-opera-toddler-youth-black" TargetMode="External" /><Relationship Id="rId22" Type="http://schemas.openxmlformats.org/officeDocument/2006/relationships/hyperlink" Target="http://www.6pm.com/timberland-kids-hypertrail-route-racer-youth-1-navy-grey" TargetMode="External" /><Relationship Id="rId23" Type="http://schemas.openxmlformats.org/officeDocument/2006/relationships/hyperlink" Target="http://www.6pm.com/timberland-kids-hypertrail-route-racer-youth-1-navy-grey" TargetMode="External" /><Relationship Id="rId24" Type="http://schemas.openxmlformats.org/officeDocument/2006/relationships/hyperlink" Target="http://www.6pm.com/born-kids-joelle-youth-bronze-metallic" TargetMode="External" /><Relationship Id="rId25" Type="http://schemas.openxmlformats.org/officeDocument/2006/relationships/hyperlink" Target="http://www.6pm.com/born-kids-joelle-youth-bronze-metallic" TargetMode="External" /><Relationship Id="rId26" Type="http://schemas.openxmlformats.org/officeDocument/2006/relationships/hyperlink" Target="http://www.amazon.com/Philips-DC315-37-Speaker-System/dp/B002IT1BFO/ref=sr_1_4?s=electronics&amp;ie=UTF8&amp;qid=1284616048&amp;sr=1-4" TargetMode="External" /><Relationship Id="rId27" Type="http://schemas.openxmlformats.org/officeDocument/2006/relationships/hyperlink" Target="http://www.amazon.com/gp/product/B002IT1BFO/ref=ox_ya_os_product" TargetMode="External" /><Relationship Id="rId28" Type="http://schemas.openxmlformats.org/officeDocument/2006/relationships/hyperlink" Target="http://www.sheplers.com/list/womens_dingo_boots/045f89.html" TargetMode="External" /><Relationship Id="rId29" Type="http://schemas.openxmlformats.org/officeDocument/2006/relationships/hyperlink" Target="http://www.sheplers.com/womens/womens_tops_29/658411.html" TargetMode="External" /><Relationship Id="rId30" Type="http://schemas.openxmlformats.org/officeDocument/2006/relationships/hyperlink" Target="http://www.sheplers.com/mens/suits_and_sportcoats/072873.html" TargetMode="External" /><Relationship Id="rId31" Type="http://schemas.openxmlformats.org/officeDocument/2006/relationships/hyperlink" Target="http://www.nn.ru/redirect.php?http://cgi.ebay.com/MANTLE-CLOCK-ITALY-MINT-COND-GOLD-LG-INTRICATE-/110588022967?pt=LH_DefaultDomain_0&amp;hash=item19bf8f50b7" TargetMode="External" /><Relationship Id="rId32" Type="http://schemas.openxmlformats.org/officeDocument/2006/relationships/hyperlink" Target="http://cgi.ebay.com/ws/eBayISAPI.dll?ViewItem&amp;item=320594273724&amp;ssPageName=STRK:MEWNX:IT" TargetMode="External" /><Relationship Id="rId33" Type="http://schemas.openxmlformats.org/officeDocument/2006/relationships/hyperlink" Target="http://www.amazon.com/Navy-Scoop-Sweater-Dress-Medium/dp/B0041NMGPY/ref=sr_1_13?ie=UTF8&amp;s=apparel&amp;qid=1285590115&amp;sr=1-13" TargetMode="External" /><Relationship Id="rId34" Type="http://schemas.openxmlformats.org/officeDocument/2006/relationships/hyperlink" Target="http://www.6pm.com/diba-dis-n-dat-tan" TargetMode="External" /><Relationship Id="rId35" Type="http://schemas.openxmlformats.org/officeDocument/2006/relationships/hyperlink" Target="http://alyonna.www.nn.ru/" TargetMode="External" /><Relationship Id="rId36" Type="http://schemas.openxmlformats.org/officeDocument/2006/relationships/hyperlink" Target="http://cgi.ebay.com/ws/eBayISAPI.dll?ViewItem&amp;item=170544802267&amp;ssPageName=STRK:MEWAX:IT" TargetMode="External" /><Relationship Id="rId37" Type="http://schemas.openxmlformats.org/officeDocument/2006/relationships/hyperlink" Target="http://cgi.ebay.com/ws/eBayISAPI.dll?ViewItem&amp;item=170545792987&amp;var=470008670629&amp;ssPageName=STRK:MEWAX:IT" TargetMode="External" /><Relationship Id="rId38" Type="http://schemas.openxmlformats.org/officeDocument/2006/relationships/hyperlink" Target="http://www.6pm.com/product/7695850/color/275" TargetMode="External" /><Relationship Id="rId39" Type="http://schemas.openxmlformats.org/officeDocument/2006/relationships/hyperlink" Target="http://www.6pm.com/emu-wool" TargetMode="External" /><Relationship Id="rId40" Type="http://schemas.openxmlformats.org/officeDocument/2006/relationships/hyperlink" Target="http://www.landsend.com/pp/StylePage-383033_6H.html?CM_MERCH=REC-_-LIPP-_-GGT-_-2-_-383033-_-257715" TargetMode="External" /><Relationship Id="rId41" Type="http://schemas.openxmlformats.org/officeDocument/2006/relationships/hyperlink" Target="http://www.landsend.com/pp/KneeSquallBibPants~207021_5.html?bcc=y&amp;action=order_more&amp;sku_0=::CLN&amp;CM_MERCH=IDX_00008&amp;origin=index" TargetMode="External" /><Relationship Id="rId42" Type="http://schemas.openxmlformats.org/officeDocument/2006/relationships/hyperlink" Target="http://www.landsend.com/pp/ThermaCheck100FleeceBalaclava~214117_-1.html?bcc=y&amp;action=order_more&amp;sku_0=::BLA&amp;CM_MERCH=IDX_00008&amp;origin=index" TargetMode="External" /><Relationship Id="rId43" Type="http://schemas.openxmlformats.org/officeDocument/2006/relationships/hyperlink" Target="http://www.landsend.com/pp/DownJacket~212890_1187.html?bcc=y&amp;action=order_more&amp;sku_0=::LOA&amp;CM_MERCH=IDX_00004__0000000427&amp;origin=index" TargetMode="External" /><Relationship Id="rId44" Type="http://schemas.openxmlformats.org/officeDocument/2006/relationships/hyperlink" Target="http://www.landsend.com/pp/DownJacket~212890_1187.html?bcc=y&amp;action=order_more&amp;sku_0=::LOA&amp;CM_MERCH=IDX_00004__0000000427&amp;origin=index" TargetMode="External" /><Relationship Id="rId45" Type="http://schemas.openxmlformats.org/officeDocument/2006/relationships/hyperlink" Target="http://oldnavy.gap.com/browse/product.do?cid=26195&amp;vid=1&amp;pid=792317" TargetMode="External" /><Relationship Id="rId46" Type="http://schemas.openxmlformats.org/officeDocument/2006/relationships/hyperlink" Target="http://oldnavy.gap.com/browse/product.do?cid=26196&amp;vid=1&amp;pid=772825" TargetMode="External" /><Relationship Id="rId47" Type="http://schemas.openxmlformats.org/officeDocument/2006/relationships/hyperlink" Target="http://oldnavy.gap.com/browse/product.do?cid=41960&amp;vid=1&amp;pid=774548" TargetMode="External" /><Relationship Id="rId48" Type="http://schemas.openxmlformats.org/officeDocument/2006/relationships/hyperlink" Target="http://oldnavy.gap.com/browse/product.do?cid=41978&amp;vid=1&amp;pid=699061" TargetMode="External" /><Relationship Id="rId49" Type="http://schemas.openxmlformats.org/officeDocument/2006/relationships/hyperlink" Target="http://www.gap.com/browse/product.do?cid=26217&amp;vid=1&amp;pid=764400" TargetMode="External" /><Relationship Id="rId50" Type="http://schemas.openxmlformats.org/officeDocument/2006/relationships/hyperlink" Target="http://www.amazon.com/Thomas-Friends-Easy-Go/dp/B002SNA5I4/ref=sr_1_238?s=STORE&amp;ie=UTF8&amp;qid=1285919727&amp;sr=1-238" TargetMode="External" /><Relationship Id="rId51" Type="http://schemas.openxmlformats.org/officeDocument/2006/relationships/hyperlink" Target="http://www.6pm.com/roxy-kids-fast-track-boot-toddler-youth-winter-black-plaid" TargetMode="External" /><Relationship Id="rId52" Type="http://schemas.openxmlformats.org/officeDocument/2006/relationships/hyperlink" Target="http://www.6pm.com/brand/1640" TargetMode="External" /><Relationship Id="rId53" Type="http://schemas.openxmlformats.org/officeDocument/2006/relationships/hyperlink" Target="http://www.6pm.com/volatile-chummy-brown" TargetMode="External" /><Relationship Id="rId54" Type="http://schemas.openxmlformats.org/officeDocument/2006/relationships/hyperlink" Target="http://www.6pm.com/volatile" TargetMode="External" /><Relationship Id="rId55" Type="http://schemas.openxmlformats.org/officeDocument/2006/relationships/hyperlink" Target="http://www.6pm.com/calvin-klein-kaden-white-re-color-satin" TargetMode="External" /><Relationship Id="rId56" Type="http://schemas.openxmlformats.org/officeDocument/2006/relationships/hyperlink" Target="http://www.amazon.com/BLOCH-Womens-Fusion-Dance-Sneaker/dp/B001U5Z9BO/ref=sr_1_309?s=shoes&amp;ie=UTF8&amp;qid=1286128792&amp;sr=1-309" TargetMode="External" /><Relationship Id="rId57" Type="http://schemas.openxmlformats.org/officeDocument/2006/relationships/hyperlink" Target="http://cgi.ebay.com/NWT-Flower-Girl-Holiday-Pageant-Dress-Gown-Purple-4-5-/160487324847?pt=US_Childrens_Clothing_Girls&amp;hash=item255dca3caf" TargetMode="External" /><Relationship Id="rId58" Type="http://schemas.openxmlformats.org/officeDocument/2006/relationships/hyperlink" Target="http://www.6pm.com/gabriella-rocha" TargetMode="External" /><Relationship Id="rId59" Type="http://schemas.openxmlformats.org/officeDocument/2006/relationships/hyperlink" Target="http://www.6pm.com/gabriella-rocha" TargetMode="External" /><Relationship Id="rId60" Type="http://schemas.openxmlformats.org/officeDocument/2006/relationships/hyperlink" Target="http://www.6pm.com/brand/1891" TargetMode="External" /><Relationship Id="rId61" Type="http://schemas.openxmlformats.org/officeDocument/2006/relationships/hyperlink" Target="http://www.6pm.com/brand/2586" TargetMode="External" /><Relationship Id="rId62" Type="http://schemas.openxmlformats.org/officeDocument/2006/relationships/hyperlink" Target="http://www.6pm.com/brand/554" TargetMode="External" /><Relationship Id="rId63" Type="http://schemas.openxmlformats.org/officeDocument/2006/relationships/hyperlink" Target="http://cgi.ebay.com/calvin-klein-lean-boot-cut-dark-wash-jeans-womens-/230532522287?pt=US_CSA_WC_Jeans&amp;hash=item35accf212f" TargetMode="External" /><Relationship Id="rId64" Type="http://schemas.openxmlformats.org/officeDocument/2006/relationships/hyperlink" Target="http://www.6pm.com/emu-wool-bronte-lo-black" TargetMode="External" /><Relationship Id="rId65" Type="http://schemas.openxmlformats.org/officeDocument/2006/relationships/hyperlink" Target="http://www.6pm.com/emu-wool" TargetMode="External" /><Relationship Id="rId66" Type="http://schemas.openxmlformats.org/officeDocument/2006/relationships/hyperlink" Target="http://cabelas.com/cabelas/en/templates/links/link.jsp?type=product&amp;cmCat=Related_IPL_830535&amp;id=0050812830952a" TargetMode="External" /><Relationship Id="rId67" Type="http://schemas.openxmlformats.org/officeDocument/2006/relationships/hyperlink" Target="http://www.cabelas.com/catalog/product.jsp?productId=753556&amp;categoryId=0&amp;parentCategoryId=0&amp;subCategoryId=0&amp;indexId=0&amp;productVariantId=1752961&amp;quantity=5&amp;itemGUID=a501671bac107056205d4a6579055a47" TargetMode="External" /><Relationship Id="rId68" Type="http://schemas.openxmlformats.org/officeDocument/2006/relationships/hyperlink" Target="http://www.amazon.com/Microplane-Professional-Series-Large-Shaver/dp/B0000CFF1U/ref=sr_1_18?s=home-garden&amp;ie=UTF8&amp;qid=1286283477&amp;sr=1-18" TargetMode="External" /><Relationship Id="rId69" Type="http://schemas.openxmlformats.org/officeDocument/2006/relationships/hyperlink" Target="http://www.amazon.com/Microplane-Professional-Series-Grater-Attachment/dp/B000P1SAEM/ref=pd_bxgy_k_img_c" TargetMode="External" /><Relationship Id="rId70" Type="http://schemas.openxmlformats.org/officeDocument/2006/relationships/hyperlink" Target="http://www.amazon.com/Microplane-Professional-Patented-Design-Coarse/dp/B00009WE3Y/ref=pd_bxgy_k_img_c" TargetMode="External" /><Relationship Id="rId71" Type="http://schemas.openxmlformats.org/officeDocument/2006/relationships/hyperlink" Target="http://www.amazon.com/Fiskars-95217097-45-Rotary-Cutter/dp/B000B7M8WU/ref=sr_1_6?s=home-garden&amp;ie=UTF8&amp;qid=1286954770&amp;sr=1-6" TargetMode="External" /><Relationship Id="rId72" Type="http://schemas.openxmlformats.org/officeDocument/2006/relationships/hyperlink" Target="http://www.amazon.com/Fiskars-95287097-Rotary-Staight-5-Pack/dp/B000B7MUFK/ref=sr_1_3?s=home-garden&amp;ie=UTF8&amp;qid=1286954770&amp;sr=1-3" TargetMode="External" /><Relationship Id="rId73" Type="http://schemas.openxmlformats.org/officeDocument/2006/relationships/hyperlink" Target="http://www.amazon.com/Self-Healing-Green-Cutting-inches/dp/B0025189VE/ref=sr_1_8?s=home-garden&amp;ie=UTF8&amp;qid=1287380434&amp;sr=1-8" TargetMode="External" /><Relationship Id="rId74" Type="http://schemas.openxmlformats.org/officeDocument/2006/relationships/hyperlink" Target="http://www.amazon.com/Razzberry-Parfait-Stick-Rotary-Cutter/dp/B003USTYII/ref=sr_1_13?s=home-garden&amp;ie=UTF8&amp;qid=1286956156&amp;sr=1-13" TargetMode="External" /><Relationship Id="rId75" Type="http://schemas.openxmlformats.org/officeDocument/2006/relationships/hyperlink" Target="http://www.amazon.com/gp/product/B002MAB3O8/ref=ord_cart_shr?ie=UTF8&amp;m=A1A5WKXZLE8CDR" TargetMode="External" /><Relationship Id="rId76" Type="http://schemas.openxmlformats.org/officeDocument/2006/relationships/hyperlink" Target="http://www.amazon.com/gp/product/B001JP8T9Y/ref=ord_cart_shr?ie=UTF8&amp;m=A1QGIDACEIIO9M" TargetMode="External" /><Relationship Id="rId77" Type="http://schemas.openxmlformats.org/officeDocument/2006/relationships/hyperlink" Target="http://www.amazon.com/gp/product/B000VDZ9TS/ref=ord_cart_shr?ie=UTF8&amp;m=ATVPDKIKX0DER" TargetMode="External" /><Relationship Id="rId78" Type="http://schemas.openxmlformats.org/officeDocument/2006/relationships/hyperlink" Target="http://cgi.ebay.com/ws/eBayISAPI.dll?ViewItem&amp;item=260673869108&amp;ssPageName=STRK:MEWNX:IT" TargetMode="External" /><Relationship Id="rId79" Type="http://schemas.openxmlformats.org/officeDocument/2006/relationships/hyperlink" Target="http://cgi.ebay.com/ws/eBayISAPI.dll?ViewItem&amp;item=260677854171&amp;ssPageName=STRK:MEWNX:IT" TargetMode="External" /><Relationship Id="rId80" Type="http://schemas.openxmlformats.org/officeDocument/2006/relationships/hyperlink" Target="http://cgi.ebay.com/ws/eBayISAPI.dll?ViewItem&amp;item=160489692526&amp;ssPageName=STRK:MEWNX:IT" TargetMode="External" /><Relationship Id="rId81" Type="http://schemas.openxmlformats.org/officeDocument/2006/relationships/hyperlink" Target="http://cgi.ebay.com/ws/eBayISAPI.dll?ViewItem&amp;item=270612001670&amp;ssPageName=STRK:MEWNX:IT" TargetMode="External" /><Relationship Id="rId82" Type="http://schemas.openxmlformats.org/officeDocument/2006/relationships/hyperlink" Target="http://cgi.ebay.com/ws/eBayISAPI.dll?ViewItem&amp;item=270612002639&amp;ssPageName=STRK:MEWNX:IT" TargetMode="External" /><Relationship Id="rId83" Type="http://schemas.openxmlformats.org/officeDocument/2006/relationships/hyperlink" Target="http://cgi.ebay.com/Wacom-Tech-Corp-Intuos4-Cintiq21-Airbrush-Pen-/200490935005?pt=LH_DefaultDomain_0&amp;hash=item2eae30e2dd" TargetMode="External" /><Relationship Id="rId84" Type="http://schemas.openxmlformats.org/officeDocument/2006/relationships/hyperlink" Target="http://cgi.ebay.com/Wacom-INTUOS4-CINTIQ21-DTK2100-Art-Pen-KP701E2-/290488978643?pt=LH_DefaultDomain_0&amp;hash=item43a27e0cd3" TargetMode="External" /><Relationship Id="rId85" Type="http://schemas.openxmlformats.org/officeDocument/2006/relationships/hyperlink" Target="http://cgi.ebay.com/Wacom-Cintiq-Tablet-PC-Art-Glove-no-friction-smudges-/230538524587?pt=LH_DefaultDomain_0&amp;hash=item35ad2ab7ab" TargetMode="External" /><Relationship Id="rId86" Type="http://schemas.openxmlformats.org/officeDocument/2006/relationships/hyperlink" Target="http://www.6pm.com/spiewak-cooper-jacket-black" TargetMode="External" /><Relationship Id="rId87" Type="http://schemas.openxmlformats.org/officeDocument/2006/relationships/hyperlink" Target="http://www.6pm.com/trotters-hanna-mocha-luxor" TargetMode="External" /><Relationship Id="rId88" Type="http://schemas.openxmlformats.org/officeDocument/2006/relationships/hyperlink" Target="http://www.6pm.com/trotters-diana-black-leather" TargetMode="External" /><Relationship Id="rId89" Type="http://schemas.openxmlformats.org/officeDocument/2006/relationships/hyperlink" Target="http://www.6pm.com/trotters" TargetMode="External" /><Relationship Id="rId90" Type="http://schemas.openxmlformats.org/officeDocument/2006/relationships/hyperlink" Target="http://www.ebags.com/product/etienne-aigner/veldon-core-crossbody/144444?productid=10004290" TargetMode="External" /><Relationship Id="rId91" Type="http://schemas.openxmlformats.org/officeDocument/2006/relationships/hyperlink" Target="http://www.6pm.com/nine-west-jiopa-black-satin" TargetMode="External" /><Relationship Id="rId92" Type="http://schemas.openxmlformats.org/officeDocument/2006/relationships/hyperlink" Target="http://www.6pm.com/nine-west" TargetMode="External" /><Relationship Id="rId93" Type="http://schemas.openxmlformats.org/officeDocument/2006/relationships/hyperlink" Target="http://www.6pm.com/bass-dobson-tan-burnished-leather" TargetMode="External" /><Relationship Id="rId94" Type="http://schemas.openxmlformats.org/officeDocument/2006/relationships/hyperlink" Target="http://www.6pm.com/bass" TargetMode="External" /><Relationship Id="rId95" Type="http://schemas.openxmlformats.org/officeDocument/2006/relationships/hyperlink" Target="http://www.6pm.com/kangaroos-magnolia-black-s-pink-2440" TargetMode="External" /><Relationship Id="rId96" Type="http://schemas.openxmlformats.org/officeDocument/2006/relationships/hyperlink" Target="http://www.6pm.com/kangaroos" TargetMode="External" /><Relationship Id="rId97" Type="http://schemas.openxmlformats.org/officeDocument/2006/relationships/hyperlink" Target="http://www.6pm.com/kangaroos-nc-42-leather-white-heather-jet-black" TargetMode="External" /><Relationship Id="rId98" Type="http://schemas.openxmlformats.org/officeDocument/2006/relationships/hyperlink" Target="http://www.6pm.com/enzo-angiolini-quertze-brown-natural-leather-canvas" TargetMode="External" /><Relationship Id="rId99" Type="http://schemas.openxmlformats.org/officeDocument/2006/relationships/hyperlink" Target="http://www.6pm.com/kangaroos-nc-42-leather-white-heather-jet-black" TargetMode="External" /><Relationship Id="rId100" Type="http://schemas.openxmlformats.org/officeDocument/2006/relationships/hyperlink" Target="http://www.6pm.com/kangaroos" TargetMode="External" /><Relationship Id="rId101" Type="http://schemas.openxmlformats.org/officeDocument/2006/relationships/hyperlink" Target="http://www.6pm.com/chinese-laundry-nixon-black" TargetMode="External" /><Relationship Id="rId102" Type="http://schemas.openxmlformats.org/officeDocument/2006/relationships/hyperlink" Target="http://www.amazon.com/Reebok-Easytone-Outside-II-Walking/dp/B0031RGZ30/ref=sr_1_1?m=A2VSS4DN1MTZ61&amp;s=shoes&amp;ie=UTF8&amp;qid=1288085546&amp;sr=1-1&amp;searchContext=B0031RGZ30,B002R0EJVW,B003BQLJI2,B001SN89Q0,B001SN8DJI,B0031RGRQK,B001GMAPZ6,B00347A69G,B001XTWGIG,B0037" TargetMode="External" /><Relationship Id="rId103" Type="http://schemas.openxmlformats.org/officeDocument/2006/relationships/hyperlink" Target="http://www.6pm.com/frye-ada-pleats-peep-cognac-antique-brush-off" TargetMode="External" /><Relationship Id="rId104" Type="http://schemas.openxmlformats.org/officeDocument/2006/relationships/hyperlink" Target="http://www.6pm.com/frye" TargetMode="External" /><Relationship Id="rId105" Type="http://schemas.openxmlformats.org/officeDocument/2006/relationships/hyperlink" Target="http://www.6pm.com/tsubo-erebus-mid-brown-dirty-lime-nappa" TargetMode="External" /><Relationship Id="rId106" Type="http://schemas.openxmlformats.org/officeDocument/2006/relationships/hyperlink" Target="http://www.6pm.com/tsubo" TargetMode="External" /><Relationship Id="rId107" Type="http://schemas.openxmlformats.org/officeDocument/2006/relationships/hyperlink" Target="http://www.6pm.com/la-canadienne-agatha-dark-brown" TargetMode="External" /><Relationship Id="rId108" Type="http://schemas.openxmlformats.org/officeDocument/2006/relationships/hyperlink" Target="http://www.6pm.com/adidas-originals-ciero-mid-black-black-collegiate-red" TargetMode="External" /><Relationship Id="rId109" Type="http://schemas.openxmlformats.org/officeDocument/2006/relationships/hyperlink" Target="http://www.6pm.com/product/7525601/color/236909" TargetMode="External" /><Relationship Id="rId110" Type="http://schemas.openxmlformats.org/officeDocument/2006/relationships/hyperlink" Target="http://www.6pm.com/reebok-lifestyle-ex-o-fit-plus-hi-stripes-sd-black-white-team-dark-royal-brass" TargetMode="External" /><Relationship Id="rId111" Type="http://schemas.openxmlformats.org/officeDocument/2006/relationships/hyperlink" Target="http://www.6pm.com/brand/822" TargetMode="External" /><Relationship Id="rId112" Type="http://schemas.openxmlformats.org/officeDocument/2006/relationships/hyperlink" Target="http://www.amazon.com/Columbia-Sportswear-Titanium-Omni-Tech-Insulated/dp/B001C4IVOK/ref=pd_sim_sg_1" TargetMode="External" /><Relationship Id="rId113" Type="http://schemas.openxmlformats.org/officeDocument/2006/relationships/hyperlink" Target="http://www.ebags.com/product/tignanello/perfect-body-eastwest-cross-body-organizer/100814?productid=1266542" TargetMode="External" /><Relationship Id="rId114" Type="http://schemas.openxmlformats.org/officeDocument/2006/relationships/hyperlink" Target="http://www.landsend.com/pp/ChevronDownCoat~212608_59.html?bcc=y&amp;action=order_more&amp;sku_0=::AUB&amp;CM_MERCH=IDX_00002__0000000158&amp;origin=index#BVRRWidgetID" TargetMode="External" /><Relationship Id="rId115" Type="http://schemas.openxmlformats.org/officeDocument/2006/relationships/hyperlink" Target="http://www.gymboree.com/shop/dept_item.jsp?PRODUCT%3C%3Eprd_id=845524445994614&amp;FOLDER%3C%3Efolder_id=2534374305284917&amp;ASSORTMENT%3C%3East_id=1408474395917465&amp;bmUID=1288360557129&amp;productSizeSelected=0&amp;fit_type=" TargetMode="External" /><Relationship Id="rId116" Type="http://schemas.openxmlformats.org/officeDocument/2006/relationships/hyperlink" Target="http://www.gymboree.com/shop/dept_item.jsp?PRODUCT%3C%3Eprd_id=845524445994379&amp;FOLDER%3C%3Efolder_id=2534374305284919&amp;ASSORTMENT%3C%3East_id=1408474395917465&amp;bmUID=1288360557132&amp;productSizeSelected=0&amp;fit_type=" TargetMode="External" /><Relationship Id="rId117" Type="http://schemas.openxmlformats.org/officeDocument/2006/relationships/hyperlink" Target="http://www.gymboree.com/shop/dept_item.jsp?PRODUCT%3C%3Eprd_id=845524445994682&amp;FOLDER%3C%3Efolder_id=2534374305284919&amp;ASSORTMENT%3C%3East_id=1408474395917465&amp;bmUID=1288360557136&amp;productSizeSelected=0&amp;fit_type=" TargetMode="External" /><Relationship Id="rId118" Type="http://schemas.openxmlformats.org/officeDocument/2006/relationships/hyperlink" Target="http://www.gymboree.com/shop/dept_item.jsp?PRODUCT%3C%3Eprd_id=845524445994464&amp;FOLDER%3C%3Efolder_id=2534374305284917&amp;ASSORTMENT%3C%3East_id=1408474395917465&amp;bmUID=1288463121689&amp;productSizeSelected=0&amp;fit_type=" TargetMode="External" /><Relationship Id="rId119" Type="http://schemas.openxmlformats.org/officeDocument/2006/relationships/hyperlink" Target="http://www.gymboree.com/shop/dept_item.jsp?PRODUCT%3C%3Eprd_id=845524445992215&amp;FOLDER%3C%3Efolder_id=2534374306255746&amp;ASSORTMENT%3C%3East_id=1408474395917465&amp;bmUID=1288364541789&amp;productSizeSelected=0&amp;fit_type=" TargetMode="External" /><Relationship Id="rId120" Type="http://schemas.openxmlformats.org/officeDocument/2006/relationships/hyperlink" Target="http://www.amazon.com/Vanilla-Fields-Coty-Women-Cologne/dp/B002Z7FUKG/ref=sr_1_1?ie=UTF8&amp;s=beauty&amp;qid=1288555480&amp;sr=1-1" TargetMode="External" /><Relationship Id="rId121" Type="http://schemas.openxmlformats.org/officeDocument/2006/relationships/hyperlink" Target="http://www.amazon.com/Exclamation-Coty-Women-Cologne-Spray/dp/B000JL69XC/ref=sr_1_6?s=beauty&amp;ie=UTF8&amp;qid=1288555990&amp;sr=1-6" TargetMode="External" /><Relationship Id="rId122" Type="http://schemas.openxmlformats.org/officeDocument/2006/relationships/hyperlink" Target="http://cgi.ebay.com/ws/eBayISAPI.dll?ViewItem&amp;item=150508695074" TargetMode="External" /><Relationship Id="rId123" Type="http://schemas.openxmlformats.org/officeDocument/2006/relationships/hyperlink" Target="http://www.amazon.com/Reebok-Womens-EasyTone-Sandal-purplelight/dp/B002FL57EQ/ref=sr_1_fkmr0_1?ie=UTF8&amp;qid=1288618450&amp;sr=8-1-fkmr0" TargetMode="External" /><Relationship Id="rId124" Type="http://schemas.openxmlformats.org/officeDocument/2006/relationships/hyperlink" Target="http://www.amazon.com/gp/product/B002WTC38O/ref=s9_simh_gw_p194_d0_i1?pf_rd_m=ATVPDKIKX0DER&amp;pf_rd_s=center-2&amp;pf_rd_r=0Q2JG3A773SR15T4S8ZF&amp;pf_rd_t=101&amp;pf_rd_p=470938631&amp;pf_rd_i=507846" TargetMode="External" /><Relationship Id="rId125" Type="http://schemas.openxmlformats.org/officeDocument/2006/relationships/hyperlink" Target="http://www.aldoshoes.com/us/sale/handbags/sale-shoulder-bags-totes/80550685-dehoyos/98" TargetMode="External" /><Relationship Id="rId126" Type="http://schemas.openxmlformats.org/officeDocument/2006/relationships/hyperlink" Target="http://store.nike.com/us/en_us/?sitesrc=uslp=#l=shop,pdp,ctr-inline/cid-100701/pid-284395/pgid-381214" TargetMode="External" /><Relationship Id="rId127" Type="http://schemas.openxmlformats.org/officeDocument/2006/relationships/hyperlink" Target="http://store.nike.com/us/en_us/?sitesrc=uslp=#l=shop,pdp,ctr-inline/cid-100701/pid-284773" TargetMode="External" /><Relationship Id="rId128" Type="http://schemas.openxmlformats.org/officeDocument/2006/relationships/hyperlink" Target="http://www.nike.com/nikeos/p/nikewomen/en_US/clothing?hf=10001" TargetMode="External" /><Relationship Id="rId129" Type="http://schemas.openxmlformats.org/officeDocument/2006/relationships/hyperlink" Target="http://store.nike.com/us/en_us/?sitesrc=uslp=#l=shop,pdp,ctr-inline/cid-100701/pid-326848/pgid-381129" TargetMode="External" /><Relationship Id="rId130" Type="http://schemas.openxmlformats.org/officeDocument/2006/relationships/hyperlink" Target="http://store.nike.com/us/en_us/?sitesrc=uslp=#l=shop,pdp,ctr-inline/cid-100701/pid-300825" TargetMode="External" /><Relationship Id="rId131" Type="http://schemas.openxmlformats.org/officeDocument/2006/relationships/hyperlink" Target="http://store.nike.com/us/en_us/?sitesrc=uslp=#l=shop,pdp,ctr-inline/cid-1/pid-321258/pgid-321257" TargetMode="External" /><Relationship Id="rId132" Type="http://schemas.openxmlformats.org/officeDocument/2006/relationships/hyperlink" Target="http://oldnavy.gap.com/browse/product.do?pid=7931490020003&amp;cid=37366" TargetMode="External" /><Relationship Id="rId133" Type="http://schemas.openxmlformats.org/officeDocument/2006/relationships/hyperlink" Target="http://oldnavy.gap.com/browse/product.do?pid=7969560120204&amp;cid=59029" TargetMode="External" /><Relationship Id="rId134" Type="http://schemas.openxmlformats.org/officeDocument/2006/relationships/hyperlink" Target="http://oldnavy.gap.com/browse/product.do?pid=7933070820002&amp;cid=53934" TargetMode="External" /><Relationship Id="rId135" Type="http://schemas.openxmlformats.org/officeDocument/2006/relationships/hyperlink" Target="http://oldnavy.gap.com/browse/product.do?pid=7988770120000&amp;cid=62140" TargetMode="External" /><Relationship Id="rId136" Type="http://schemas.openxmlformats.org/officeDocument/2006/relationships/hyperlink" Target="http://oldnavy.gap.com/browse/product.do?pid=7977230120003&amp;cid=61923" TargetMode="External" /><Relationship Id="rId137" Type="http://schemas.openxmlformats.org/officeDocument/2006/relationships/hyperlink" Target="http://oldnavy.gap.com/browse/product.do?pid=5221730420010&amp;cid=60979" TargetMode="External" /><Relationship Id="rId138" Type="http://schemas.openxmlformats.org/officeDocument/2006/relationships/hyperlink" Target="http://oldnavy.gap.com/browse/product.do?pid=6380170020003&amp;cid=55153" TargetMode="External" /><Relationship Id="rId139" Type="http://schemas.openxmlformats.org/officeDocument/2006/relationships/hyperlink" Target="http://www.amazon.com/Marc-New-York-Andrew-Hudson/dp/B003YULFWU/ref=sr_1_22?s=apparel&amp;ie=UTF8&amp;qid=1289047198&amp;sr=1-22&amp;searchContext=B0048G69WA,B0048GQQ8W,B0048GQQ8M,B0048GCC0I,B0048GCCJ4,B0048GAEJY,B003LQ22JC,B00416PWL6,B00422MK2S,B00415YI08,B00415Y27C,B00" TargetMode="External" /><Relationship Id="rId140" Type="http://schemas.openxmlformats.org/officeDocument/2006/relationships/hyperlink" Target="http://www.amazon.com/DKNY-Danielle-Ruffled-Placket-Winter/dp/B003XHI5WC/ref=sr_1_1?s=apparel&amp;ie=UTF8&amp;qid=1289047629&amp;sr=1-1&amp;searchContext=B003XHI5WC,B003XHGWEA,B003XHJOVS,B003XCXHBG,B003XHF07U,B003XD15KA,B003U4TYUA,B003U7YWDQ,B003XHI3BK,B0048KSNDO,B0048CI" TargetMode="External" /><Relationship Id="rId141" Type="http://schemas.openxmlformats.org/officeDocument/2006/relationships/hyperlink" Target="http://www.amazon.com/Tommy-Hilfiger-Sweaters-Tempest-Quarter/dp/B0046QHLUQ/ref=sr_1_1?ie=UTF8&amp;s=apparel&amp;qid=1289048955&amp;sr=1-1&amp;searchContext=B0046QHLUQ,B003YUM9P2,B0047OM7AG,B0040VLN7O" TargetMode="External" /><Relationship Id="rId142" Type="http://schemas.openxmlformats.org/officeDocument/2006/relationships/hyperlink" Target="http://www.proboardshop.com/sa390z04bk10zz-salomon-hoodies.html" TargetMode="External" /><Relationship Id="rId143" Type="http://schemas.openxmlformats.org/officeDocument/2006/relationships/hyperlink" Target="http://www.6pm.com/the-sak-pax-leather-crossbody-luggage" TargetMode="External" /><Relationship Id="rId144" Type="http://schemas.openxmlformats.org/officeDocument/2006/relationships/hyperlink" Target="http://www.amazon.com/gp/product/B001O9CZZY/ref=ord_cart_shr?ie=UTF8&amp;m=ACX92JP8G1QSD" TargetMode="External" /><Relationship Id="rId145" Type="http://schemas.openxmlformats.org/officeDocument/2006/relationships/hyperlink" Target="http://www.6pm.com/sudini-summit-chocolate-waterproof-calf" TargetMode="External" /><Relationship Id="rId146" Type="http://schemas.openxmlformats.org/officeDocument/2006/relationships/hyperlink" Target="http://www.6pm.com/sudini" TargetMode="External" /><Relationship Id="rId147" Type="http://schemas.openxmlformats.org/officeDocument/2006/relationships/hyperlink" Target="http://www.amazon.com/GUESS-Diamond-Rosary-Necklace-SILVER/dp/B0041MAX96/ref=sr_1_178?s=jewelry&amp;ie=UTF8&amp;qid=1288162330&amp;sr=1-178" TargetMode="External" /><Relationship Id="rId148" Type="http://schemas.openxmlformats.org/officeDocument/2006/relationships/hyperlink" Target="http://www.6pm.com/stride-rite-tt-hendrix-h-l-core-toddler-youth-navy-graphite-yolk" TargetMode="External" /><Relationship Id="rId149" Type="http://schemas.openxmlformats.org/officeDocument/2006/relationships/hyperlink" Target="http://www.6pm.com/vaneli-nevis-black-nairobi-patent" TargetMode="External" /><Relationship Id="rId150" Type="http://schemas.openxmlformats.org/officeDocument/2006/relationships/hyperlink" Target="http://www.6pm.com/jessica-simpson-lepolia-black" TargetMode="External" /><Relationship Id="rId151" Type="http://schemas.openxmlformats.org/officeDocument/2006/relationships/hyperlink" Target="http://www.6pm.com/calvin-klein-carrie-bright-red-pearlized-patent" TargetMode="External" /><Relationship Id="rId152" Type="http://schemas.openxmlformats.org/officeDocument/2006/relationships/hyperlink" Target="http://www.6pm.com/product/7702763/color/5492" TargetMode="External" /><Relationship Id="rId153" Type="http://schemas.openxmlformats.org/officeDocument/2006/relationships/hyperlink" Target="http://www.6pm.com/calvin-klein-jeans-beaded-tank-greenhouse" TargetMode="External" /><Relationship Id="rId154" Type="http://schemas.openxmlformats.org/officeDocument/2006/relationships/hyperlink" Target="http://www.6pm.com/calvin-klein-625108-black" TargetMode="External" /><Relationship Id="rId155" Type="http://schemas.openxmlformats.org/officeDocument/2006/relationships/hyperlink" Target="http://www.6pm.com/calvin-klein-karsyn-chino" TargetMode="External" /><Relationship Id="rId156" Type="http://schemas.openxmlformats.org/officeDocument/2006/relationships/hyperlink" Target="http://www.6pm.com/wesc-stash-we-are-nozzle-smoked-pearl" TargetMode="External" /><Relationship Id="rId157" Type="http://schemas.openxmlformats.org/officeDocument/2006/relationships/hyperlink" Target="http://www.columbia.com/on/demandware.store/Sites-Columbia_US-Site/default/Product-Show?pid=786636572523&amp;v=true" TargetMode="External" /><Relationship Id="rId158" Type="http://schemas.openxmlformats.org/officeDocument/2006/relationships/hyperlink" Target="http://www.columbia.com/Bugapowder&#8482;/BL1387_S,default,pd.html" TargetMode="External" /><Relationship Id="rId159" Type="http://schemas.openxmlformats.org/officeDocument/2006/relationships/hyperlink" Target="http://www.columbia.com/Men%27s-Bugastump&#8482;-Omni-Tech&#174;/BM1447,default,pd.html" TargetMode="External" /><Relationship Id="rId160" Type="http://schemas.openxmlformats.org/officeDocument/2006/relationships/hyperlink" Target="http://www.sheplers.com/mens/suits_and_sportcoats/072873.html" TargetMode="External" /><Relationship Id="rId161" Type="http://schemas.openxmlformats.org/officeDocument/2006/relationships/hyperlink" Target="http://www.sheplers.com/promo/mensouterwear_60percentoff/070041.html" TargetMode="External" /><Relationship Id="rId162" Type="http://schemas.openxmlformats.org/officeDocument/2006/relationships/hyperlink" Target="http://cgi.ebay.com/ws/eBayISAPI.dll?ViewItem&amp;item=270560620097&amp;var=570003361549&amp;ssPageName=STRK:MEWNX:IT" TargetMode="External" /><Relationship Id="rId163" Type="http://schemas.openxmlformats.org/officeDocument/2006/relationships/hyperlink" Target="http://cgi.ebay.com/ws/eBayISAPI.dll?ViewItem&amp;item=130453497749&amp;ssPageName=STRK:MEBIDX:IT" TargetMode="External" /><Relationship Id="rId164" Type="http://schemas.openxmlformats.org/officeDocument/2006/relationships/hyperlink" Target="http://www.landsend.com/pp/DownCommuterCoat~213595_59.html?bcc=y&amp;action=order_more&amp;sku_0=::AI7&amp;CM_MERCH=IDX_00002__0000000141&amp;origin=index" TargetMode="External" /><Relationship Id="rId165" Type="http://schemas.openxmlformats.org/officeDocument/2006/relationships/hyperlink" Target="http://www.6pm.com/emu-wool" TargetMode="External" /><Relationship Id="rId166" Type="http://schemas.openxmlformats.org/officeDocument/2006/relationships/hyperlink" Target="http://www.aldoshoes.com/us/women/boots/knee-high-boots/80739453-doiley/97" TargetMode="External" /><Relationship Id="rId167" Type="http://schemas.openxmlformats.org/officeDocument/2006/relationships/hyperlink" Target="http://www.amazon.com/Americolor-Student-Culinary-Academy-Choice/dp/B000MSXFWA/ref=sr_1_668?s=home-garden&amp;ie=UTF8&amp;qid=1290623180&amp;sr=1-668" TargetMode="External" /><Relationship Id="rId168" Type="http://schemas.openxmlformats.org/officeDocument/2006/relationships/hyperlink" Target="http://www.amazon.com/Gluten-Free-Mama-Purpose-32-Ounce/dp/B002YR7B7C/ref=sr_1_3?ie=UTF8&amp;qid=1290634293&amp;sr=8-3" TargetMode="External" /><Relationship Id="rId169" Type="http://schemas.openxmlformats.org/officeDocument/2006/relationships/hyperlink" Target="http://www.amazon.com/Matcha-Green-Powder-loose-sample/dp/B000GB7RV8/ref=sr_1_17?ie=UTF8&amp;qid=1290670660&amp;sr=8-17" TargetMode="External" /><Relationship Id="rId170" Type="http://schemas.openxmlformats.org/officeDocument/2006/relationships/hyperlink" Target="http://www.amazon.com/Wilton-Disposable-Inch-Decorating-Bags/dp/B0000CFMLT/ref=pd_bxgy_k_img_b" TargetMode="External" /><Relationship Id="rId171" Type="http://schemas.openxmlformats.org/officeDocument/2006/relationships/hyperlink" Target="http://www.amazon.com/I-Love-Macarons-Hisako-Ogita/dp/0811868710/ref=pd_luc_sim_01_02_t_lh" TargetMode="External" /><Relationship Id="rId172" Type="http://schemas.openxmlformats.org/officeDocument/2006/relationships/hyperlink" Target="http://www.6pm.com/emu-wool-hip-button-sand" TargetMode="External" /><Relationship Id="rId173" Type="http://schemas.openxmlformats.org/officeDocument/2006/relationships/hyperlink" Target="http://www.6pm.com/diesel-t-morrow-t-shirt-beige" TargetMode="External" /><Relationship Id="rId174" Type="http://schemas.openxmlformats.org/officeDocument/2006/relationships/hyperlink" Target="http://www.6pm.com/diesel-t-quay2-t-shirt-black" TargetMode="External" /><Relationship Id="rId175" Type="http://schemas.openxmlformats.org/officeDocument/2006/relationships/hyperlink" Target="http://www.6pm.com/diesel-bmbx-deck-shorts-navy-blue~1" TargetMode="External" /><Relationship Id="rId176" Type="http://schemas.openxmlformats.org/officeDocument/2006/relationships/hyperlink" Target="http://www.6pm.com/boss-hugo-boss-b0026-white-opal" TargetMode="External" /><Relationship Id="rId177" Type="http://schemas.openxmlformats.org/officeDocument/2006/relationships/hyperlink" Target="http://www.6pm.com/product/7670821/color/4854" TargetMode="External" /><Relationship Id="rId178" Type="http://schemas.openxmlformats.org/officeDocument/2006/relationships/hyperlink" Target="http://www.6pm.com/radcliffe-denim-twist-jumper-heather-charcoal" TargetMode="External" /><Relationship Id="rId179" Type="http://schemas.openxmlformats.org/officeDocument/2006/relationships/hyperlink" Target="http://viewitem.eim.ebay.ru/LOWRANCE_MARK5X_PRO__FISHFINDER_MONO_83200_KHZ_TM/180588203273/item" TargetMode="External" /><Relationship Id="rId180" Type="http://schemas.openxmlformats.org/officeDocument/2006/relationships/hyperlink" Target="http://www.amazon.com/Disney-Tangled-Rapunzel-Doll/dp/B0041IAGTW/ref=pd_sim_t_17" TargetMode="External" /><Relationship Id="rId181" Type="http://schemas.openxmlformats.org/officeDocument/2006/relationships/hyperlink" Target="http://www.amazon.com/Girls-Party-Dress-Taffeta-Sequins/dp/B001MGLPFA/ref=pd_sbs_a_3" TargetMode="External" /><Relationship Id="rId182" Type="http://schemas.openxmlformats.org/officeDocument/2006/relationships/hyperlink" Target="http://cgi.ebay.com/7-Pcs-Makeup-Brushes-Set-Goat-Hair-Eyeshadow-Brush-BS7-/320626190187?pt=LH_DefaultDomain_0&amp;hash=item4aa6cf676b" TargetMode="External" /><Relationship Id="rId183" Type="http://schemas.openxmlformats.org/officeDocument/2006/relationships/hyperlink" Target="http://cgi.ebay.com/new-P-88-color-eyeshadow-matt-palette-warm-04-1-/320550812688?pt=US_Makeup_Eyes&amp;hash=item4aa2513c10" TargetMode="External" /><Relationship Id="rId184" Type="http://schemas.openxmlformats.org/officeDocument/2006/relationships/hyperlink" Target="http://cgi.ebay.com/NEW-15-Piece-Eye-Shadow-Eyeshadow-Neutral-Nudes-Palette-/220616641089?pt=UK_Health_Beauty_Make_up_Cosmetics_Eye_Shadow_PP&amp;hash=item335dc6ca41" TargetMode="External" /><Relationship Id="rId185" Type="http://schemas.openxmlformats.org/officeDocument/2006/relationships/hyperlink" Target="http://cgi.ebay.com/ws/eBayISAPI.dll?ViewItem&amp;item=250650253212&amp;ssPageName=STRK:MEWNX:IT" TargetMode="External" /><Relationship Id="rId186" Type="http://schemas.openxmlformats.org/officeDocument/2006/relationships/hyperlink" Target="http://cgi.ebay.com/ws/eBayISAPI.dll?ViewItem&amp;item=160518283490&amp;var=460014449269&amp;ssPageName=STRK:MEWNX:IT" TargetMode="External" /><Relationship Id="rId187" Type="http://schemas.openxmlformats.org/officeDocument/2006/relationships/hyperlink" Target="http://www.6pm.com/cole-haan-zoom-flywire-fuschia-vintage-silver" TargetMode="External" /><Relationship Id="rId188" Type="http://schemas.openxmlformats.org/officeDocument/2006/relationships/hyperlink" Target="http://www.6pm.com/product/7416050/color/3" TargetMode="External" /><Relationship Id="rId189" Type="http://schemas.openxmlformats.org/officeDocument/2006/relationships/hyperlink" Target="http://www.6pm.com/etnies-fielder-vi-brown-beige-gum" TargetMode="External" /><Relationship Id="rId190" Type="http://schemas.openxmlformats.org/officeDocument/2006/relationships/hyperlink" Target="http://www.6pm.com/columbia-monterosso-hawk" TargetMode="External" /><Relationship Id="rId191" Type="http://schemas.openxmlformats.org/officeDocument/2006/relationships/hyperlink" Target="http://www.6pm.com/oakley-bottlecap-2-black-orange" TargetMode="External" /><Relationship Id="rId192" Type="http://schemas.openxmlformats.org/officeDocument/2006/relationships/hyperlink" Target="http://www.6pm.com/bacco-bucci-cj-tan" TargetMode="External" /><Relationship Id="rId193" Type="http://schemas.openxmlformats.org/officeDocument/2006/relationships/hyperlink" Target="http://www.6pm.com/garvalin-kids-092135-toddler-youth-white-leather" TargetMode="External" /><Relationship Id="rId194" Type="http://schemas.openxmlformats.org/officeDocument/2006/relationships/hyperlink" Target="http://www.amazon.com/Prehistoric-Pets-Terrordactyl-Interactive-Dinosaur/dp/B00383PNKS/ref=ty_blfr10_up_to_50pctFDoc_1000639851_2_27_img?ie=UTF8&amp;m=ATVPDKIKX0DER&amp;s=toys-and-games&amp;pf_rd_p=1284790142&amp;pf_rd_s=center-2&amp;pf_rd_t=1401&amp;pf_rd_i=1000639851&amp;pf_rd_m=A" TargetMode="External" /><Relationship Id="rId195" Type="http://schemas.openxmlformats.org/officeDocument/2006/relationships/hyperlink" Target="http://www.amazon.com/Disney-Flo-Die-Cast-Car/dp/B002FWW3R4/ref=sr_1_110?s=toys-and-games&amp;ie=UTF8&amp;qid=1293129917&amp;sr=1-110" TargetMode="External" /><Relationship Id="rId196" Type="http://schemas.openxmlformats.org/officeDocument/2006/relationships/hyperlink" Target="http://www.amazon.com/Disney-Paddy-OConcrete-Monster-Truck/dp/B0047Q5I1O/ref=pd_bxgy_t_img_c" TargetMode="External" /><Relationship Id="rId197" Type="http://schemas.openxmlformats.org/officeDocument/2006/relationships/hyperlink" Target="http://www.amazon.com/Disney-Cars-I-Screamer-Monster-Truck/dp/B0047Q78I0/ref=pd_bxgy_t_text_c" TargetMode="External" /><Relationship Id="rId198" Type="http://schemas.openxmlformats.org/officeDocument/2006/relationships/hyperlink" Target="http://www.amazon.com/Fisher-Price-N5045-Medical-Kit/dp/B0015AM26E/ref=sr_1_2?s=toys-and-games&amp;ie=UTF8&amp;qid=1293176962&amp;sr=1-2" TargetMode="External" /><Relationship Id="rId199" Type="http://schemas.openxmlformats.org/officeDocument/2006/relationships/hyperlink" Target="http://www.amazon.com/Wacom-CTH661-Bamboo-Fun-Tablet/dp/B002OOWC4C/ref=sr_1_2?s=electronics&amp;ie=UTF8&amp;qid=1293639471&amp;sr=1-2" TargetMode="External" /><Relationship Id="rId200" Type="http://schemas.openxmlformats.org/officeDocument/2006/relationships/hyperlink" Target="http://cgi.ebay.com/ws/eBayISAPI.dll?ViewItem&amp;item=270685299317&amp;_trksid=p1000006.m2000041#shId" TargetMode="External" /><Relationship Id="rId201" Type="http://schemas.openxmlformats.org/officeDocument/2006/relationships/hyperlink" Target="http://www.ae.com/web/browse/product.jsp?catId=cat200133&amp;productId=0186_9476&amp;initialSize=3000" TargetMode="External" /><Relationship Id="rId202" Type="http://schemas.openxmlformats.org/officeDocument/2006/relationships/hyperlink" Target="http://www.ae.com/web/browse/product.jsp?catId=cat90090&amp;productId=prod390054&amp;initialSize=3000" TargetMode="External" /><Relationship Id="rId203" Type="http://schemas.openxmlformats.org/officeDocument/2006/relationships/hyperlink" Target="http://www.ae.com/web/browse/product.jsp?catId=cat90070&amp;productId=1171_6403&amp;initialSize=3000" TargetMode="External" /><Relationship Id="rId204" Type="http://schemas.openxmlformats.org/officeDocument/2006/relationships/hyperlink" Target="http://oldnavy.gap.com/browse/product.do?cid=54493&amp;vid=2&amp;pid=776370&amp;actFltr=true" TargetMode="External" /><Relationship Id="rId205" Type="http://schemas.openxmlformats.org/officeDocument/2006/relationships/hyperlink" Target="http://www.gap.com/browse/product.do?pid=8054670020204&amp;cid=51964" TargetMode="External" /><Relationship Id="rId206" Type="http://schemas.openxmlformats.org/officeDocument/2006/relationships/hyperlink" Target="http://www.mjrsales.com/ecko-red-banded-bottom-dress-sz-xs.html" TargetMode="External" /><Relationship Id="rId207" Type="http://schemas.openxmlformats.org/officeDocument/2006/relationships/hyperlink" Target="http://www.mjrsales.com/buffalo-by-david-bitton-long-sleeve-v-neck-wrap-top-sz-xs-nwt-39509.html" TargetMode="External" /><Relationship Id="rId208" Type="http://schemas.openxmlformats.org/officeDocument/2006/relationships/hyperlink" Target="http://www.amazon.com/Play-Doh-24-Pack-of-Colors/dp/B000V64HZ2/ref=sr_1_1?s=toys-and-games&amp;ie=UTF8&amp;qid=1294758541&amp;sr=1-1" TargetMode="External" /><Relationship Id="rId209" Type="http://schemas.openxmlformats.org/officeDocument/2006/relationships/hyperlink" Target="http://www.amazon.com/Crayola-Color-Wonder-Sound-Studio/dp/B003P8FL1C/ref=sr_1_1?s=toys-and-games&amp;ie=UTF8&amp;qid=1294759732&amp;sr=1-1" TargetMode="External" /><Relationship Id="rId210" Type="http://schemas.openxmlformats.org/officeDocument/2006/relationships/hyperlink" Target="http://www.amazon.com/Hasbro-23867-Play-Doh-Undersea-Adventure/dp/B00198S50E/ref=sr_1_53?s=toys-and-games&amp;ie=UTF8&amp;qid=1294759081&amp;sr=1-53" TargetMode="External" /><Relationship Id="rId211" Type="http://schemas.openxmlformats.org/officeDocument/2006/relationships/comments" Target="../comments2.xml" /><Relationship Id="rId212" Type="http://schemas.openxmlformats.org/officeDocument/2006/relationships/vmlDrawing" Target="../drawings/vmlDrawing1.vml" /><Relationship Id="rId21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1"/>
  <sheetViews>
    <sheetView tabSelected="1" workbookViewId="0" topLeftCell="A1">
      <selection activeCell="J24" sqref="J24"/>
    </sheetView>
  </sheetViews>
  <sheetFormatPr defaultColWidth="12.57421875" defaultRowHeight="12.75"/>
  <cols>
    <col min="1" max="1" width="11.57421875" style="1" customWidth="1"/>
    <col min="2" max="2" width="21.28125" style="1" customWidth="1"/>
    <col min="3" max="3" width="11.57421875" style="2" customWidth="1"/>
    <col min="4" max="4" width="11.421875" style="1" customWidth="1"/>
    <col min="5" max="5" width="0" style="1" hidden="1" customWidth="1"/>
    <col min="6" max="6" width="11.57421875" style="3" customWidth="1"/>
    <col min="7" max="7" width="11.57421875" style="1" customWidth="1"/>
    <col min="8" max="8" width="11.57421875" style="4" customWidth="1"/>
    <col min="9" max="9" width="11.57421875" style="1" customWidth="1"/>
    <col min="10" max="11" width="11.57421875" style="4" customWidth="1"/>
    <col min="12" max="12" width="11.57421875" style="5" customWidth="1"/>
    <col min="13" max="14" width="11.57421875" style="6" customWidth="1"/>
    <col min="15" max="16384" width="11.57421875" style="1" customWidth="1"/>
  </cols>
  <sheetData>
    <row r="1" spans="1:11" ht="12.75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7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1.25" customHeight="1">
      <c r="A4" s="7"/>
      <c r="B4" s="10" t="s">
        <v>1</v>
      </c>
      <c r="C4" s="10"/>
      <c r="D4" s="10"/>
      <c r="E4" s="10"/>
      <c r="F4" s="10"/>
      <c r="G4" s="10"/>
      <c r="H4" s="10"/>
      <c r="I4" s="11"/>
      <c r="J4" s="11"/>
      <c r="K4" s="7"/>
      <c r="L4"/>
    </row>
    <row r="5" spans="1:12" ht="11.25" customHeight="1">
      <c r="A5" s="7"/>
      <c r="B5" s="12"/>
      <c r="C5" s="13"/>
      <c r="D5" s="14" t="s">
        <v>2</v>
      </c>
      <c r="E5" s="14"/>
      <c r="F5" s="15" t="s">
        <v>3</v>
      </c>
      <c r="G5" s="14" t="s">
        <v>4</v>
      </c>
      <c r="H5" s="16" t="s">
        <v>5</v>
      </c>
      <c r="I5" s="16" t="s">
        <v>6</v>
      </c>
      <c r="J5" s="17" t="s">
        <v>7</v>
      </c>
      <c r="K5" s="7"/>
      <c r="L5"/>
    </row>
    <row r="6" spans="1:12" ht="11.25" customHeight="1">
      <c r="A6" s="7"/>
      <c r="B6" s="12"/>
      <c r="C6" s="18"/>
      <c r="E6" s="14"/>
      <c r="G6" s="3">
        <f>F6*31.92</f>
        <v>0</v>
      </c>
      <c r="H6" s="16"/>
      <c r="I6" s="16"/>
      <c r="J6" s="17"/>
      <c r="K6" s="7"/>
      <c r="L6"/>
    </row>
    <row r="7" spans="1:12" ht="11.25" customHeight="1">
      <c r="A7" s="7"/>
      <c r="B7" s="12"/>
      <c r="C7" s="18"/>
      <c r="E7" s="14"/>
      <c r="G7" s="3">
        <f>F7*31.92</f>
        <v>0</v>
      </c>
      <c r="H7" s="16"/>
      <c r="I7" s="16"/>
      <c r="J7" s="17"/>
      <c r="K7" s="7"/>
      <c r="L7"/>
    </row>
    <row r="8" spans="1:12" ht="11.25" customHeight="1">
      <c r="A8" s="7"/>
      <c r="B8" s="12"/>
      <c r="C8" s="18"/>
      <c r="E8" s="14"/>
      <c r="G8" s="3">
        <f>F8*31.92</f>
        <v>0</v>
      </c>
      <c r="H8" s="3"/>
      <c r="I8" s="3"/>
      <c r="J8" s="19"/>
      <c r="K8" s="7"/>
      <c r="L8"/>
    </row>
    <row r="9" spans="1:12" ht="11.25" customHeight="1">
      <c r="A9" s="7"/>
      <c r="B9" s="12"/>
      <c r="C9" s="18"/>
      <c r="E9" s="14"/>
      <c r="G9" s="3">
        <f>F9*31.92</f>
        <v>0</v>
      </c>
      <c r="H9" s="3"/>
      <c r="I9" s="3"/>
      <c r="J9" s="19"/>
      <c r="K9" s="7"/>
      <c r="L9"/>
    </row>
    <row r="10" spans="1:12" ht="11.25" customHeight="1">
      <c r="A10" s="7"/>
      <c r="B10" s="12"/>
      <c r="C10" s="18"/>
      <c r="E10" s="14"/>
      <c r="G10" s="3">
        <f>F10*31.92</f>
        <v>0</v>
      </c>
      <c r="H10" s="3"/>
      <c r="I10" s="3"/>
      <c r="J10" s="19"/>
      <c r="K10" s="7"/>
      <c r="L10"/>
    </row>
    <row r="11" spans="1:12" ht="11.25" customHeight="1">
      <c r="A11" s="7"/>
      <c r="B11" s="20"/>
      <c r="C11" s="21"/>
      <c r="E11" s="14"/>
      <c r="G11" s="3">
        <f>F11*31.92</f>
        <v>0</v>
      </c>
      <c r="H11" s="3"/>
      <c r="I11" s="3"/>
      <c r="J11" s="19"/>
      <c r="K11" s="7"/>
      <c r="L11"/>
    </row>
    <row r="12" spans="1:13" ht="11.25" customHeight="1">
      <c r="A12" s="7"/>
      <c r="B12" s="22"/>
      <c r="C12" s="23"/>
      <c r="D12" s="24">
        <f>SUM(D6:D11)</f>
        <v>0</v>
      </c>
      <c r="E12" s="24"/>
      <c r="F12" s="25"/>
      <c r="G12" s="26"/>
      <c r="H12" s="27"/>
      <c r="I12" s="27"/>
      <c r="J12" s="28"/>
      <c r="K12" s="7"/>
      <c r="L12"/>
      <c r="M12" s="29"/>
    </row>
    <row r="13" spans="1:1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/>
    </row>
    <row r="14" spans="1:1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256" ht="11.2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2.75">
      <c r="A17" s="30"/>
      <c r="B17" s="31" t="s">
        <v>8</v>
      </c>
      <c r="C17" s="31"/>
      <c r="D17" s="31"/>
      <c r="E17" s="31"/>
      <c r="F17" s="31"/>
      <c r="G17" s="31"/>
      <c r="H17" s="31"/>
      <c r="I17" s="31"/>
      <c r="J17" s="31"/>
      <c r="K17" s="30"/>
    </row>
    <row r="18" spans="1:11" ht="12.75">
      <c r="A18" s="30"/>
      <c r="B18" s="32"/>
      <c r="C18" s="32"/>
      <c r="D18" s="32"/>
      <c r="E18" s="32"/>
      <c r="F18" s="32"/>
      <c r="G18" s="32"/>
      <c r="H18" s="32"/>
      <c r="I18" s="32"/>
      <c r="J18" s="32"/>
      <c r="K18" s="30"/>
    </row>
    <row r="19" spans="1:11" ht="12.75">
      <c r="A19" s="30"/>
      <c r="B19" s="33" t="s">
        <v>9</v>
      </c>
      <c r="C19" s="33"/>
      <c r="D19" s="33"/>
      <c r="E19" s="33"/>
      <c r="F19" s="33"/>
      <c r="G19" s="33"/>
      <c r="H19" s="33"/>
      <c r="I19" s="34" t="s">
        <v>10</v>
      </c>
      <c r="J19" s="34"/>
      <c r="K19" s="30"/>
    </row>
    <row r="20" spans="1:11" ht="12.75">
      <c r="A20" s="30"/>
      <c r="B20" s="12"/>
      <c r="C20" s="13"/>
      <c r="D20" s="14" t="s">
        <v>2</v>
      </c>
      <c r="E20" s="14"/>
      <c r="F20" s="15" t="s">
        <v>3</v>
      </c>
      <c r="G20" s="14" t="s">
        <v>4</v>
      </c>
      <c r="H20" s="16" t="s">
        <v>5</v>
      </c>
      <c r="I20" s="16" t="s">
        <v>6</v>
      </c>
      <c r="J20" s="17" t="s">
        <v>7</v>
      </c>
      <c r="K20" s="30"/>
    </row>
    <row r="21" spans="1:11" ht="12.75">
      <c r="A21" s="30"/>
      <c r="B21" s="12" t="s">
        <v>11</v>
      </c>
      <c r="C21" s="18">
        <v>5</v>
      </c>
      <c r="D21" s="1">
        <v>1</v>
      </c>
      <c r="E21" s="14"/>
      <c r="F21" s="3">
        <f>D21/$D$27*$F$27+2</f>
        <v>7.9223642172523965</v>
      </c>
      <c r="G21" s="3">
        <f>F21*31.31</f>
        <v>248.04922364217254</v>
      </c>
      <c r="H21" s="16"/>
      <c r="I21" s="16"/>
      <c r="J21" s="17"/>
      <c r="K21" s="30"/>
    </row>
    <row r="22" spans="1:11" ht="12.75">
      <c r="A22" s="30"/>
      <c r="B22" s="12" t="s">
        <v>12</v>
      </c>
      <c r="C22" s="18" t="s">
        <v>13</v>
      </c>
      <c r="D22" s="1">
        <f>13+2</f>
        <v>15</v>
      </c>
      <c r="E22" s="14"/>
      <c r="F22" s="3">
        <f>D22/$D$27*$F$27+4</f>
        <v>92.83546325878595</v>
      </c>
      <c r="G22" s="3">
        <f>F22*31.31</f>
        <v>2906.678354632588</v>
      </c>
      <c r="H22" s="16"/>
      <c r="I22" s="16"/>
      <c r="J22" s="17"/>
      <c r="K22" s="30"/>
    </row>
    <row r="23" spans="1:11" ht="12.75">
      <c r="A23" s="30"/>
      <c r="B23" s="12" t="s">
        <v>14</v>
      </c>
      <c r="C23" s="18" t="s">
        <v>15</v>
      </c>
      <c r="D23" s="1">
        <v>3.8</v>
      </c>
      <c r="E23" s="14"/>
      <c r="F23" s="3">
        <f>D23/$D$27*$F$27+2+2</f>
        <v>26.504984025559104</v>
      </c>
      <c r="G23" s="3">
        <f>F23*31.31</f>
        <v>829.8710498402555</v>
      </c>
      <c r="H23" s="3"/>
      <c r="I23" s="3"/>
      <c r="J23" s="19"/>
      <c r="K23" s="30"/>
    </row>
    <row r="24" spans="1:11" ht="12.75">
      <c r="A24" s="30"/>
      <c r="B24" s="12" t="str">
        <f>Заказы!A420</f>
        <v>Paris look</v>
      </c>
      <c r="C24" s="18" t="str">
        <f>Заказы!A421</f>
        <v>6рм</v>
      </c>
      <c r="D24" s="1">
        <v>6.7</v>
      </c>
      <c r="E24" s="14"/>
      <c r="F24" s="3">
        <f>D24/$D$27*$F$27+2</f>
        <v>41.67984025559105</v>
      </c>
      <c r="G24" s="3">
        <f>F24*31.31</f>
        <v>1304.995798402556</v>
      </c>
      <c r="H24" s="3"/>
      <c r="I24" s="3">
        <v>115</v>
      </c>
      <c r="J24" s="19">
        <f>I24-G24+H24</f>
        <v>-1189.995798402556</v>
      </c>
      <c r="K24" s="30"/>
    </row>
    <row r="25" spans="1:11" ht="12.75">
      <c r="A25" s="30"/>
      <c r="B25" s="12" t="str">
        <f>Заказы!A435</f>
        <v>inzin</v>
      </c>
      <c r="C25" s="18" t="str">
        <f>Заказы!A436</f>
        <v>ebay</v>
      </c>
      <c r="D25" s="1">
        <v>3.1</v>
      </c>
      <c r="E25" s="14"/>
      <c r="F25" s="3">
        <f>D25/$D$27*$F$27+2+2</f>
        <v>22.359329073482428</v>
      </c>
      <c r="G25" s="3">
        <f>F25*31.31</f>
        <v>700.0705932907348</v>
      </c>
      <c r="H25" s="3">
        <f>Заказы!N439</f>
        <v>146.72999999999956</v>
      </c>
      <c r="I25" s="3"/>
      <c r="J25" s="19">
        <f>I25-G25+H25</f>
        <v>-553.3405932907352</v>
      </c>
      <c r="K25" s="30"/>
    </row>
    <row r="26" spans="1:12" ht="11.25" customHeight="1">
      <c r="A26" s="30"/>
      <c r="B26" s="12" t="str">
        <f>Заказы!A325</f>
        <v>Elena77</v>
      </c>
      <c r="C26" s="18" t="str">
        <f>Заказы!A329</f>
        <v>ProBoardShop</v>
      </c>
      <c r="D26" s="1">
        <v>1.7000000000000002</v>
      </c>
      <c r="E26" s="14"/>
      <c r="F26" s="3">
        <f>D26/$D$27*$F$27+2</f>
        <v>12.068019169329075</v>
      </c>
      <c r="G26" s="3">
        <f>F26*31.31</f>
        <v>377.8496801916933</v>
      </c>
      <c r="H26" s="3">
        <v>378</v>
      </c>
      <c r="I26" s="3"/>
      <c r="J26" s="19">
        <f>I26-G26+H26</f>
        <v>0.15031980830667635</v>
      </c>
      <c r="K26" s="30"/>
      <c r="L26"/>
    </row>
    <row r="27" spans="1:15" ht="11.25" customHeight="1">
      <c r="A27" s="30"/>
      <c r="B27" s="22"/>
      <c r="C27" s="23"/>
      <c r="D27" s="24">
        <f>SUM(D21:D26)</f>
        <v>31.3</v>
      </c>
      <c r="E27" s="24"/>
      <c r="F27" s="35">
        <f>203.37-18</f>
        <v>185.37</v>
      </c>
      <c r="G27" s="26">
        <v>6367.51</v>
      </c>
      <c r="H27" s="27"/>
      <c r="I27" s="27"/>
      <c r="J27" s="28"/>
      <c r="K27" s="30"/>
      <c r="L27" s="36"/>
      <c r="O27" s="3"/>
    </row>
    <row r="28" spans="1:12" ht="11.2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/>
    </row>
    <row r="29" spans="1:13" ht="11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7"/>
      <c r="M29" s="29"/>
    </row>
    <row r="30" spans="1:11" ht="12.75">
      <c r="A30" s="7"/>
      <c r="B30" s="38" t="s">
        <v>16</v>
      </c>
      <c r="C30" s="38"/>
      <c r="D30" s="38"/>
      <c r="E30" s="38"/>
      <c r="F30" s="38"/>
      <c r="G30" s="38"/>
      <c r="H30" s="38"/>
      <c r="I30" s="38"/>
      <c r="J30" s="38"/>
      <c r="K30" s="7"/>
    </row>
    <row r="31" spans="1:11" ht="12.75">
      <c r="A31" s="7"/>
      <c r="B31" s="38"/>
      <c r="C31" s="38"/>
      <c r="D31" s="38"/>
      <c r="E31" s="38"/>
      <c r="F31" s="38"/>
      <c r="G31" s="38"/>
      <c r="H31" s="38"/>
      <c r="I31" s="38"/>
      <c r="J31" s="38"/>
      <c r="K31" s="7"/>
    </row>
    <row r="32" spans="1:11" ht="12.75">
      <c r="A32" s="7"/>
      <c r="B32" s="39" t="s">
        <v>17</v>
      </c>
      <c r="C32" s="39"/>
      <c r="D32" s="39"/>
      <c r="E32" s="39"/>
      <c r="F32" s="39"/>
      <c r="G32" s="39"/>
      <c r="H32" s="39"/>
      <c r="I32" s="40" t="s">
        <v>18</v>
      </c>
      <c r="J32" s="40"/>
      <c r="K32" s="7"/>
    </row>
    <row r="33" spans="1:11" ht="12.75">
      <c r="A33" s="7"/>
      <c r="B33" s="12"/>
      <c r="C33" s="13"/>
      <c r="D33" s="14" t="s">
        <v>2</v>
      </c>
      <c r="E33" s="14"/>
      <c r="F33" s="15" t="s">
        <v>3</v>
      </c>
      <c r="G33" s="14" t="s">
        <v>4</v>
      </c>
      <c r="H33" s="16" t="s">
        <v>5</v>
      </c>
      <c r="I33" s="16" t="s">
        <v>6</v>
      </c>
      <c r="J33" s="17" t="s">
        <v>7</v>
      </c>
      <c r="K33" s="7"/>
    </row>
    <row r="34" spans="1:11" ht="12.75">
      <c r="A34" s="7"/>
      <c r="B34" s="12" t="s">
        <v>11</v>
      </c>
      <c r="C34" s="41">
        <v>2</v>
      </c>
      <c r="D34" s="1">
        <v>0.5</v>
      </c>
      <c r="E34" s="14"/>
      <c r="F34" s="3">
        <f>D34/$D$41*$F$41+2</f>
        <v>5.772289156626506</v>
      </c>
      <c r="G34" s="3">
        <f>F34*31.16</f>
        <v>179.86453012048193</v>
      </c>
      <c r="H34" s="16"/>
      <c r="I34" s="16"/>
      <c r="J34" s="17"/>
      <c r="K34" s="7"/>
    </row>
    <row r="35" spans="1:11" ht="12.75">
      <c r="A35" s="7"/>
      <c r="B35" s="12" t="s">
        <v>11</v>
      </c>
      <c r="C35" s="18">
        <v>1</v>
      </c>
      <c r="D35" s="1">
        <v>0.5</v>
      </c>
      <c r="E35" s="14"/>
      <c r="F35" s="3">
        <f>D35/$D$41*$F$41+2</f>
        <v>5.772289156626506</v>
      </c>
      <c r="G35" s="3">
        <f>F35*31.16</f>
        <v>179.86453012048193</v>
      </c>
      <c r="H35" s="16"/>
      <c r="I35" s="16"/>
      <c r="J35" s="17"/>
      <c r="K35" s="7"/>
    </row>
    <row r="36" spans="1:11" ht="12.75">
      <c r="A36" s="7"/>
      <c r="B36" s="12" t="s">
        <v>14</v>
      </c>
      <c r="C36" s="18" t="s">
        <v>19</v>
      </c>
      <c r="D36" s="1">
        <v>2.9</v>
      </c>
      <c r="E36" s="14"/>
      <c r="F36" s="3">
        <f>D36/$D$41*$F$41+2+2+5</f>
        <v>30.879277108433733</v>
      </c>
      <c r="G36" s="3">
        <f>F36*31.16</f>
        <v>962.1982746987951</v>
      </c>
      <c r="H36" s="3"/>
      <c r="I36" s="3"/>
      <c r="J36" s="19"/>
      <c r="K36" s="7"/>
    </row>
    <row r="37" spans="1:11" ht="12.75">
      <c r="A37" s="7"/>
      <c r="B37" s="12" t="s">
        <v>20</v>
      </c>
      <c r="C37" s="18" t="s">
        <v>21</v>
      </c>
      <c r="D37" s="1">
        <v>1.5</v>
      </c>
      <c r="E37" s="14"/>
      <c r="F37" s="3">
        <f>D37/$D$41*$F$41+2+2+5</f>
        <v>20.31686746987952</v>
      </c>
      <c r="G37" s="3">
        <f>F37*31.16</f>
        <v>633.0735903614458</v>
      </c>
      <c r="H37" s="3">
        <v>256.41</v>
      </c>
      <c r="I37" s="3">
        <v>377</v>
      </c>
      <c r="J37" s="19">
        <f>I37-G37+H37</f>
        <v>0.3364096385542439</v>
      </c>
      <c r="K37" s="7"/>
    </row>
    <row r="38" spans="1:11" ht="12.75">
      <c r="A38" s="7"/>
      <c r="B38" s="12" t="str">
        <f>Заказы!A406</f>
        <v>KirA13</v>
      </c>
      <c r="C38" s="18" t="str">
        <f>Заказы!A407</f>
        <v>Aldo</v>
      </c>
      <c r="D38" s="1">
        <v>4.1</v>
      </c>
      <c r="E38" s="14"/>
      <c r="F38" s="3">
        <f>D38/$D$41*$F$41+2</f>
        <v>32.93277108433735</v>
      </c>
      <c r="G38" s="3">
        <f>F38*31.16</f>
        <v>1026.1851469879518</v>
      </c>
      <c r="H38" s="3">
        <f>Заказы!N410</f>
        <v>-746.6800000000003</v>
      </c>
      <c r="I38" s="3">
        <v>1770</v>
      </c>
      <c r="J38" s="19">
        <f>I38-G38+H38</f>
        <v>-2.86514698795213</v>
      </c>
      <c r="K38" s="7"/>
    </row>
    <row r="39" spans="1:11" ht="12.75">
      <c r="A39" s="7"/>
      <c r="B39" s="12" t="str">
        <f>Заказы!A428</f>
        <v>margshel</v>
      </c>
      <c r="C39" s="18" t="str">
        <f>Заказы!A429</f>
        <v>6рм</v>
      </c>
      <c r="D39" s="1">
        <v>4.6</v>
      </c>
      <c r="E39" s="14"/>
      <c r="F39" s="3">
        <f>D39/$D$41*$F$41+2</f>
        <v>36.70506024096385</v>
      </c>
      <c r="G39" s="3">
        <f>F39*31.16</f>
        <v>1143.7296771084336</v>
      </c>
      <c r="H39" s="3">
        <f>Заказы!N434</f>
        <v>3.8899999999998727</v>
      </c>
      <c r="I39" s="3">
        <v>1140</v>
      </c>
      <c r="J39" s="19">
        <f>I39-G39+H39</f>
        <v>0.16032289156623847</v>
      </c>
      <c r="K39" s="7"/>
    </row>
    <row r="40" spans="1:11" ht="12.75">
      <c r="A40" s="7"/>
      <c r="B40" s="20" t="s">
        <v>22</v>
      </c>
      <c r="C40" s="21"/>
      <c r="D40" s="1">
        <v>2.5</v>
      </c>
      <c r="E40" s="14"/>
      <c r="F40" s="3">
        <f>D40/$D$41*$F$41+2</f>
        <v>20.86144578313253</v>
      </c>
      <c r="G40" s="3">
        <f>F40*31.16</f>
        <v>650.0426506024097</v>
      </c>
      <c r="H40" s="3"/>
      <c r="I40" s="3"/>
      <c r="J40" s="19"/>
      <c r="K40" s="7"/>
    </row>
    <row r="41" spans="1:11" ht="12.75">
      <c r="A41" s="7"/>
      <c r="B41" s="22"/>
      <c r="C41" s="23"/>
      <c r="D41" s="24">
        <f>SUM(D34:D40)</f>
        <v>16.6</v>
      </c>
      <c r="E41" s="24"/>
      <c r="F41" s="42">
        <f>153.24-28</f>
        <v>125.24000000000001</v>
      </c>
      <c r="G41" s="26">
        <v>4774.96</v>
      </c>
      <c r="H41" s="27"/>
      <c r="I41" s="27"/>
      <c r="J41" s="28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43" t="s">
        <v>23</v>
      </c>
      <c r="C43" s="43"/>
      <c r="D43" s="43"/>
      <c r="E43" s="43"/>
      <c r="F43" s="43"/>
      <c r="G43" s="43"/>
      <c r="H43" s="43"/>
      <c r="I43" s="44" t="s">
        <v>24</v>
      </c>
      <c r="J43" s="44"/>
      <c r="K43" s="7"/>
    </row>
    <row r="44" spans="1:11" ht="11.25" customHeight="1">
      <c r="A44" s="7"/>
      <c r="B44" s="12"/>
      <c r="C44" s="13"/>
      <c r="D44" s="14" t="s">
        <v>2</v>
      </c>
      <c r="E44" s="14"/>
      <c r="F44" s="15" t="s">
        <v>3</v>
      </c>
      <c r="G44" s="14" t="s">
        <v>4</v>
      </c>
      <c r="H44" s="16" t="s">
        <v>5</v>
      </c>
      <c r="I44" s="16" t="s">
        <v>6</v>
      </c>
      <c r="J44" s="17" t="s">
        <v>7</v>
      </c>
      <c r="K44" s="7"/>
    </row>
    <row r="45" spans="1:11" ht="11.25" customHeight="1">
      <c r="A45" s="7"/>
      <c r="B45" s="12" t="s">
        <v>14</v>
      </c>
      <c r="C45" s="18" t="s">
        <v>25</v>
      </c>
      <c r="D45" s="1">
        <v>2.8</v>
      </c>
      <c r="E45" s="14"/>
      <c r="F45" s="3">
        <f>D45/$D$50*$F$50+2+2+3</f>
        <v>24.443486238532106</v>
      </c>
      <c r="G45" s="3">
        <f>F45*31.72</f>
        <v>775.3473834862384</v>
      </c>
      <c r="H45" s="3"/>
      <c r="I45" s="3"/>
      <c r="J45" s="19"/>
      <c r="K45" s="7"/>
    </row>
    <row r="46" spans="1:12" ht="11.25" customHeight="1">
      <c r="A46" s="7"/>
      <c r="B46" s="12" t="s">
        <v>14</v>
      </c>
      <c r="C46" s="18" t="s">
        <v>26</v>
      </c>
      <c r="D46" s="1">
        <v>3.3</v>
      </c>
      <c r="E46" s="14"/>
      <c r="F46" s="3">
        <f>D46/$D$50*$F$50+2+2+7</f>
        <v>31.55839449541284</v>
      </c>
      <c r="G46" s="3">
        <f>F46*31.72</f>
        <v>1001.0322733944953</v>
      </c>
      <c r="H46" s="3"/>
      <c r="I46" s="3"/>
      <c r="J46" s="19"/>
      <c r="K46" s="7"/>
      <c r="L46" s="36"/>
    </row>
    <row r="47" spans="1:11" ht="11.25" customHeight="1">
      <c r="A47" s="7"/>
      <c r="B47" s="12" t="s">
        <v>11</v>
      </c>
      <c r="C47" s="18">
        <v>3</v>
      </c>
      <c r="D47" s="1">
        <v>1</v>
      </c>
      <c r="E47" s="14"/>
      <c r="F47" s="3">
        <f>D47/$D$50*$F$50+2</f>
        <v>8.229816513761467</v>
      </c>
      <c r="G47" s="3">
        <f>F47*31.72</f>
        <v>261.0497798165137</v>
      </c>
      <c r="H47" s="3"/>
      <c r="I47" s="3"/>
      <c r="J47" s="19"/>
      <c r="K47" s="7"/>
    </row>
    <row r="48" spans="1:11" ht="11.25" customHeight="1">
      <c r="A48" s="7"/>
      <c r="B48" s="20" t="s">
        <v>27</v>
      </c>
      <c r="C48" s="21" t="s">
        <v>28</v>
      </c>
      <c r="D48" s="1">
        <v>7</v>
      </c>
      <c r="E48" s="14"/>
      <c r="F48" s="3">
        <f>D48/$D$50*$F$50+2</f>
        <v>45.60871559633027</v>
      </c>
      <c r="G48" s="3">
        <f>F48*31.72</f>
        <v>1446.7084587155962</v>
      </c>
      <c r="H48" s="3"/>
      <c r="I48" s="3"/>
      <c r="J48" s="19"/>
      <c r="K48" s="7"/>
    </row>
    <row r="49" spans="1:11" ht="11.25" customHeight="1">
      <c r="A49" s="7"/>
      <c r="B49" s="20" t="s">
        <v>27</v>
      </c>
      <c r="C49" s="21" t="s">
        <v>29</v>
      </c>
      <c r="D49" s="1">
        <v>7.7</v>
      </c>
      <c r="E49" s="14"/>
      <c r="F49" s="3">
        <f>D49/$D$50*$F$50+2</f>
        <v>49.9695871559633</v>
      </c>
      <c r="G49" s="3">
        <f>F49*31.72</f>
        <v>1585.035304587156</v>
      </c>
      <c r="H49" s="3"/>
      <c r="I49" s="3"/>
      <c r="J49" s="19"/>
      <c r="K49" s="7"/>
    </row>
    <row r="50" spans="1:11" ht="11.25" customHeight="1">
      <c r="A50" s="7"/>
      <c r="B50" s="22"/>
      <c r="C50" s="23"/>
      <c r="D50" s="24">
        <f>SUM(D45:D49)</f>
        <v>21.8</v>
      </c>
      <c r="E50" s="24"/>
      <c r="F50" s="45">
        <f>159.81-24</f>
        <v>135.81</v>
      </c>
      <c r="G50" s="26">
        <v>4871.56</v>
      </c>
      <c r="H50" s="27"/>
      <c r="I50" s="27"/>
      <c r="J50" s="28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7" ht="11.25" customHeight="1">
      <c r="A52" s="7"/>
      <c r="B52" s="46" t="s">
        <v>30</v>
      </c>
      <c r="C52" s="46"/>
      <c r="D52" s="46"/>
      <c r="E52" s="46"/>
      <c r="F52" s="46"/>
      <c r="G52" s="46"/>
      <c r="H52" s="46"/>
      <c r="I52" s="47" t="s">
        <v>31</v>
      </c>
      <c r="J52" s="47"/>
      <c r="K52" s="7"/>
      <c r="M52" s="5"/>
      <c r="N52" s="5"/>
      <c r="O52" s="5"/>
      <c r="P52" s="5"/>
      <c r="Q52" s="5"/>
    </row>
    <row r="53" spans="1:17" ht="11.25" customHeight="1">
      <c r="A53" s="7"/>
      <c r="B53" s="12"/>
      <c r="C53" s="13"/>
      <c r="D53" s="14" t="s">
        <v>2</v>
      </c>
      <c r="E53" s="14"/>
      <c r="F53" s="15" t="s">
        <v>3</v>
      </c>
      <c r="G53" s="14" t="s">
        <v>4</v>
      </c>
      <c r="H53" s="16" t="s">
        <v>5</v>
      </c>
      <c r="I53" s="16" t="s">
        <v>6</v>
      </c>
      <c r="J53" s="17" t="s">
        <v>7</v>
      </c>
      <c r="K53" s="7"/>
      <c r="M53" s="5"/>
      <c r="N53" s="5"/>
      <c r="O53" s="5"/>
      <c r="P53" s="5"/>
      <c r="Q53" s="5"/>
    </row>
    <row r="54" spans="1:17" ht="11.25" customHeight="1">
      <c r="A54" s="7"/>
      <c r="B54" s="12" t="s">
        <v>14</v>
      </c>
      <c r="C54" s="18" t="s">
        <v>32</v>
      </c>
      <c r="D54" s="1">
        <v>3</v>
      </c>
      <c r="E54" s="14"/>
      <c r="F54" s="3">
        <f>D54/$D$58*$F$58+2+2</f>
        <v>23.484684684684687</v>
      </c>
      <c r="G54" s="3">
        <f>F54*31.72</f>
        <v>744.9341981981983</v>
      </c>
      <c r="H54" s="3"/>
      <c r="I54" s="3"/>
      <c r="J54" s="19"/>
      <c r="K54" s="7"/>
      <c r="M54" s="5"/>
      <c r="N54" s="5"/>
      <c r="O54" s="5"/>
      <c r="P54" s="5"/>
      <c r="Q54" s="5"/>
    </row>
    <row r="55" spans="1:17" ht="11.25" customHeight="1">
      <c r="A55" s="7"/>
      <c r="B55" s="12" t="s">
        <v>14</v>
      </c>
      <c r="C55" s="18" t="s">
        <v>33</v>
      </c>
      <c r="D55" s="1">
        <v>0.9</v>
      </c>
      <c r="E55" s="14"/>
      <c r="F55" s="3">
        <f>D55/$D$58*$F$58+2+2</f>
        <v>9.845405405405405</v>
      </c>
      <c r="G55" s="3">
        <f>F55*31.72</f>
        <v>312.2962594594594</v>
      </c>
      <c r="H55" s="3"/>
      <c r="I55" s="3"/>
      <c r="J55" s="19"/>
      <c r="K55" s="7"/>
      <c r="M55" s="5"/>
      <c r="N55" s="5"/>
      <c r="O55" s="5"/>
      <c r="P55" s="5"/>
      <c r="Q55" s="5"/>
    </row>
    <row r="56" spans="1:17" ht="11.25" customHeight="1">
      <c r="A56" s="7"/>
      <c r="B56" s="12" t="s">
        <v>14</v>
      </c>
      <c r="C56" s="18" t="s">
        <v>34</v>
      </c>
      <c r="D56" s="1">
        <v>1.6</v>
      </c>
      <c r="E56" s="14"/>
      <c r="F56" s="3">
        <f>D56/$D$58*$F$58+2+2</f>
        <v>14.391831831831833</v>
      </c>
      <c r="G56" s="3">
        <f>F56*31.72</f>
        <v>456.50890570570573</v>
      </c>
      <c r="H56" s="3"/>
      <c r="I56" s="3"/>
      <c r="J56" s="19"/>
      <c r="K56" s="7"/>
      <c r="M56" s="5"/>
      <c r="N56" s="5"/>
      <c r="O56" s="5"/>
      <c r="P56" s="5"/>
      <c r="Q56" s="5"/>
    </row>
    <row r="57" spans="1:17" ht="11.25" customHeight="1">
      <c r="A57" s="7"/>
      <c r="B57" s="20" t="s">
        <v>27</v>
      </c>
      <c r="C57" s="21" t="s">
        <v>35</v>
      </c>
      <c r="D57" s="1">
        <v>27.8</v>
      </c>
      <c r="E57" s="14"/>
      <c r="F57" s="3">
        <f>D57/$D$58*$F$58+2</f>
        <v>182.5580780780781</v>
      </c>
      <c r="G57" s="3">
        <f>F57*31.72</f>
        <v>5790.742236636637</v>
      </c>
      <c r="H57" s="3"/>
      <c r="I57" s="3"/>
      <c r="J57" s="19"/>
      <c r="K57" s="7"/>
      <c r="M57" s="5"/>
      <c r="N57" s="5"/>
      <c r="O57" s="5"/>
      <c r="P57" s="5"/>
      <c r="Q57" s="5"/>
    </row>
    <row r="58" spans="1:17" ht="11.25" customHeight="1">
      <c r="A58" s="7"/>
      <c r="B58" s="22"/>
      <c r="C58" s="23"/>
      <c r="D58" s="24">
        <f>SUM(D54:D57)</f>
        <v>33.3</v>
      </c>
      <c r="E58" s="24"/>
      <c r="F58" s="48">
        <f>230.28-14</f>
        <v>216.28</v>
      </c>
      <c r="G58" s="26">
        <v>7304.48</v>
      </c>
      <c r="H58" s="27"/>
      <c r="I58" s="27"/>
      <c r="J58" s="28"/>
      <c r="K58" s="7"/>
      <c r="M58" s="5"/>
      <c r="N58" s="5"/>
      <c r="O58" s="5"/>
      <c r="P58" s="5"/>
      <c r="Q58" s="5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1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3"/>
      <c r="N60" s="3"/>
    </row>
    <row r="61" spans="1:11" ht="12.75">
      <c r="A61" s="30"/>
      <c r="B61" s="49" t="s">
        <v>36</v>
      </c>
      <c r="C61" s="49"/>
      <c r="D61" s="49"/>
      <c r="E61" s="49"/>
      <c r="F61" s="49"/>
      <c r="G61" s="49"/>
      <c r="H61" s="49"/>
      <c r="I61" s="49"/>
      <c r="J61" s="49"/>
      <c r="K61" s="32"/>
    </row>
    <row r="62" spans="1:11" ht="12.75">
      <c r="A62" s="30"/>
      <c r="B62" s="49"/>
      <c r="C62" s="49"/>
      <c r="D62" s="49"/>
      <c r="E62" s="49"/>
      <c r="F62" s="49"/>
      <c r="G62" s="49"/>
      <c r="H62" s="49"/>
      <c r="I62" s="49"/>
      <c r="J62" s="49"/>
      <c r="K62" s="32"/>
    </row>
    <row r="63" spans="1:12" ht="11.25" customHeight="1">
      <c r="A63" s="30"/>
      <c r="B63" s="50" t="s">
        <v>37</v>
      </c>
      <c r="C63" s="50"/>
      <c r="D63" s="50"/>
      <c r="E63" s="50"/>
      <c r="F63" s="50"/>
      <c r="G63" s="50"/>
      <c r="H63" s="50"/>
      <c r="I63" s="51" t="s">
        <v>38</v>
      </c>
      <c r="J63" s="51"/>
      <c r="K63" s="30"/>
      <c r="L63"/>
    </row>
    <row r="64" spans="1:12" ht="11.25" customHeight="1">
      <c r="A64" s="30"/>
      <c r="B64" s="12"/>
      <c r="C64" s="13"/>
      <c r="D64" s="14" t="s">
        <v>2</v>
      </c>
      <c r="E64" s="14"/>
      <c r="F64" s="15" t="s">
        <v>3</v>
      </c>
      <c r="G64" s="14" t="s">
        <v>4</v>
      </c>
      <c r="H64" s="16" t="s">
        <v>5</v>
      </c>
      <c r="I64" s="16" t="s">
        <v>6</v>
      </c>
      <c r="J64" s="17" t="s">
        <v>7</v>
      </c>
      <c r="K64" s="30"/>
      <c r="L64"/>
    </row>
    <row r="65" spans="1:12" ht="11.25" customHeight="1">
      <c r="A65" s="30"/>
      <c r="B65" s="12" t="s">
        <v>14</v>
      </c>
      <c r="C65" s="18" t="s">
        <v>39</v>
      </c>
      <c r="D65" s="1">
        <v>4.6</v>
      </c>
      <c r="E65" s="14"/>
      <c r="F65" s="3">
        <f>D65/$D$71*$F$71+2+2+5</f>
        <v>38.84507462686567</v>
      </c>
      <c r="G65" s="3">
        <f>F65*31.16</f>
        <v>1210.4125253731343</v>
      </c>
      <c r="H65" s="16"/>
      <c r="I65" s="16"/>
      <c r="J65" s="17"/>
      <c r="K65" s="30"/>
      <c r="L65"/>
    </row>
    <row r="66" spans="1:12" ht="11.25" customHeight="1">
      <c r="A66" s="30"/>
      <c r="B66" s="12" t="s">
        <v>14</v>
      </c>
      <c r="C66" s="18" t="s">
        <v>40</v>
      </c>
      <c r="D66" s="1">
        <v>4.9</v>
      </c>
      <c r="E66" s="14"/>
      <c r="F66" s="3">
        <f>D66/$D$71*$F$71+2+2+5</f>
        <v>40.79149253731343</v>
      </c>
      <c r="G66" s="3">
        <f>F66*31.16</f>
        <v>1271.0629074626866</v>
      </c>
      <c r="H66" s="3"/>
      <c r="I66" s="3"/>
      <c r="J66" s="19"/>
      <c r="K66" s="30"/>
      <c r="L66"/>
    </row>
    <row r="67" spans="1:12" ht="11.25" customHeight="1">
      <c r="A67" s="30"/>
      <c r="B67" s="12" t="s">
        <v>12</v>
      </c>
      <c r="C67" s="18" t="s">
        <v>41</v>
      </c>
      <c r="D67" s="1">
        <v>6</v>
      </c>
      <c r="E67" s="14"/>
      <c r="F67" s="3">
        <f>D67/$D$71*$F$71+2</f>
        <v>40.92835820895522</v>
      </c>
      <c r="G67" s="3">
        <f>F67*31.16</f>
        <v>1275.3276417910445</v>
      </c>
      <c r="H67" s="3"/>
      <c r="I67" s="3"/>
      <c r="J67" s="19"/>
      <c r="K67" s="30"/>
      <c r="L67"/>
    </row>
    <row r="68" spans="1:12" ht="11.25" customHeight="1">
      <c r="A68" s="30"/>
      <c r="B68" s="12" t="str">
        <f>Заказы!A411</f>
        <v>jirabasik</v>
      </c>
      <c r="C68" s="18" t="str">
        <f>Заказы!A412</f>
        <v>amazon</v>
      </c>
      <c r="D68" s="1">
        <v>0.1</v>
      </c>
      <c r="E68" s="14"/>
      <c r="F68" s="3">
        <f>D68/$D$71*$F$71+2</f>
        <v>2.6488059701492537</v>
      </c>
      <c r="G68" s="3">
        <f>F68*31.16</f>
        <v>82.53679402985074</v>
      </c>
      <c r="H68" s="3">
        <f>J77</f>
        <v>-0.3226451612906658</v>
      </c>
      <c r="I68" s="16"/>
      <c r="J68" s="19">
        <f>I68-G68+H68</f>
        <v>-82.8594391911414</v>
      </c>
      <c r="K68" s="30"/>
      <c r="L68"/>
    </row>
    <row r="69" spans="1:12" ht="11.25" customHeight="1">
      <c r="A69" s="30"/>
      <c r="B69" s="12" t="str">
        <f>Заказы!A440</f>
        <v>Magister</v>
      </c>
      <c r="C69" s="18" t="str">
        <f>Заказы!A441</f>
        <v>amazon</v>
      </c>
      <c r="D69" s="1">
        <f>1.5+1.3</f>
        <v>2.8</v>
      </c>
      <c r="E69" s="14"/>
      <c r="F69" s="3">
        <f>D69/$D$71*$F$71+4</f>
        <v>22.1665671641791</v>
      </c>
      <c r="G69" s="3">
        <f>F69*31.16</f>
        <v>690.7102328358208</v>
      </c>
      <c r="H69" s="3">
        <f>Заказы!N445</f>
        <v>40.440000000000055</v>
      </c>
      <c r="I69" s="3"/>
      <c r="J69" s="19">
        <f>I69-G69+H69</f>
        <v>-650.2702328358207</v>
      </c>
      <c r="K69" s="30"/>
      <c r="L69"/>
    </row>
    <row r="70" spans="1:12" ht="11.25" customHeight="1">
      <c r="A70" s="30"/>
      <c r="B70" s="20" t="s">
        <v>42</v>
      </c>
      <c r="C70" s="21"/>
      <c r="D70" s="1">
        <v>1.7000000000000002</v>
      </c>
      <c r="E70" s="14"/>
      <c r="F70" s="3">
        <f>D70/$D$71*$F$71+2</f>
        <v>13.029701492537313</v>
      </c>
      <c r="G70" s="3">
        <f>F70*31.16</f>
        <v>406.0054985074627</v>
      </c>
      <c r="H70" s="3"/>
      <c r="I70" s="3"/>
      <c r="J70" s="19"/>
      <c r="K70" s="30"/>
      <c r="L70"/>
    </row>
    <row r="71" spans="1:13" ht="11.25" customHeight="1">
      <c r="A71" s="30"/>
      <c r="B71" s="22"/>
      <c r="C71" s="23"/>
      <c r="D71" s="24">
        <f>SUM(D65:D70)</f>
        <v>20.1</v>
      </c>
      <c r="E71" s="24"/>
      <c r="F71" s="52">
        <f>158.41-28</f>
        <v>130.41</v>
      </c>
      <c r="G71" s="26">
        <v>4936.06</v>
      </c>
      <c r="H71" s="27"/>
      <c r="I71" s="27"/>
      <c r="J71" s="28"/>
      <c r="K71" s="30"/>
      <c r="L71"/>
      <c r="M71" s="29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/>
    </row>
    <row r="73" spans="1:12" ht="11.25" customHeight="1">
      <c r="A73" s="30"/>
      <c r="B73" s="53" t="s">
        <v>43</v>
      </c>
      <c r="C73" s="53"/>
      <c r="D73" s="53"/>
      <c r="E73" s="53"/>
      <c r="F73" s="53"/>
      <c r="G73" s="53"/>
      <c r="H73" s="53"/>
      <c r="I73" s="54" t="s">
        <v>44</v>
      </c>
      <c r="J73" s="54"/>
      <c r="K73" s="32"/>
      <c r="L73"/>
    </row>
    <row r="74" spans="1:12" ht="11.25" customHeight="1">
      <c r="A74" s="30"/>
      <c r="B74" s="12"/>
      <c r="C74" s="13"/>
      <c r="D74" s="14" t="s">
        <v>2</v>
      </c>
      <c r="E74" s="14"/>
      <c r="F74" s="15" t="s">
        <v>3</v>
      </c>
      <c r="G74" s="14" t="s">
        <v>4</v>
      </c>
      <c r="H74" s="16" t="s">
        <v>5</v>
      </c>
      <c r="I74" s="16" t="s">
        <v>6</v>
      </c>
      <c r="J74" s="17" t="s">
        <v>7</v>
      </c>
      <c r="K74" s="32"/>
      <c r="L74"/>
    </row>
    <row r="75" spans="1:12" ht="11.25" customHeight="1">
      <c r="A75" s="30"/>
      <c r="B75" s="12" t="s">
        <v>14</v>
      </c>
      <c r="C75" s="18" t="s">
        <v>45</v>
      </c>
      <c r="D75" s="1">
        <v>2</v>
      </c>
      <c r="E75" s="14"/>
      <c r="F75" s="3">
        <f>D75/$D$81*$F$81+2+2+5</f>
        <v>20.946236559139784</v>
      </c>
      <c r="G75" s="3">
        <f>F75*31.92</f>
        <v>668.603870967742</v>
      </c>
      <c r="H75" s="16"/>
      <c r="I75" s="16"/>
      <c r="J75" s="17"/>
      <c r="K75" s="32"/>
      <c r="L75"/>
    </row>
    <row r="76" spans="1:12" ht="11.25" customHeight="1">
      <c r="A76" s="30"/>
      <c r="B76" s="12" t="s">
        <v>11</v>
      </c>
      <c r="C76" s="18">
        <v>4</v>
      </c>
      <c r="D76" s="1">
        <v>5.8</v>
      </c>
      <c r="E76" s="14"/>
      <c r="F76" s="3">
        <f>D76/$D$81*$F$81+2</f>
        <v>36.64408602150537</v>
      </c>
      <c r="G76" s="3">
        <f>F76*31.92</f>
        <v>1169.6792258064515</v>
      </c>
      <c r="H76" s="16"/>
      <c r="I76" s="16"/>
      <c r="J76" s="17"/>
      <c r="K76" s="32"/>
      <c r="L76"/>
    </row>
    <row r="77" spans="1:12" ht="11.25" customHeight="1">
      <c r="A77" s="30"/>
      <c r="B77" s="12" t="str">
        <f>Заказы!A411</f>
        <v>jirabasik</v>
      </c>
      <c r="C77" s="18" t="str">
        <f>Заказы!A412</f>
        <v>amazon</v>
      </c>
      <c r="D77" s="1">
        <f>1+4.4+1.2+2</f>
        <v>8.600000000000001</v>
      </c>
      <c r="E77" s="14"/>
      <c r="F77" s="3">
        <f>D77/$D$81*$F$81+8</f>
        <v>59.36881720430108</v>
      </c>
      <c r="G77" s="3">
        <f>F77*31.92</f>
        <v>1895.0526451612907</v>
      </c>
      <c r="H77" s="3">
        <f>Заказы!N419</f>
        <v>-176.26999999999998</v>
      </c>
      <c r="I77" s="3">
        <v>2071</v>
      </c>
      <c r="J77" s="19">
        <f>I77-G77+H77</f>
        <v>-0.3226451612906658</v>
      </c>
      <c r="K77" s="32"/>
      <c r="L77"/>
    </row>
    <row r="78" spans="1:12" ht="11.25" customHeight="1">
      <c r="A78" s="30"/>
      <c r="B78" s="12" t="s">
        <v>46</v>
      </c>
      <c r="C78" s="18" t="s">
        <v>47</v>
      </c>
      <c r="D78" s="1">
        <v>7.5</v>
      </c>
      <c r="E78" s="14"/>
      <c r="F78" s="3">
        <f>D78/$D$81*$F$81+1</f>
        <v>45.79838709677419</v>
      </c>
      <c r="G78" s="3">
        <f>F78*31.92</f>
        <v>1461.8845161290324</v>
      </c>
      <c r="H78" s="55">
        <v>691</v>
      </c>
      <c r="I78" s="3">
        <v>771</v>
      </c>
      <c r="J78" s="19">
        <f>I78-G78+H78</f>
        <v>0.1154838709676369</v>
      </c>
      <c r="K78" s="32"/>
      <c r="L78"/>
    </row>
    <row r="79" spans="1:12" ht="11.25" customHeight="1">
      <c r="A79" s="30"/>
      <c r="B79" s="12" t="s">
        <v>48</v>
      </c>
      <c r="C79" s="18" t="s">
        <v>47</v>
      </c>
      <c r="D79" s="1">
        <v>0.5</v>
      </c>
      <c r="E79" s="14"/>
      <c r="F79" s="3">
        <f>D79/$D$81*$F$81+1</f>
        <v>3.986559139784946</v>
      </c>
      <c r="G79" s="3">
        <f>F79*31.92</f>
        <v>127.25096774193548</v>
      </c>
      <c r="H79" s="3">
        <f>J87-691</f>
        <v>1304.517955985328</v>
      </c>
      <c r="I79" s="3">
        <v>-1177</v>
      </c>
      <c r="J79" s="19">
        <f>I79-G79+H79</f>
        <v>0.2669882433924613</v>
      </c>
      <c r="K79" s="32"/>
      <c r="L79"/>
    </row>
    <row r="80" spans="1:12" ht="11.25" customHeight="1">
      <c r="A80" s="30"/>
      <c r="B80" s="20" t="s">
        <v>22</v>
      </c>
      <c r="C80" s="21"/>
      <c r="D80" s="1">
        <f>3.5</f>
        <v>3.5</v>
      </c>
      <c r="E80" s="14"/>
      <c r="F80" s="3">
        <f>D80/$D$81*$F$81+2</f>
        <v>22.905913978494624</v>
      </c>
      <c r="G80" s="3">
        <f>F80*31.92</f>
        <v>731.1567741935485</v>
      </c>
      <c r="H80" s="3"/>
      <c r="I80" s="3"/>
      <c r="J80" s="19"/>
      <c r="K80" s="32"/>
      <c r="L80"/>
    </row>
    <row r="81" spans="1:13" ht="11.25" customHeight="1">
      <c r="A81" s="30"/>
      <c r="B81" s="22"/>
      <c r="C81" s="23"/>
      <c r="D81" s="24">
        <f>SUM(D75:D80)</f>
        <v>27.900000000000002</v>
      </c>
      <c r="E81" s="24"/>
      <c r="F81" s="56">
        <f>189.65-23</f>
        <v>166.65</v>
      </c>
      <c r="G81" s="26">
        <v>6053.63</v>
      </c>
      <c r="H81" s="27"/>
      <c r="I81" s="27"/>
      <c r="J81" s="28"/>
      <c r="K81" s="32"/>
      <c r="L81"/>
      <c r="M81" s="29"/>
    </row>
    <row r="82" spans="1:12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  <c r="L82"/>
    </row>
    <row r="83" spans="1:11" ht="12.75">
      <c r="A83" s="30"/>
      <c r="B83" s="57" t="s">
        <v>49</v>
      </c>
      <c r="C83" s="57"/>
      <c r="D83" s="57"/>
      <c r="E83" s="57"/>
      <c r="F83" s="57"/>
      <c r="G83" s="57"/>
      <c r="H83" s="57"/>
      <c r="I83" s="58" t="s">
        <v>50</v>
      </c>
      <c r="J83" s="58"/>
      <c r="K83" s="32"/>
    </row>
    <row r="84" spans="1:11" ht="12.75">
      <c r="A84" s="30"/>
      <c r="B84" s="12"/>
      <c r="C84" s="13"/>
      <c r="D84" s="14" t="s">
        <v>2</v>
      </c>
      <c r="E84" s="14"/>
      <c r="F84" s="15" t="s">
        <v>3</v>
      </c>
      <c r="G84" s="14" t="s">
        <v>4</v>
      </c>
      <c r="H84" s="16" t="s">
        <v>5</v>
      </c>
      <c r="I84" s="16" t="s">
        <v>6</v>
      </c>
      <c r="J84" s="17" t="s">
        <v>7</v>
      </c>
      <c r="K84" s="32"/>
    </row>
    <row r="85" spans="1:11" ht="12.75">
      <c r="A85" s="30"/>
      <c r="B85" s="12" t="s">
        <v>14</v>
      </c>
      <c r="C85" s="18" t="s">
        <v>51</v>
      </c>
      <c r="D85" s="1">
        <v>0.9</v>
      </c>
      <c r="E85" s="14"/>
      <c r="F85" s="3">
        <f>D85/$D$91*$F$91+2+5</f>
        <v>11.814701986754969</v>
      </c>
      <c r="G85" s="3">
        <f>F85*31.9</f>
        <v>376.8889933774835</v>
      </c>
      <c r="H85" s="3"/>
      <c r="I85" s="3"/>
      <c r="J85" s="19"/>
      <c r="K85" s="32"/>
    </row>
    <row r="86" spans="1:11" ht="12.75">
      <c r="A86" s="30"/>
      <c r="B86" s="12" t="str">
        <f>Заказы!A400</f>
        <v>Girl-hope</v>
      </c>
      <c r="C86" s="18" t="str">
        <f>Заказы!A401</f>
        <v>zappos</v>
      </c>
      <c r="D86" s="1">
        <v>4.7</v>
      </c>
      <c r="E86" s="14"/>
      <c r="F86" s="3">
        <f>D86/$D$91*$F$91+2+5</f>
        <v>32.143443708609276</v>
      </c>
      <c r="G86" s="3">
        <f>F86*31.9</f>
        <v>1025.3758543046358</v>
      </c>
      <c r="H86" s="3"/>
      <c r="I86" s="3"/>
      <c r="J86" s="19"/>
      <c r="K86" s="32"/>
    </row>
    <row r="87" spans="1:11" ht="12.75">
      <c r="A87" s="30"/>
      <c r="B87" s="12" t="str">
        <f>Заказы!A400</f>
        <v>Girl-hope</v>
      </c>
      <c r="C87" s="18" t="str">
        <f>Заказы!A402</f>
        <v>amazon</v>
      </c>
      <c r="D87" s="1">
        <v>4.2</v>
      </c>
      <c r="E87" s="14"/>
      <c r="F87" s="3">
        <f>D87/$D$91*$F$91+2</f>
        <v>24.46860927152318</v>
      </c>
      <c r="G87" s="3">
        <f>F87*31.9</f>
        <v>780.5486357615895</v>
      </c>
      <c r="H87" s="3">
        <f>Заказы!N405+J123</f>
        <v>3801.4424460515534</v>
      </c>
      <c r="I87" s="3"/>
      <c r="J87" s="59">
        <f>I87-G87+H87-G86</f>
        <v>1995.517955985328</v>
      </c>
      <c r="K87" s="32"/>
    </row>
    <row r="88" spans="1:11" ht="12.75">
      <c r="A88" s="30"/>
      <c r="B88" s="12" t="str">
        <f>Заказы!A394</f>
        <v>Оксана2009</v>
      </c>
      <c r="C88" s="18" t="str">
        <f>Заказы!A396</f>
        <v>6рм</v>
      </c>
      <c r="D88" s="1">
        <v>4.1</v>
      </c>
      <c r="E88" s="14"/>
      <c r="F88" s="3">
        <f>D88/$D$91*$F$91+2</f>
        <v>23.933642384105962</v>
      </c>
      <c r="G88" s="3">
        <f>F88*31.9</f>
        <v>763.4831920529801</v>
      </c>
      <c r="H88" s="3">
        <f>J100</f>
        <v>1962.2595324675326</v>
      </c>
      <c r="I88" s="3">
        <v>-1198</v>
      </c>
      <c r="J88" s="19">
        <f>I88-G88+H88</f>
        <v>0.7763404145525783</v>
      </c>
      <c r="K88" s="32"/>
    </row>
    <row r="89" spans="1:11" ht="12.75">
      <c r="A89" s="30"/>
      <c r="B89" s="12" t="str">
        <f>Заказы!A388</f>
        <v>frakin</v>
      </c>
      <c r="C89" s="18" t="str">
        <f>Заказы!A389</f>
        <v>ebay</v>
      </c>
      <c r="D89" s="1">
        <v>2.4</v>
      </c>
      <c r="E89" s="14"/>
      <c r="F89" s="3">
        <f>D89/$D$91*$F$91+2</f>
        <v>14.839205298013246</v>
      </c>
      <c r="G89" s="3">
        <f>F89*31.9</f>
        <v>473.3706490066225</v>
      </c>
      <c r="H89" s="3">
        <f>J97</f>
        <v>-685.42087012987</v>
      </c>
      <c r="I89" s="3">
        <v>1159</v>
      </c>
      <c r="J89" s="19">
        <f>I89-G89+H89</f>
        <v>0.20848086350758877</v>
      </c>
      <c r="K89" s="32"/>
    </row>
    <row r="90" spans="1:11" ht="12.75">
      <c r="A90" s="30"/>
      <c r="B90" s="12" t="s">
        <v>22</v>
      </c>
      <c r="C90" s="18"/>
      <c r="D90" s="60">
        <f>1.8+1.3+8.1+2.7</f>
        <v>13.899999999999999</v>
      </c>
      <c r="E90" s="14"/>
      <c r="F90" s="3">
        <f>D90/$D$91*$F$91+8</f>
        <v>82.36039735099338</v>
      </c>
      <c r="G90" s="3">
        <f>F90*31.9</f>
        <v>2627.2966754966887</v>
      </c>
      <c r="H90" s="3"/>
      <c r="I90" s="3"/>
      <c r="J90" s="19"/>
      <c r="K90" s="32"/>
    </row>
    <row r="91" spans="1:11" ht="12.75">
      <c r="A91" s="30"/>
      <c r="B91" s="22"/>
      <c r="C91" s="23"/>
      <c r="D91" s="24">
        <f>SUM(D85:D90)</f>
        <v>30.199999999999996</v>
      </c>
      <c r="E91" s="24"/>
      <c r="F91" s="61">
        <f>189.56-28</f>
        <v>161.56</v>
      </c>
      <c r="G91" s="26">
        <v>6046.96</v>
      </c>
      <c r="H91" s="27"/>
      <c r="I91" s="27"/>
      <c r="J91" s="28"/>
      <c r="K91" s="32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256" ht="12.75" customHeight="1">
      <c r="A93" s="30"/>
      <c r="B93" s="62" t="s">
        <v>52</v>
      </c>
      <c r="C93" s="62"/>
      <c r="D93" s="62"/>
      <c r="E93" s="62"/>
      <c r="F93" s="62"/>
      <c r="G93" s="62"/>
      <c r="H93" s="62"/>
      <c r="I93" s="63" t="s">
        <v>53</v>
      </c>
      <c r="J93" s="63"/>
      <c r="K93" s="32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 customHeight="1">
      <c r="A94" s="30"/>
      <c r="B94" s="12"/>
      <c r="C94" s="13"/>
      <c r="D94" s="14" t="s">
        <v>2</v>
      </c>
      <c r="E94" s="14"/>
      <c r="F94" s="15" t="s">
        <v>3</v>
      </c>
      <c r="G94" s="14" t="s">
        <v>4</v>
      </c>
      <c r="H94" s="16" t="s">
        <v>5</v>
      </c>
      <c r="I94" s="16" t="s">
        <v>6</v>
      </c>
      <c r="J94" s="17" t="s">
        <v>7</v>
      </c>
      <c r="K94" s="32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 customHeight="1">
      <c r="A95" s="30"/>
      <c r="B95" s="12" t="s">
        <v>54</v>
      </c>
      <c r="C95" s="18"/>
      <c r="D95" s="1">
        <v>4.6</v>
      </c>
      <c r="E95" s="14"/>
      <c r="F95" s="3">
        <f>D95/$D$101*$F$101+2</f>
        <v>30.34675324675324</v>
      </c>
      <c r="G95" s="3">
        <f>F95*32.18</f>
        <v>976.5585194805193</v>
      </c>
      <c r="H95" s="3"/>
      <c r="I95" s="3"/>
      <c r="J95" s="19"/>
      <c r="K95" s="32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 customHeight="1">
      <c r="A96" s="30"/>
      <c r="B96" s="12" t="s">
        <v>55</v>
      </c>
      <c r="C96" s="18"/>
      <c r="D96" s="1">
        <v>14.8</v>
      </c>
      <c r="E96" s="14"/>
      <c r="F96" s="3">
        <f>D96/$D$101*$F$101+2</f>
        <v>93.20259740259739</v>
      </c>
      <c r="G96" s="3">
        <f>F96*32.18</f>
        <v>2999.259584415584</v>
      </c>
      <c r="H96" s="3"/>
      <c r="I96" s="3"/>
      <c r="J96" s="19"/>
      <c r="K96" s="32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 customHeight="1">
      <c r="A97" s="30"/>
      <c r="B97" s="12" t="str">
        <f>Заказы!A388</f>
        <v>frakin</v>
      </c>
      <c r="C97" s="18" t="s">
        <v>56</v>
      </c>
      <c r="D97" s="1">
        <v>2.7</v>
      </c>
      <c r="E97" s="14"/>
      <c r="F97" s="3">
        <f>D97/$D$101*$F$101+2</f>
        <v>18.63831168831169</v>
      </c>
      <c r="G97" s="3">
        <f>F97*32.18</f>
        <v>599.7808701298701</v>
      </c>
      <c r="H97" s="3">
        <f>Заказы!N393</f>
        <v>-85.63999999999987</v>
      </c>
      <c r="I97" s="3"/>
      <c r="J97" s="59">
        <f>I97-G97+H97</f>
        <v>-685.42087012987</v>
      </c>
      <c r="K97" s="32"/>
      <c r="L97" s="6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>
      <c r="A98" s="30"/>
      <c r="B98" s="12" t="str">
        <f>Заказы!A370</f>
        <v>Ольга Соловьева</v>
      </c>
      <c r="C98" s="18" t="s">
        <v>57</v>
      </c>
      <c r="D98" s="1">
        <v>2.6</v>
      </c>
      <c r="E98" s="14"/>
      <c r="F98" s="3">
        <f>D98/$D$101*$F$101+2</f>
        <v>18.02207792207792</v>
      </c>
      <c r="G98" s="3">
        <f>F98*32.18</f>
        <v>579.9504675324674</v>
      </c>
      <c r="H98" s="3"/>
      <c r="I98" s="3">
        <f>850-170</f>
        <v>680</v>
      </c>
      <c r="J98" s="19">
        <f>I98-G98+H98</f>
        <v>100.04953246753257</v>
      </c>
      <c r="K98" s="32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 customHeight="1">
      <c r="A99" s="30"/>
      <c r="B99" s="12" t="str">
        <f>Заказы!A272</f>
        <v>Anney-M</v>
      </c>
      <c r="C99" s="18" t="str">
        <f>Заказы!A273</f>
        <v>Land's End</v>
      </c>
      <c r="D99" s="1">
        <v>3.5</v>
      </c>
      <c r="E99" s="14"/>
      <c r="F99" s="3">
        <f>D99/$D$101*$F$101+2</f>
        <v>23.568181818181817</v>
      </c>
      <c r="G99" s="3">
        <f>F99*32.18</f>
        <v>758.4240909090909</v>
      </c>
      <c r="H99" s="3">
        <f>Заказы!N276</f>
        <v>254.67999999999984</v>
      </c>
      <c r="I99" s="3">
        <v>504</v>
      </c>
      <c r="J99" s="19">
        <f>I99-G99+H99</f>
        <v>0.25590909090897185</v>
      </c>
      <c r="K99" s="32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 customHeight="1">
      <c r="A100" s="30"/>
      <c r="B100" s="12" t="str">
        <f>Заказы!A394</f>
        <v>Оксана2009</v>
      </c>
      <c r="C100" s="18" t="str">
        <f>Заказы!A395</f>
        <v>Land's End</v>
      </c>
      <c r="D100" s="60">
        <v>2.6</v>
      </c>
      <c r="E100" s="14"/>
      <c r="F100" s="3">
        <f>D100/$D$101*$F$101+2</f>
        <v>18.02207792207792</v>
      </c>
      <c r="G100" s="3">
        <f>F100*32.18</f>
        <v>579.9504675324674</v>
      </c>
      <c r="H100" s="3">
        <f>Заказы!N399</f>
        <v>3044.21</v>
      </c>
      <c r="I100" s="3">
        <f>193-695</f>
        <v>-502</v>
      </c>
      <c r="J100" s="65">
        <f>I100-G100+H100</f>
        <v>1962.2595324675326</v>
      </c>
      <c r="K100" s="32"/>
      <c r="L100" s="5" t="s">
        <v>58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 customHeight="1">
      <c r="A101" s="30"/>
      <c r="B101" s="22"/>
      <c r="C101" s="23"/>
      <c r="D101" s="24">
        <f>SUM(D95:D100)</f>
        <v>30.800000000000004</v>
      </c>
      <c r="E101" s="24"/>
      <c r="F101" s="66">
        <f>201.8-12</f>
        <v>189.8</v>
      </c>
      <c r="G101" s="26">
        <v>6493.92</v>
      </c>
      <c r="H101" s="27"/>
      <c r="I101" s="27"/>
      <c r="J101" s="28"/>
      <c r="K101" s="32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1" ht="12.75">
      <c r="A102" s="30"/>
      <c r="B102" s="49"/>
      <c r="C102" s="49"/>
      <c r="D102" s="49"/>
      <c r="E102" s="49"/>
      <c r="F102" s="49"/>
      <c r="G102" s="49"/>
      <c r="H102" s="49"/>
      <c r="I102" s="49"/>
      <c r="J102" s="49"/>
      <c r="K102" s="32"/>
    </row>
    <row r="103" spans="1:11" ht="12.75">
      <c r="A103" s="30"/>
      <c r="B103" s="67" t="s">
        <v>59</v>
      </c>
      <c r="C103" s="67"/>
      <c r="D103" s="67"/>
      <c r="E103" s="67"/>
      <c r="F103" s="67"/>
      <c r="G103" s="67"/>
      <c r="H103" s="67"/>
      <c r="I103" s="68" t="s">
        <v>60</v>
      </c>
      <c r="J103" s="68"/>
      <c r="K103" s="32"/>
    </row>
    <row r="104" spans="1:11" ht="12.75">
      <c r="A104" s="30"/>
      <c r="B104" s="12"/>
      <c r="C104" s="13"/>
      <c r="D104" s="14" t="s">
        <v>61</v>
      </c>
      <c r="E104" s="14"/>
      <c r="F104" s="15" t="s">
        <v>3</v>
      </c>
      <c r="G104" s="14" t="s">
        <v>4</v>
      </c>
      <c r="H104" s="16" t="s">
        <v>5</v>
      </c>
      <c r="I104" s="16" t="s">
        <v>6</v>
      </c>
      <c r="J104" s="17" t="s">
        <v>7</v>
      </c>
      <c r="K104" s="30"/>
    </row>
    <row r="105" spans="1:11" ht="12.75">
      <c r="A105" s="30"/>
      <c r="B105" s="12" t="str">
        <f>Заказы!A333</f>
        <v>Mr.Pyh</v>
      </c>
      <c r="C105" s="18" t="str">
        <f>Заказы!A334</f>
        <v>6pm</v>
      </c>
      <c r="D105" s="60">
        <v>3.5</v>
      </c>
      <c r="E105" s="14"/>
      <c r="F105" s="3">
        <f>D105/$D$113*$F$113+2/5</f>
        <v>17.08137254901961</v>
      </c>
      <c r="G105" s="3">
        <f>F105*31.98</f>
        <v>546.2622941176471</v>
      </c>
      <c r="H105" s="3">
        <v>0</v>
      </c>
      <c r="I105" s="3">
        <v>546</v>
      </c>
      <c r="J105" s="19">
        <f>I105-G105+H105</f>
        <v>-0.26229411764711585</v>
      </c>
      <c r="K105" s="30"/>
    </row>
    <row r="106" spans="1:11" ht="12.75">
      <c r="A106" s="30"/>
      <c r="B106" s="12" t="str">
        <f>Заказы!A339</f>
        <v>Helg@</v>
      </c>
      <c r="C106" s="18" t="str">
        <f>Заказы!A340</f>
        <v>6pm</v>
      </c>
      <c r="D106" s="60">
        <v>3.5</v>
      </c>
      <c r="E106" s="14"/>
      <c r="F106" s="3">
        <f>D106/$D$113*$F$113+2/5</f>
        <v>17.08137254901961</v>
      </c>
      <c r="G106" s="3">
        <f>F106*31.98</f>
        <v>546.2622941176471</v>
      </c>
      <c r="H106" s="3">
        <f>Заказы!N343</f>
        <v>437.71889999999985</v>
      </c>
      <c r="I106" s="3">
        <v>109</v>
      </c>
      <c r="J106" s="19">
        <f>I106-G106+H106</f>
        <v>0.4566058823527328</v>
      </c>
      <c r="K106" s="30"/>
    </row>
    <row r="107" spans="1:19" ht="12.75">
      <c r="A107" s="30"/>
      <c r="B107" s="12" t="str">
        <f>Заказы!A349</f>
        <v>koalla</v>
      </c>
      <c r="C107" s="18" t="str">
        <f>Заказы!A350</f>
        <v>6pm</v>
      </c>
      <c r="D107" s="60">
        <v>4</v>
      </c>
      <c r="E107" s="14"/>
      <c r="F107" s="3">
        <f>D107/$D$113*$F$113+2/5</f>
        <v>19.46442577030812</v>
      </c>
      <c r="G107" s="3">
        <f>F107*31.98</f>
        <v>622.4723361344537</v>
      </c>
      <c r="H107" s="3">
        <f>Заказы!N354</f>
        <v>1035.2197999999999</v>
      </c>
      <c r="I107" s="3">
        <f>-178-234</f>
        <v>-412</v>
      </c>
      <c r="J107" s="19">
        <f>I107-G107+H107</f>
        <v>0.7474638655462513</v>
      </c>
      <c r="K107" s="30"/>
      <c r="L107" s="5" t="s">
        <v>62</v>
      </c>
      <c r="M107" s="5"/>
      <c r="N107" s="5"/>
      <c r="O107" s="5"/>
      <c r="P107" s="5"/>
      <c r="Q107" s="5"/>
      <c r="R107" s="5"/>
      <c r="S107" s="5"/>
    </row>
    <row r="108" spans="1:19" ht="12.75">
      <c r="A108" s="30"/>
      <c r="B108" s="12" t="str">
        <f>Заказы!A355</f>
        <v>Душенька</v>
      </c>
      <c r="C108" s="18" t="str">
        <f>Заказы!A356</f>
        <v>6pm</v>
      </c>
      <c r="D108" s="60">
        <v>7.5</v>
      </c>
      <c r="E108" s="14"/>
      <c r="F108" s="3">
        <f>D108/$D$113*$F$113+2/5</f>
        <v>36.145798319327724</v>
      </c>
      <c r="G108" s="3">
        <f>F108*31.98</f>
        <v>1155.9426302521006</v>
      </c>
      <c r="H108" s="3">
        <f>Заказы!N361</f>
        <v>1710.1598999999997</v>
      </c>
      <c r="I108" s="3">
        <v>-554</v>
      </c>
      <c r="J108" s="19">
        <f>I108-G108+H108</f>
        <v>0.21726974789908127</v>
      </c>
      <c r="K108" s="30"/>
      <c r="M108" s="5"/>
      <c r="N108" s="5"/>
      <c r="O108" s="5"/>
      <c r="P108" s="5"/>
      <c r="Q108" s="5"/>
      <c r="R108" s="5"/>
      <c r="S108" s="5"/>
    </row>
    <row r="109" spans="1:19" ht="12.75">
      <c r="A109" s="30"/>
      <c r="B109" s="12" t="str">
        <f>Заказы!A362</f>
        <v>Paris look</v>
      </c>
      <c r="C109" s="18" t="str">
        <f>Заказы!A363</f>
        <v>6pm</v>
      </c>
      <c r="D109" s="60">
        <v>5</v>
      </c>
      <c r="E109" s="14"/>
      <c r="F109" s="3">
        <f>D109/$D$113*$F$113+2/5</f>
        <v>24.230532212885155</v>
      </c>
      <c r="G109" s="3">
        <f>F109*31.98</f>
        <v>774.8924201680672</v>
      </c>
      <c r="H109" s="3">
        <f>Заказы!N369</f>
        <v>1492.7255999999998</v>
      </c>
      <c r="I109" s="3">
        <v>-717</v>
      </c>
      <c r="J109" s="19">
        <f>I109-G109+H109</f>
        <v>0.8331798319325117</v>
      </c>
      <c r="K109" s="30"/>
      <c r="M109" s="5"/>
      <c r="N109" s="5"/>
      <c r="O109" s="5"/>
      <c r="P109" s="5"/>
      <c r="Q109" s="5"/>
      <c r="R109" s="5"/>
      <c r="S109" s="5"/>
    </row>
    <row r="110" spans="1:11" ht="12.75">
      <c r="A110" s="30"/>
      <c r="B110" s="12" t="str">
        <f>Заказы!A382</f>
        <v>KsuKsu</v>
      </c>
      <c r="C110" s="18" t="str">
        <f>Заказы!A383</f>
        <v>shepplers</v>
      </c>
      <c r="D110" s="60">
        <v>3.6</v>
      </c>
      <c r="E110" s="14"/>
      <c r="F110" s="3">
        <f>D110/$D$113*$F$113+2</f>
        <v>19.15798319327731</v>
      </c>
      <c r="G110" s="3">
        <f>F110*31.98</f>
        <v>612.6723025210084</v>
      </c>
      <c r="H110" s="3">
        <f>Заказы!N387</f>
        <v>118.80000000000018</v>
      </c>
      <c r="I110" s="3">
        <v>500</v>
      </c>
      <c r="J110" s="19">
        <f>I110-G110+H110</f>
        <v>6.127697478991763</v>
      </c>
      <c r="K110" s="30"/>
    </row>
    <row r="111" spans="1:12" ht="12.75">
      <c r="A111" s="30"/>
      <c r="B111" s="12" t="str">
        <f>Заказы!A307</f>
        <v>Girl-hope</v>
      </c>
      <c r="C111" s="18" t="str">
        <f>Заказы!A315</f>
        <v>GAP</v>
      </c>
      <c r="D111" s="60">
        <v>6.6</v>
      </c>
      <c r="E111" s="14"/>
      <c r="F111" s="3">
        <f>D111/$D$113*$F$113+1</f>
        <v>32.456302521008396</v>
      </c>
      <c r="G111" s="3">
        <f>F111*31.98</f>
        <v>1037.9525546218485</v>
      </c>
      <c r="H111" s="3">
        <f>Заказы!N324</f>
        <v>3975.0200000000004</v>
      </c>
      <c r="I111" s="3"/>
      <c r="J111" s="19"/>
      <c r="K111" s="30"/>
      <c r="L111" s="5" t="s">
        <v>63</v>
      </c>
    </row>
    <row r="112" spans="1:11" ht="12.75">
      <c r="A112" s="30"/>
      <c r="B112" s="12" t="s">
        <v>42</v>
      </c>
      <c r="C112" s="18"/>
      <c r="D112" s="60">
        <v>2</v>
      </c>
      <c r="E112" s="14"/>
      <c r="F112" s="3">
        <f>D112/$D$113*$F$113+1</f>
        <v>10.532212885154062</v>
      </c>
      <c r="G112" s="3">
        <f>F112*31.98</f>
        <v>336.8201680672269</v>
      </c>
      <c r="H112" s="3"/>
      <c r="I112" s="3"/>
      <c r="J112" s="19"/>
      <c r="K112" s="30"/>
    </row>
    <row r="113" spans="1:12" ht="12.75">
      <c r="A113" s="30"/>
      <c r="B113" s="22"/>
      <c r="C113" s="23"/>
      <c r="D113" s="24">
        <f>SUM(D105:D112)</f>
        <v>35.7</v>
      </c>
      <c r="E113" s="24"/>
      <c r="F113" s="69">
        <f>176.15-6</f>
        <v>170.15</v>
      </c>
      <c r="G113" s="26">
        <v>5633.28</v>
      </c>
      <c r="H113" s="27"/>
      <c r="I113" s="27"/>
      <c r="J113" s="28"/>
      <c r="K113" s="30"/>
      <c r="L113" s="36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70" t="s">
        <v>64</v>
      </c>
      <c r="C115" s="70"/>
      <c r="D115" s="70"/>
      <c r="E115" s="70"/>
      <c r="F115" s="70"/>
      <c r="G115" s="70"/>
      <c r="H115" s="70"/>
      <c r="I115" s="71" t="s">
        <v>65</v>
      </c>
      <c r="J115" s="71"/>
      <c r="K115" s="30"/>
    </row>
    <row r="116" spans="1:11" ht="12.75">
      <c r="A116" s="30"/>
      <c r="B116" s="12"/>
      <c r="C116" s="13"/>
      <c r="D116" s="14" t="s">
        <v>2</v>
      </c>
      <c r="E116" s="14"/>
      <c r="F116" s="15" t="s">
        <v>3</v>
      </c>
      <c r="G116" s="14" t="s">
        <v>4</v>
      </c>
      <c r="H116" s="16" t="s">
        <v>5</v>
      </c>
      <c r="I116" s="16" t="s">
        <v>6</v>
      </c>
      <c r="J116" s="17" t="s">
        <v>7</v>
      </c>
      <c r="K116" s="30"/>
    </row>
    <row r="117" spans="1:11" ht="12.75">
      <c r="A117" s="30"/>
      <c r="B117" s="12" t="s">
        <v>66</v>
      </c>
      <c r="C117" s="18"/>
      <c r="D117" s="1">
        <f>1.7+2.6+2.6</f>
        <v>6.9</v>
      </c>
      <c r="E117" s="14"/>
      <c r="F117" s="3">
        <f>D117/$D$125*$F$125+6</f>
        <v>43.18565656565657</v>
      </c>
      <c r="G117" s="3">
        <f>F117*32.38</f>
        <v>1398.35155959596</v>
      </c>
      <c r="H117" s="3"/>
      <c r="I117" s="3"/>
      <c r="J117" s="19"/>
      <c r="K117" s="30"/>
    </row>
    <row r="118" spans="1:11" ht="12.75">
      <c r="A118" s="30"/>
      <c r="B118" s="12">
        <f>Заказы!A325</f>
        <v>0</v>
      </c>
      <c r="C118" s="18">
        <f>Заказы!A326</f>
        <v>0</v>
      </c>
      <c r="D118" s="1">
        <v>8.1</v>
      </c>
      <c r="E118" s="14"/>
      <c r="F118" s="3">
        <f>D118/$D$125*$F$125+2</f>
        <v>45.652727272727276</v>
      </c>
      <c r="G118" s="3">
        <f>F118*32.38</f>
        <v>1478.2353090909094</v>
      </c>
      <c r="H118" s="3">
        <f>Заказы!N332</f>
        <v>1778.5999999999985</v>
      </c>
      <c r="I118" s="3">
        <v>-300</v>
      </c>
      <c r="J118" s="19">
        <f>I118-G118+H118</f>
        <v>0.3646909090891768</v>
      </c>
      <c r="K118" s="30"/>
    </row>
    <row r="119" spans="1:11" ht="12.75">
      <c r="A119" s="30"/>
      <c r="B119" s="12">
        <f>Заказы!A297</f>
        <v>0</v>
      </c>
      <c r="C119" s="18">
        <f>Заказы!A298</f>
        <v>0</v>
      </c>
      <c r="D119" s="1">
        <v>1.5</v>
      </c>
      <c r="E119" s="14"/>
      <c r="F119" s="3">
        <f>D119/$D$125*$F$125+2</f>
        <v>10.083838383838385</v>
      </c>
      <c r="G119" s="3">
        <f>F119*32.38</f>
        <v>326.51468686868697</v>
      </c>
      <c r="H119" s="3">
        <f>Заказы!N301</f>
        <v>50.870000000000005</v>
      </c>
      <c r="I119" s="3">
        <v>276</v>
      </c>
      <c r="J119" s="19">
        <f>I119-G119+H119</f>
        <v>0.3553131313130393</v>
      </c>
      <c r="K119" s="30"/>
    </row>
    <row r="120" spans="1:13" ht="12.75">
      <c r="A120" s="30"/>
      <c r="B120" s="12">
        <f>Заказы!A286</f>
        <v>0</v>
      </c>
      <c r="C120" s="18">
        <f>Заказы!A287</f>
        <v>0</v>
      </c>
      <c r="D120" s="1">
        <f>0.6+1</f>
        <v>1.6</v>
      </c>
      <c r="E120" s="14"/>
      <c r="F120" s="3">
        <f>D120/$D$125*$F$125+4</f>
        <v>12.622760942760944</v>
      </c>
      <c r="G120" s="3">
        <f>F120*32.38</f>
        <v>408.7249993265994</v>
      </c>
      <c r="H120" s="3">
        <f>Заказы!N291</f>
        <v>92.91000000000008</v>
      </c>
      <c r="I120" s="3">
        <v>320</v>
      </c>
      <c r="J120" s="19">
        <f>I120-G120+H120</f>
        <v>4.18500067340068</v>
      </c>
      <c r="K120" s="30"/>
      <c r="M120" s="72"/>
    </row>
    <row r="121" spans="1:11" ht="12.75">
      <c r="A121" s="30"/>
      <c r="B121" s="12">
        <f>Заказы!A370</f>
        <v>0</v>
      </c>
      <c r="C121" s="18" t="s">
        <v>67</v>
      </c>
      <c r="D121" s="1">
        <f>4.8+0.3</f>
        <v>5.1</v>
      </c>
      <c r="E121" s="14"/>
      <c r="F121" s="3">
        <f>D121/$D$125*$F$125+4</f>
        <v>31.48505050505051</v>
      </c>
      <c r="G121" s="3">
        <f>F121*32.38</f>
        <v>1019.4859353535355</v>
      </c>
      <c r="H121" s="3">
        <f>Заказы!N376</f>
        <v>850.3999999999996</v>
      </c>
      <c r="I121" s="3">
        <v>170</v>
      </c>
      <c r="J121" s="19">
        <f>I121-G121+H121</f>
        <v>0.9140646464641122</v>
      </c>
      <c r="K121" s="30"/>
    </row>
    <row r="122" spans="1:11" ht="12.75">
      <c r="A122" s="30"/>
      <c r="B122" s="12">
        <f>Заказы!A344</f>
        <v>0</v>
      </c>
      <c r="C122" s="18">
        <f>Заказы!A345</f>
        <v>0</v>
      </c>
      <c r="D122" s="60">
        <v>0.4</v>
      </c>
      <c r="E122" s="14"/>
      <c r="F122" s="3">
        <f>D122/$D$125*$F$125+2</f>
        <v>4.155690235690236</v>
      </c>
      <c r="G122" s="3">
        <f>F122*32.38</f>
        <v>134.56124983164986</v>
      </c>
      <c r="H122" s="3">
        <f>Заказы!N348</f>
        <v>109.44000000000005</v>
      </c>
      <c r="I122" s="3">
        <v>20</v>
      </c>
      <c r="J122" s="19">
        <f>I122-G122+H122</f>
        <v>-5.121249831649806</v>
      </c>
      <c r="K122" s="30"/>
    </row>
    <row r="123" spans="1:11" ht="12.75">
      <c r="A123" s="30"/>
      <c r="B123" s="12">
        <f>Заказы!A307</f>
        <v>0</v>
      </c>
      <c r="C123" s="18">
        <f>Заказы!A308</f>
        <v>0</v>
      </c>
      <c r="D123" s="60">
        <v>1.6</v>
      </c>
      <c r="E123" s="14"/>
      <c r="F123" s="3">
        <f>D123/$D$125*$F$125+2</f>
        <v>10.622760942760944</v>
      </c>
      <c r="G123" s="3">
        <f>F123*32.38</f>
        <v>343.9649993265994</v>
      </c>
      <c r="H123" s="3">
        <f>H111-G111</f>
        <v>2937.067445378152</v>
      </c>
      <c r="I123" s="3">
        <v>793.15</v>
      </c>
      <c r="J123" s="65">
        <f>I123-G123+H123</f>
        <v>3386.252446051553</v>
      </c>
      <c r="K123" s="30"/>
    </row>
    <row r="124" spans="1:11" ht="12.75">
      <c r="A124" s="30"/>
      <c r="B124" s="12">
        <f>Заказы!A170</f>
        <v>0</v>
      </c>
      <c r="C124" s="18">
        <f>Заказы!A171</f>
        <v>0</v>
      </c>
      <c r="D124" s="60">
        <v>4.5</v>
      </c>
      <c r="E124" s="14"/>
      <c r="F124" s="3">
        <f>D124/$D$125*$F$125+2</f>
        <v>26.251515151515157</v>
      </c>
      <c r="G124" s="3">
        <f>F124*32.38</f>
        <v>850.0240606060609</v>
      </c>
      <c r="H124" s="3">
        <f>Заказы!N174</f>
        <v>363.5999999999999</v>
      </c>
      <c r="I124" s="3">
        <v>486</v>
      </c>
      <c r="J124" s="19">
        <f>I124-G124+H124</f>
        <v>-0.424060606060948</v>
      </c>
      <c r="K124" s="30"/>
    </row>
    <row r="125" spans="1:15" ht="12.75">
      <c r="A125" s="30"/>
      <c r="B125" s="22"/>
      <c r="C125" s="23"/>
      <c r="D125" s="24">
        <f>SUM(D117:D124)</f>
        <v>29.699999999999996</v>
      </c>
      <c r="E125" s="24"/>
      <c r="F125" s="73">
        <f>184.06-24</f>
        <v>160.06</v>
      </c>
      <c r="G125" s="26">
        <v>5959.86</v>
      </c>
      <c r="H125" s="27"/>
      <c r="I125" s="27"/>
      <c r="J125" s="28"/>
      <c r="K125" s="30"/>
      <c r="M125"/>
      <c r="N125"/>
      <c r="O125" s="5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74" t="s">
        <v>68</v>
      </c>
      <c r="C127" s="74"/>
      <c r="D127" s="74"/>
      <c r="E127" s="74"/>
      <c r="F127" s="74"/>
      <c r="G127" s="74"/>
      <c r="H127" s="74"/>
      <c r="I127" s="75" t="s">
        <v>69</v>
      </c>
      <c r="J127" s="75"/>
      <c r="K127" s="30"/>
    </row>
    <row r="128" spans="1:11" ht="12.75">
      <c r="A128" s="30"/>
      <c r="B128" s="12"/>
      <c r="C128" s="13"/>
      <c r="D128" s="14" t="s">
        <v>61</v>
      </c>
      <c r="E128" s="14"/>
      <c r="F128" s="15" t="s">
        <v>3</v>
      </c>
      <c r="G128" s="14" t="s">
        <v>4</v>
      </c>
      <c r="H128" s="16" t="s">
        <v>5</v>
      </c>
      <c r="I128" s="16" t="s">
        <v>6</v>
      </c>
      <c r="J128" s="17" t="s">
        <v>7</v>
      </c>
      <c r="K128" s="30"/>
    </row>
    <row r="129" spans="1:11" ht="12.75">
      <c r="A129" s="30"/>
      <c r="B129" s="12" t="s">
        <v>70</v>
      </c>
      <c r="C129" s="76"/>
      <c r="D129" s="60">
        <f>9.3+11.3+1.6</f>
        <v>22.200000000000003</v>
      </c>
      <c r="E129" s="14"/>
      <c r="F129" s="3">
        <f>D129/$D$133*$F$133+6</f>
        <v>116.95375000000001</v>
      </c>
      <c r="G129" s="3">
        <f>F129*31.72</f>
        <v>3709.7729500000005</v>
      </c>
      <c r="H129" s="3"/>
      <c r="I129" s="3"/>
      <c r="J129" s="19"/>
      <c r="K129" s="30"/>
    </row>
    <row r="130" spans="1:11" ht="12.75">
      <c r="A130" s="30"/>
      <c r="B130" s="77" t="s">
        <v>71</v>
      </c>
      <c r="C130" s="78"/>
      <c r="D130" s="79">
        <v>1.5</v>
      </c>
      <c r="E130" s="80"/>
      <c r="F130" s="81">
        <f>D130/$D$133*$F$133+2</f>
        <v>9.496875</v>
      </c>
      <c r="G130" s="81">
        <f>F130*31.72</f>
        <v>301.24087499999996</v>
      </c>
      <c r="H130" s="81"/>
      <c r="I130" s="81"/>
      <c r="J130" s="82"/>
      <c r="K130" s="30"/>
    </row>
    <row r="131" spans="1:12" ht="12.75">
      <c r="A131" s="30"/>
      <c r="B131" s="12">
        <f>Заказы!A160</f>
        <v>0</v>
      </c>
      <c r="C131" s="18">
        <f>Заказы!A161</f>
        <v>0</v>
      </c>
      <c r="D131" s="60">
        <v>6.4</v>
      </c>
      <c r="E131" s="14"/>
      <c r="F131" s="3">
        <f>D131/$D$133*$F$133+2</f>
        <v>33.986666666666665</v>
      </c>
      <c r="G131" s="3">
        <f>F131*31.72</f>
        <v>1078.0570666666665</v>
      </c>
      <c r="H131" s="3">
        <f>Заказы!N164</f>
        <v>880.9099999999999</v>
      </c>
      <c r="I131" s="3">
        <f>150+30+20</f>
        <v>200</v>
      </c>
      <c r="J131" s="19">
        <f>I131-G131+H131</f>
        <v>2.8529333333333398</v>
      </c>
      <c r="K131" s="30"/>
      <c r="L131" s="5" t="s">
        <v>72</v>
      </c>
    </row>
    <row r="132" spans="1:11" ht="12.75">
      <c r="A132" s="30"/>
      <c r="B132" s="12" t="s">
        <v>73</v>
      </c>
      <c r="C132" s="18"/>
      <c r="D132" s="60">
        <v>3.5</v>
      </c>
      <c r="E132" s="14"/>
      <c r="F132" s="3">
        <f>D132/$D$133*$F$133+2</f>
        <v>19.492708333333333</v>
      </c>
      <c r="G132" s="3">
        <f>F132*31.72</f>
        <v>618.3087083333332</v>
      </c>
      <c r="H132" s="3"/>
      <c r="I132" s="3"/>
      <c r="J132" s="19"/>
      <c r="K132" s="30"/>
    </row>
    <row r="133" spans="1:15" ht="12.75">
      <c r="A133" s="30"/>
      <c r="B133" s="22"/>
      <c r="C133" s="23"/>
      <c r="D133" s="24">
        <f>SUM(D129:D132)</f>
        <v>33.6</v>
      </c>
      <c r="E133" s="24"/>
      <c r="F133" s="83">
        <f>179.93-12</f>
        <v>167.93</v>
      </c>
      <c r="G133" s="26">
        <v>5707.74</v>
      </c>
      <c r="H133" s="27"/>
      <c r="I133" s="27"/>
      <c r="J133" s="28"/>
      <c r="K133" s="30"/>
      <c r="O133" s="84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8" s="84" customFormat="1" ht="12.75">
      <c r="A136" s="1"/>
      <c r="B136" s="85" t="s">
        <v>74</v>
      </c>
      <c r="C136" s="85"/>
      <c r="D136" s="85"/>
      <c r="E136" s="85"/>
      <c r="F136" s="85"/>
      <c r="G136" s="85"/>
      <c r="H136" s="85"/>
      <c r="I136" s="85"/>
      <c r="J136" s="85"/>
      <c r="K136" s="86"/>
      <c r="M136" s="6"/>
      <c r="N136" s="6"/>
      <c r="O136" s="6"/>
      <c r="P136" s="6"/>
      <c r="Q136" s="6"/>
      <c r="R136" s="6"/>
    </row>
    <row r="137" spans="1:18" s="84" customFormat="1" ht="12.75">
      <c r="A137" s="1"/>
      <c r="B137" s="85"/>
      <c r="C137" s="85"/>
      <c r="D137" s="85"/>
      <c r="E137" s="85"/>
      <c r="F137" s="85"/>
      <c r="G137" s="85"/>
      <c r="H137" s="85"/>
      <c r="I137" s="85"/>
      <c r="J137" s="85"/>
      <c r="K137" s="86"/>
      <c r="M137" s="6"/>
      <c r="N137" s="6"/>
      <c r="O137" s="6"/>
      <c r="P137" s="6"/>
      <c r="Q137" s="6"/>
      <c r="R137" s="6"/>
    </row>
    <row r="138" spans="1:11" ht="12.75">
      <c r="A138" s="5"/>
      <c r="B138" s="87" t="s">
        <v>75</v>
      </c>
      <c r="C138" s="87"/>
      <c r="D138" s="87"/>
      <c r="E138" s="87"/>
      <c r="F138" s="87"/>
      <c r="G138" s="87"/>
      <c r="H138" s="87"/>
      <c r="I138" s="88" t="s">
        <v>76</v>
      </c>
      <c r="J138" s="88"/>
      <c r="K138" s="5"/>
    </row>
    <row r="139" spans="1:11" ht="12.75">
      <c r="A139" s="5"/>
      <c r="B139" s="89"/>
      <c r="C139" s="90"/>
      <c r="D139" s="91" t="s">
        <v>61</v>
      </c>
      <c r="E139" s="91"/>
      <c r="F139" s="92" t="s">
        <v>3</v>
      </c>
      <c r="G139" s="91" t="s">
        <v>4</v>
      </c>
      <c r="H139" s="93" t="s">
        <v>5</v>
      </c>
      <c r="I139" s="93" t="s">
        <v>6</v>
      </c>
      <c r="J139" s="94" t="s">
        <v>7</v>
      </c>
      <c r="K139" s="5"/>
    </row>
    <row r="140" spans="1:11" ht="12.75">
      <c r="A140" s="5"/>
      <c r="B140" s="89" t="s">
        <v>77</v>
      </c>
      <c r="C140" s="95"/>
      <c r="D140" s="96">
        <f>10.8+10.2+2.3</f>
        <v>23.3</v>
      </c>
      <c r="E140" s="91"/>
      <c r="F140" s="97">
        <f>D140/$D$150*$F$150+6</f>
        <v>140.90624595469257</v>
      </c>
      <c r="G140" s="97">
        <f>F140*31.67</f>
        <v>4462.500809385114</v>
      </c>
      <c r="H140" s="97"/>
      <c r="I140" s="97"/>
      <c r="J140" s="98"/>
      <c r="K140" s="5"/>
    </row>
    <row r="141" spans="1:11" ht="12.75">
      <c r="A141" s="5"/>
      <c r="B141" s="89" t="s">
        <v>78</v>
      </c>
      <c r="C141" s="95"/>
      <c r="D141" s="96">
        <v>0.4</v>
      </c>
      <c r="E141" s="91"/>
      <c r="F141" s="97">
        <f>D141/$D$150*$F$150+6</f>
        <v>8.315987055016182</v>
      </c>
      <c r="G141" s="97">
        <f>F141*31.67</f>
        <v>263.36731003236247</v>
      </c>
      <c r="H141" s="97"/>
      <c r="I141" s="97"/>
      <c r="J141" s="98"/>
      <c r="K141" s="5"/>
    </row>
    <row r="142" spans="1:11" ht="12.75">
      <c r="A142" s="5"/>
      <c r="B142" s="89">
        <f>Заказы!A186</f>
        <v>0</v>
      </c>
      <c r="C142" s="95">
        <f>Заказы!A187</f>
        <v>0</v>
      </c>
      <c r="D142" s="99">
        <v>0.8</v>
      </c>
      <c r="E142" s="91"/>
      <c r="F142" s="97">
        <f>D142/$D$150*$F$150+2</f>
        <v>6.631974110032362</v>
      </c>
      <c r="G142" s="97">
        <f>F142*31.67</f>
        <v>210.03462006472492</v>
      </c>
      <c r="H142" s="97"/>
      <c r="I142" s="97"/>
      <c r="J142" s="98"/>
      <c r="K142" s="5"/>
    </row>
    <row r="143" spans="1:11" ht="12.75">
      <c r="A143" s="5"/>
      <c r="B143" s="89">
        <f>Заказы!A186</f>
        <v>0</v>
      </c>
      <c r="C143" s="95">
        <f>Заказы!A187</f>
        <v>0</v>
      </c>
      <c r="D143" s="96">
        <v>0.2</v>
      </c>
      <c r="E143" s="91"/>
      <c r="F143" s="97">
        <f>D143/$D$150*$F$150+2</f>
        <v>3.157993527508091</v>
      </c>
      <c r="G143" s="97">
        <f>F143*31.67</f>
        <v>100.01365501618125</v>
      </c>
      <c r="H143" s="97"/>
      <c r="I143" s="97"/>
      <c r="J143" s="98"/>
      <c r="K143" s="5"/>
    </row>
    <row r="144" spans="1:11" ht="12.75">
      <c r="A144" s="5"/>
      <c r="B144" s="89">
        <f>Заказы!A186</f>
        <v>0</v>
      </c>
      <c r="C144" s="95">
        <f>Заказы!A187</f>
        <v>0</v>
      </c>
      <c r="D144" s="96">
        <v>0.30000000000000004</v>
      </c>
      <c r="E144" s="91"/>
      <c r="F144" s="97">
        <f>D144/$D$150*$F$150+2</f>
        <v>3.7369902912621367</v>
      </c>
      <c r="G144" s="97">
        <f>F144*31.67</f>
        <v>118.35048252427187</v>
      </c>
      <c r="H144" s="97">
        <f>Заказы!N192</f>
        <v>40.92000000000007</v>
      </c>
      <c r="I144" s="97">
        <v>387</v>
      </c>
      <c r="J144" s="98">
        <f>I144-G144-G143-G142+H144</f>
        <v>-0.47875760517794674</v>
      </c>
      <c r="K144" s="5"/>
    </row>
    <row r="145" spans="1:11" ht="12.75">
      <c r="A145" s="5"/>
      <c r="B145" s="89">
        <f>Заказы!A193</f>
        <v>0</v>
      </c>
      <c r="C145" s="95">
        <f>Заказы!A194</f>
        <v>0</v>
      </c>
      <c r="D145" s="96">
        <v>0.2</v>
      </c>
      <c r="E145" s="91"/>
      <c r="F145" s="97">
        <f>D145/$D$150*$F$150+2</f>
        <v>3.157993527508091</v>
      </c>
      <c r="G145" s="97">
        <f>F145*31.67</f>
        <v>100.01365501618125</v>
      </c>
      <c r="H145" s="97"/>
      <c r="I145" s="97"/>
      <c r="J145" s="98"/>
      <c r="K145" s="5"/>
    </row>
    <row r="146" spans="1:11" ht="12.75">
      <c r="A146" s="5"/>
      <c r="B146" s="89">
        <f>Заказы!A193</f>
        <v>0</v>
      </c>
      <c r="C146" s="95">
        <f>Заказы!A194</f>
        <v>0</v>
      </c>
      <c r="D146" s="96">
        <v>1.5</v>
      </c>
      <c r="E146" s="91"/>
      <c r="F146" s="97">
        <f>D146/$D$150*$F$150+2</f>
        <v>10.68495145631068</v>
      </c>
      <c r="G146" s="97">
        <f>F146*31.67</f>
        <v>338.39241262135926</v>
      </c>
      <c r="H146" s="97"/>
      <c r="I146" s="97"/>
      <c r="J146" s="98"/>
      <c r="K146" s="5"/>
    </row>
    <row r="147" spans="1:12" ht="12.75">
      <c r="A147" s="5"/>
      <c r="B147" s="89">
        <f>Заказы!A193</f>
        <v>0</v>
      </c>
      <c r="C147" s="95">
        <f>Заказы!A194</f>
        <v>0</v>
      </c>
      <c r="D147" s="96">
        <v>2.3</v>
      </c>
      <c r="E147" s="91"/>
      <c r="F147" s="97">
        <f>D147/$D$150*$F$150+2</f>
        <v>15.316925566343043</v>
      </c>
      <c r="G147" s="97">
        <f>F147*31.67</f>
        <v>485.08703268608417</v>
      </c>
      <c r="H147" s="97">
        <f>Заказы!N201</f>
        <v>-283.53999999999996</v>
      </c>
      <c r="I147" s="97">
        <f>107+1100</f>
        <v>1207</v>
      </c>
      <c r="J147" s="98">
        <f>I147-G147-G146-G145+H147</f>
        <v>-0.03310032362463744</v>
      </c>
      <c r="K147" s="5"/>
      <c r="L147" s="5" t="s">
        <v>79</v>
      </c>
    </row>
    <row r="148" spans="1:11" ht="12.75">
      <c r="A148" s="5"/>
      <c r="B148" s="89" t="s">
        <v>80</v>
      </c>
      <c r="C148" s="95"/>
      <c r="D148" s="96">
        <f>0.3</f>
        <v>0.30000000000000004</v>
      </c>
      <c r="E148" s="91"/>
      <c r="F148" s="97">
        <f>D148/$D$150*$F$150+6</f>
        <v>7.736990291262137</v>
      </c>
      <c r="G148" s="97">
        <f>F148*31.67</f>
        <v>245.0304825242719</v>
      </c>
      <c r="H148" s="97"/>
      <c r="I148" s="97"/>
      <c r="J148" s="98"/>
      <c r="K148" s="5"/>
    </row>
    <row r="149" spans="1:11" ht="12.75">
      <c r="A149" s="5"/>
      <c r="B149" s="89" t="s">
        <v>22</v>
      </c>
      <c r="C149" s="95"/>
      <c r="D149" s="96">
        <v>1.6</v>
      </c>
      <c r="E149" s="91"/>
      <c r="F149" s="97">
        <f>D149/$D$150*$F$150+2</f>
        <v>11.263948220064725</v>
      </c>
      <c r="G149" s="97">
        <f>F149*31.67</f>
        <v>356.72924012944986</v>
      </c>
      <c r="H149" s="97"/>
      <c r="I149" s="97"/>
      <c r="J149" s="98"/>
      <c r="K149" s="5"/>
    </row>
    <row r="150" spans="1:11" ht="12.75">
      <c r="A150" s="5"/>
      <c r="B150" s="100"/>
      <c r="C150" s="101"/>
      <c r="D150" s="102">
        <f>SUM(D140:D149)</f>
        <v>30.9</v>
      </c>
      <c r="E150" s="102"/>
      <c r="F150" s="103">
        <f>210.91-32</f>
        <v>178.91</v>
      </c>
      <c r="G150" s="104">
        <f>210.91*32</f>
        <v>6749.12</v>
      </c>
      <c r="H150" s="105"/>
      <c r="I150" s="105"/>
      <c r="J150" s="106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3" ht="12.75">
      <c r="A152" s="5"/>
      <c r="B152" s="107" t="s">
        <v>81</v>
      </c>
      <c r="C152" s="107"/>
      <c r="D152" s="107"/>
      <c r="E152" s="107"/>
      <c r="F152" s="107"/>
      <c r="G152" s="107"/>
      <c r="H152" s="107"/>
      <c r="I152" s="63" t="s">
        <v>82</v>
      </c>
      <c r="J152" s="63"/>
      <c r="K152" s="5"/>
      <c r="L152" s="5" t="s">
        <v>83</v>
      </c>
      <c r="M152" s="108" t="s">
        <v>84</v>
      </c>
    </row>
    <row r="153" spans="1:13" ht="12.75">
      <c r="A153" s="5"/>
      <c r="B153" s="89"/>
      <c r="C153" s="90"/>
      <c r="D153" s="91" t="s">
        <v>61</v>
      </c>
      <c r="E153" s="91"/>
      <c r="F153" s="92" t="s">
        <v>3</v>
      </c>
      <c r="G153" s="91" t="s">
        <v>4</v>
      </c>
      <c r="H153" s="93" t="s">
        <v>5</v>
      </c>
      <c r="I153" s="93" t="s">
        <v>6</v>
      </c>
      <c r="J153" s="94" t="s">
        <v>7</v>
      </c>
      <c r="K153" s="5"/>
      <c r="L153" s="5">
        <v>164.56</v>
      </c>
      <c r="M153" s="6">
        <v>5211.78</v>
      </c>
    </row>
    <row r="154" spans="1:11" ht="12.75">
      <c r="A154" s="5"/>
      <c r="B154" s="89" t="s">
        <v>85</v>
      </c>
      <c r="C154" s="109" t="s">
        <v>86</v>
      </c>
      <c r="D154" s="99">
        <v>12.3</v>
      </c>
      <c r="E154" s="91"/>
      <c r="F154" s="97">
        <f>D154/$D$159*$F$159+2</f>
        <v>54.93405970149254</v>
      </c>
      <c r="G154" s="97">
        <f>F154*31.67</f>
        <v>1739.7616707462687</v>
      </c>
      <c r="H154" s="97"/>
      <c r="I154" s="97"/>
      <c r="J154" s="98"/>
      <c r="K154" s="5"/>
    </row>
    <row r="155" spans="1:11" ht="12.75">
      <c r="A155" s="5"/>
      <c r="B155" s="89" t="s">
        <v>85</v>
      </c>
      <c r="C155" s="109" t="s">
        <v>87</v>
      </c>
      <c r="D155" s="96">
        <v>7.3</v>
      </c>
      <c r="E155" s="91"/>
      <c r="F155" s="97">
        <f>D155/$D$159*$F$159+2</f>
        <v>33.41614925373134</v>
      </c>
      <c r="G155" s="97">
        <f>F155*31.67</f>
        <v>1058.2894468656716</v>
      </c>
      <c r="H155" s="97"/>
      <c r="I155" s="97"/>
      <c r="J155" s="98"/>
      <c r="K155" s="5"/>
    </row>
    <row r="156" spans="1:11" ht="12.75">
      <c r="A156" s="5"/>
      <c r="B156" s="89" t="s">
        <v>85</v>
      </c>
      <c r="C156" s="109" t="s">
        <v>88</v>
      </c>
      <c r="D156" s="96">
        <v>7.8</v>
      </c>
      <c r="E156" s="91"/>
      <c r="F156" s="97">
        <f>D156/$D$159*$F$159+2</f>
        <v>35.56794029850746</v>
      </c>
      <c r="G156" s="97">
        <f>F156*31.67</f>
        <v>1126.4366692537312</v>
      </c>
      <c r="H156" s="97"/>
      <c r="I156" s="97"/>
      <c r="J156" s="98"/>
      <c r="K156" s="5"/>
    </row>
    <row r="157" spans="1:11" ht="12.75">
      <c r="A157" s="5"/>
      <c r="B157" s="89" t="s">
        <v>85</v>
      </c>
      <c r="C157" s="109" t="s">
        <v>89</v>
      </c>
      <c r="D157" s="96">
        <v>4.1</v>
      </c>
      <c r="E157" s="91"/>
      <c r="F157" s="97">
        <f>D157/$D$159*$F$159+2</f>
        <v>19.644686567164175</v>
      </c>
      <c r="G157" s="97">
        <f>F157*31.67</f>
        <v>622.1472235820895</v>
      </c>
      <c r="H157" s="97"/>
      <c r="I157" s="97">
        <v>2807</v>
      </c>
      <c r="J157" s="98">
        <f>SUM(I155:I157,H155:H157)-SUM(G155:G157)</f>
        <v>0.12666029850788618</v>
      </c>
      <c r="K157" s="5"/>
    </row>
    <row r="158" spans="1:12" ht="12.75">
      <c r="A158" s="5"/>
      <c r="B158" s="89" t="s">
        <v>90</v>
      </c>
      <c r="C158" s="95" t="s">
        <v>91</v>
      </c>
      <c r="D158" s="96">
        <v>2</v>
      </c>
      <c r="E158" s="91"/>
      <c r="F158" s="97">
        <f>D158/$D$159*$F$159+2</f>
        <v>10.607164179104476</v>
      </c>
      <c r="G158" s="97">
        <f>F158*31.67</f>
        <v>335.9288895522388</v>
      </c>
      <c r="H158" s="97">
        <v>0</v>
      </c>
      <c r="I158" s="97">
        <v>336</v>
      </c>
      <c r="J158" s="98">
        <f>I158-G158+H158</f>
        <v>0.07111044776121389</v>
      </c>
      <c r="K158" s="5"/>
      <c r="L158" s="36"/>
    </row>
    <row r="159" spans="1:11" ht="12.75">
      <c r="A159" s="5"/>
      <c r="B159" s="100"/>
      <c r="C159" s="101"/>
      <c r="D159" s="102">
        <f>SUM(D154:D158)</f>
        <v>33.5</v>
      </c>
      <c r="E159" s="102"/>
      <c r="F159" s="110">
        <f>154.17-10</f>
        <v>144.17</v>
      </c>
      <c r="G159" s="104">
        <v>4882.56</v>
      </c>
      <c r="H159" s="105"/>
      <c r="I159" s="105"/>
      <c r="J159" s="106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3" ht="12.75">
      <c r="A161" s="5"/>
      <c r="B161" s="111" t="s">
        <v>92</v>
      </c>
      <c r="C161" s="111"/>
      <c r="D161" s="111"/>
      <c r="E161" s="111"/>
      <c r="F161" s="111"/>
      <c r="G161" s="111"/>
      <c r="H161" s="111"/>
      <c r="I161" s="112" t="s">
        <v>93</v>
      </c>
      <c r="J161" s="112"/>
      <c r="K161" s="5"/>
      <c r="L161"/>
      <c r="M161"/>
    </row>
    <row r="162" spans="1:13" ht="12.75">
      <c r="A162" s="5"/>
      <c r="B162" s="89"/>
      <c r="C162" s="90"/>
      <c r="D162" s="91" t="s">
        <v>61</v>
      </c>
      <c r="E162" s="91"/>
      <c r="F162" s="92" t="s">
        <v>3</v>
      </c>
      <c r="G162" s="91" t="s">
        <v>4</v>
      </c>
      <c r="H162" s="93" t="s">
        <v>5</v>
      </c>
      <c r="I162" s="93" t="s">
        <v>6</v>
      </c>
      <c r="J162" s="94" t="s">
        <v>7</v>
      </c>
      <c r="K162" s="5"/>
      <c r="L162"/>
      <c r="M162"/>
    </row>
    <row r="163" spans="1:13" ht="12.75">
      <c r="A163" s="5"/>
      <c r="B163" s="89" t="s">
        <v>94</v>
      </c>
      <c r="C163" s="95">
        <v>461096770196</v>
      </c>
      <c r="D163" s="96">
        <v>10.8</v>
      </c>
      <c r="E163" s="91"/>
      <c r="F163" s="97">
        <f>D163/$D$169*$F$169+2+2</f>
        <v>59.50146341463416</v>
      </c>
      <c r="G163" s="97">
        <f>F163*32.29</f>
        <v>1921.302253658537</v>
      </c>
      <c r="H163" s="97"/>
      <c r="I163" s="97"/>
      <c r="J163" s="98"/>
      <c r="K163" s="5"/>
      <c r="L163"/>
      <c r="M163"/>
    </row>
    <row r="164" spans="1:13" ht="12.75">
      <c r="A164" s="5"/>
      <c r="B164" s="89" t="s">
        <v>95</v>
      </c>
      <c r="C164" s="95"/>
      <c r="D164" s="96">
        <v>0.9</v>
      </c>
      <c r="E164" s="91"/>
      <c r="F164" s="97">
        <f>D164/$D$169*$F$169+2</f>
        <v>6.625121951219513</v>
      </c>
      <c r="G164" s="97">
        <f>F164*32.29</f>
        <v>213.92518780487808</v>
      </c>
      <c r="H164" s="97"/>
      <c r="I164" s="97"/>
      <c r="J164" s="98"/>
      <c r="K164" s="5"/>
      <c r="L164"/>
      <c r="M164"/>
    </row>
    <row r="165" spans="1:13" ht="12.75">
      <c r="A165" s="5"/>
      <c r="B165" s="89" t="s">
        <v>96</v>
      </c>
      <c r="C165" s="95" t="s">
        <v>97</v>
      </c>
      <c r="D165" s="96">
        <v>4.5</v>
      </c>
      <c r="E165" s="91"/>
      <c r="F165" s="97">
        <f>D165/$D$169*$F$169+2</f>
        <v>25.125609756097564</v>
      </c>
      <c r="G165" s="97">
        <f>F165*32.29</f>
        <v>811.3059390243903</v>
      </c>
      <c r="H165" s="97"/>
      <c r="I165" s="97"/>
      <c r="J165" s="94"/>
      <c r="K165" s="5"/>
      <c r="L165"/>
      <c r="M165" s="1"/>
    </row>
    <row r="166" spans="1:13" ht="12.75">
      <c r="A166" s="5"/>
      <c r="B166" s="89" t="s">
        <v>98</v>
      </c>
      <c r="C166" s="95" t="s">
        <v>47</v>
      </c>
      <c r="D166" s="96">
        <f>3.6+6.4</f>
        <v>10</v>
      </c>
      <c r="E166" s="91"/>
      <c r="F166" s="97">
        <f>D166/$D$169*$F$169+4</f>
        <v>55.39024390243903</v>
      </c>
      <c r="G166" s="97">
        <f>F166*32.29</f>
        <v>1788.5509756097563</v>
      </c>
      <c r="H166" s="97"/>
      <c r="I166" s="97">
        <f>1440+350</f>
        <v>1790</v>
      </c>
      <c r="J166" s="98">
        <f>I166-G166+H166</f>
        <v>1.4490243902437214</v>
      </c>
      <c r="K166" s="5"/>
      <c r="L166"/>
      <c r="M166" s="113"/>
    </row>
    <row r="167" spans="1:13" ht="12.75">
      <c r="A167" s="5"/>
      <c r="B167" s="89" t="s">
        <v>99</v>
      </c>
      <c r="C167" s="95" t="s">
        <v>47</v>
      </c>
      <c r="D167" s="96">
        <v>4.5</v>
      </c>
      <c r="E167" s="91"/>
      <c r="F167" s="97">
        <f>D167/$D$169*$F$169+2</f>
        <v>25.125609756097564</v>
      </c>
      <c r="G167" s="97">
        <f>F167*32.29</f>
        <v>811.3059390243903</v>
      </c>
      <c r="H167" s="97"/>
      <c r="I167" s="97">
        <f>683+128</f>
        <v>811</v>
      </c>
      <c r="J167" s="98">
        <f>I167-G167+H167</f>
        <v>-0.3059390243903408</v>
      </c>
      <c r="K167" s="5"/>
      <c r="L167"/>
      <c r="M167"/>
    </row>
    <row r="168" spans="1:13" ht="12.75">
      <c r="A168" s="5"/>
      <c r="B168" s="89">
        <f>Заказы!A208</f>
        <v>0</v>
      </c>
      <c r="C168" s="95">
        <f>Заказы!A209</f>
        <v>0</v>
      </c>
      <c r="D168" s="96">
        <f>1+0.3+0.8</f>
        <v>2.1</v>
      </c>
      <c r="E168" s="91"/>
      <c r="F168" s="97">
        <f>D168/$D$169*$F$169+6</f>
        <v>16.791951219512196</v>
      </c>
      <c r="G168" s="97">
        <f>F168*32.29</f>
        <v>542.2121048780488</v>
      </c>
      <c r="H168" s="97">
        <f>Заказы!N214</f>
        <v>826.3999999999996</v>
      </c>
      <c r="I168" s="97">
        <v>-284</v>
      </c>
      <c r="J168" s="98">
        <f>I168-G168+H168</f>
        <v>0.18789512195087354</v>
      </c>
      <c r="K168" s="5"/>
      <c r="L168"/>
      <c r="M168"/>
    </row>
    <row r="169" spans="1:13" ht="12.75">
      <c r="A169" s="5"/>
      <c r="B169" s="100"/>
      <c r="C169" s="101"/>
      <c r="D169" s="102">
        <f>SUM(D163:D168)</f>
        <v>32.8</v>
      </c>
      <c r="E169" s="102"/>
      <c r="F169" s="114">
        <f>188.56-20</f>
        <v>168.56</v>
      </c>
      <c r="G169" s="104">
        <v>6088.6</v>
      </c>
      <c r="H169" s="105"/>
      <c r="I169" s="105"/>
      <c r="J169" s="106"/>
      <c r="K169" s="5"/>
      <c r="L169"/>
      <c r="M169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M170"/>
    </row>
    <row r="171" spans="1:13" ht="12.75">
      <c r="A171" s="5"/>
      <c r="B171" s="115" t="s">
        <v>100</v>
      </c>
      <c r="C171" s="115"/>
      <c r="D171" s="115"/>
      <c r="E171" s="115"/>
      <c r="F171" s="115"/>
      <c r="G171" s="115"/>
      <c r="H171" s="115"/>
      <c r="I171" s="40" t="s">
        <v>101</v>
      </c>
      <c r="J171" s="40"/>
      <c r="K171" s="5"/>
      <c r="L171" s="64" t="s">
        <v>102</v>
      </c>
      <c r="M171" s="116" t="s">
        <v>103</v>
      </c>
    </row>
    <row r="172" spans="1:13" ht="12.75">
      <c r="A172" s="5"/>
      <c r="B172" s="89"/>
      <c r="C172" s="90"/>
      <c r="D172" s="91" t="s">
        <v>61</v>
      </c>
      <c r="E172" s="91"/>
      <c r="F172" s="92" t="s">
        <v>3</v>
      </c>
      <c r="G172" s="91" t="s">
        <v>4</v>
      </c>
      <c r="H172" s="93" t="s">
        <v>5</v>
      </c>
      <c r="I172" s="93" t="s">
        <v>6</v>
      </c>
      <c r="J172" s="94" t="s">
        <v>7</v>
      </c>
      <c r="K172" s="5"/>
      <c r="L172" s="5">
        <v>188.91</v>
      </c>
      <c r="M172" s="6">
        <f>L172*32.29</f>
        <v>6099.903899999999</v>
      </c>
    </row>
    <row r="173" spans="1:11" ht="12.75">
      <c r="A173" s="5"/>
      <c r="B173" s="89" t="s">
        <v>104</v>
      </c>
      <c r="C173" s="95"/>
      <c r="D173" s="96">
        <v>13.2</v>
      </c>
      <c r="E173" s="91"/>
      <c r="F173" s="97">
        <f>D173/$D$176*$F$176+2</f>
        <v>70.84012903225806</v>
      </c>
      <c r="G173" s="97">
        <f>F173*32.29</f>
        <v>2287.4277664516126</v>
      </c>
      <c r="H173" s="97"/>
      <c r="I173" s="97"/>
      <c r="J173" s="98"/>
      <c r="K173" s="5"/>
    </row>
    <row r="174" spans="1:11" ht="12.75">
      <c r="A174" s="5"/>
      <c r="B174" s="89" t="s">
        <v>105</v>
      </c>
      <c r="C174" s="95"/>
      <c r="D174" s="96">
        <f>3.5+12.4</f>
        <v>15.9</v>
      </c>
      <c r="E174" s="91"/>
      <c r="F174" s="97">
        <f>D174/$D$176*$F$176+4</f>
        <v>86.92106451612904</v>
      </c>
      <c r="G174" s="97">
        <f>F174*32.29</f>
        <v>2806.6811732258066</v>
      </c>
      <c r="H174" s="97"/>
      <c r="I174" s="97"/>
      <c r="J174" s="98"/>
      <c r="K174" s="5"/>
    </row>
    <row r="175" spans="1:11" ht="12.75">
      <c r="A175" s="5"/>
      <c r="B175" s="89" t="s">
        <v>106</v>
      </c>
      <c r="C175" s="95"/>
      <c r="D175" s="96">
        <v>1.9</v>
      </c>
      <c r="E175" s="91"/>
      <c r="F175" s="97">
        <f>D175/$D$176*$F$176+2</f>
        <v>11.908806451612902</v>
      </c>
      <c r="G175" s="97">
        <f>F175*32.29</f>
        <v>384.5353603225806</v>
      </c>
      <c r="H175" s="97"/>
      <c r="I175" s="97"/>
      <c r="J175" s="98"/>
      <c r="K175" s="5"/>
    </row>
    <row r="176" spans="1:11" ht="12.75">
      <c r="A176" s="5"/>
      <c r="B176" s="100"/>
      <c r="C176" s="101"/>
      <c r="D176" s="102">
        <f>SUM(D173:D175)</f>
        <v>31</v>
      </c>
      <c r="E176" s="102"/>
      <c r="F176" s="117">
        <f>169.67-8</f>
        <v>161.67</v>
      </c>
      <c r="G176" s="104">
        <v>5478.64</v>
      </c>
      <c r="H176" s="105"/>
      <c r="I176" s="105"/>
      <c r="J176" s="106"/>
      <c r="K176" s="99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99"/>
    </row>
    <row r="178" spans="1:11" ht="12.75">
      <c r="A178" s="5"/>
      <c r="B178" s="118" t="s">
        <v>107</v>
      </c>
      <c r="C178" s="118"/>
      <c r="D178" s="118"/>
      <c r="E178" s="118"/>
      <c r="F178" s="118"/>
      <c r="G178" s="118"/>
      <c r="H178" s="118"/>
      <c r="I178" s="119" t="s">
        <v>108</v>
      </c>
      <c r="J178" s="119"/>
      <c r="K178" s="99"/>
    </row>
    <row r="179" spans="1:11" ht="12.75">
      <c r="A179" s="5"/>
      <c r="B179" s="89"/>
      <c r="C179" s="90"/>
      <c r="D179" s="91" t="s">
        <v>61</v>
      </c>
      <c r="E179" s="91"/>
      <c r="F179" s="92" t="s">
        <v>3</v>
      </c>
      <c r="G179" s="91" t="s">
        <v>4</v>
      </c>
      <c r="H179" s="93" t="s">
        <v>5</v>
      </c>
      <c r="I179" s="93" t="s">
        <v>6</v>
      </c>
      <c r="J179" s="94" t="s">
        <v>7</v>
      </c>
      <c r="K179" s="99"/>
    </row>
    <row r="180" spans="1:11" ht="12.75">
      <c r="A180" s="5"/>
      <c r="B180" s="89" t="s">
        <v>109</v>
      </c>
      <c r="C180" s="95"/>
      <c r="D180" s="96">
        <f>3.5+0.4</f>
        <v>3.9</v>
      </c>
      <c r="E180" s="91"/>
      <c r="F180" s="97">
        <f>D180/$D$185*$F$185+2</f>
        <v>25.70543689320388</v>
      </c>
      <c r="G180" s="97">
        <f>F180*31.89</f>
        <v>819.7463825242718</v>
      </c>
      <c r="H180" s="97"/>
      <c r="I180" s="97"/>
      <c r="J180" s="98"/>
      <c r="K180" s="99"/>
    </row>
    <row r="181" spans="1:11" ht="12.75">
      <c r="A181" s="5"/>
      <c r="B181" s="89" t="s">
        <v>55</v>
      </c>
      <c r="C181" s="95"/>
      <c r="D181" s="96">
        <v>19.5</v>
      </c>
      <c r="E181" s="91"/>
      <c r="F181" s="97">
        <f>D181/$D$185*$F$185+2</f>
        <v>120.52718446601942</v>
      </c>
      <c r="G181" s="97">
        <f>F181*31.89</f>
        <v>3843.6119126213594</v>
      </c>
      <c r="H181" s="97"/>
      <c r="I181" s="97"/>
      <c r="J181" s="98"/>
      <c r="K181" s="99"/>
    </row>
    <row r="182" spans="1:12" ht="12.75">
      <c r="A182" s="5"/>
      <c r="B182" s="89">
        <f>Заказы!A277</f>
        <v>0</v>
      </c>
      <c r="C182" s="95">
        <f>Заказы!A278</f>
        <v>0</v>
      </c>
      <c r="D182" s="96">
        <v>1.7000000000000002</v>
      </c>
      <c r="E182" s="91"/>
      <c r="F182" s="97">
        <f>D182/$D$185*$F$185+2</f>
        <v>12.333139158576053</v>
      </c>
      <c r="G182" s="97">
        <f>F182*31.89</f>
        <v>393.3038077669903</v>
      </c>
      <c r="H182" s="97">
        <f>Заказы!N285</f>
        <v>278.5300000000002</v>
      </c>
      <c r="I182" s="97">
        <f>206-91</f>
        <v>115</v>
      </c>
      <c r="J182" s="98">
        <f>I182-G182+H182</f>
        <v>0.22619223300989688</v>
      </c>
      <c r="K182" s="99"/>
      <c r="L182" s="5" t="s">
        <v>110</v>
      </c>
    </row>
    <row r="183" spans="1:11" ht="12.75">
      <c r="A183" s="5"/>
      <c r="B183" s="89">
        <f>Заказы!A302</f>
        <v>0</v>
      </c>
      <c r="C183" s="95">
        <f>Заказы!A303</f>
        <v>0</v>
      </c>
      <c r="D183" s="96">
        <v>0.2</v>
      </c>
      <c r="E183" s="91"/>
      <c r="F183" s="97">
        <f>D183/$D$185*$F$185+2</f>
        <v>3.2156634304207117</v>
      </c>
      <c r="G183" s="97">
        <f>F183*31.89</f>
        <v>102.5475067961165</v>
      </c>
      <c r="H183" s="97">
        <f>Заказы!N306</f>
        <v>123.07000000000005</v>
      </c>
      <c r="I183" s="97">
        <v>-20</v>
      </c>
      <c r="J183" s="98">
        <f>I183-G183+H183</f>
        <v>0.5224932038835561</v>
      </c>
      <c r="K183" s="99"/>
    </row>
    <row r="184" spans="1:11" ht="12.75">
      <c r="A184" s="5"/>
      <c r="B184" s="89">
        <f>Заказы!A377</f>
        <v>0</v>
      </c>
      <c r="C184" s="95">
        <f>Заказы!A378</f>
        <v>0</v>
      </c>
      <c r="D184" s="96">
        <v>5.6</v>
      </c>
      <c r="E184" s="91"/>
      <c r="F184" s="97">
        <f>D184/$D$185*$F$185+2</f>
        <v>36.038576051779934</v>
      </c>
      <c r="G184" s="97">
        <f>F184*31.89</f>
        <v>1149.2701902912622</v>
      </c>
      <c r="H184" s="97">
        <f>Заказы!N381</f>
        <v>184.26000000000022</v>
      </c>
      <c r="I184" s="97">
        <v>990</v>
      </c>
      <c r="J184" s="98">
        <f>I184-G184+H184</f>
        <v>24.989809708737994</v>
      </c>
      <c r="K184" s="99"/>
    </row>
    <row r="185" spans="1:11" ht="12.75">
      <c r="A185" s="5"/>
      <c r="B185" s="100"/>
      <c r="C185" s="101"/>
      <c r="D185" s="102">
        <f>SUM(D180:D184)</f>
        <v>30.9</v>
      </c>
      <c r="E185" s="102"/>
      <c r="F185" s="120">
        <f>199.82-12</f>
        <v>187.82</v>
      </c>
      <c r="G185" s="104">
        <v>6372.26</v>
      </c>
      <c r="H185" s="105"/>
      <c r="I185" s="105"/>
      <c r="J185" s="106"/>
      <c r="K185" s="99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99"/>
      <c r="M186" s="5"/>
    </row>
    <row r="187" spans="1:11" ht="12.75">
      <c r="A187" s="5"/>
      <c r="B187" s="121" t="s">
        <v>111</v>
      </c>
      <c r="C187" s="121"/>
      <c r="D187" s="121"/>
      <c r="E187" s="121"/>
      <c r="F187" s="121"/>
      <c r="G187" s="121"/>
      <c r="H187" s="121"/>
      <c r="I187" s="122" t="s">
        <v>112</v>
      </c>
      <c r="J187" s="122"/>
      <c r="K187" s="99"/>
    </row>
    <row r="188" spans="1:11" ht="12.75">
      <c r="A188" s="5"/>
      <c r="B188" s="89"/>
      <c r="C188" s="90"/>
      <c r="D188" s="91" t="s">
        <v>61</v>
      </c>
      <c r="E188" s="91"/>
      <c r="F188" s="92" t="s">
        <v>3</v>
      </c>
      <c r="G188" s="91" t="s">
        <v>4</v>
      </c>
      <c r="H188" s="93" t="s">
        <v>5</v>
      </c>
      <c r="I188" s="93" t="s">
        <v>6</v>
      </c>
      <c r="J188" s="94" t="s">
        <v>7</v>
      </c>
      <c r="K188" s="99"/>
    </row>
    <row r="189" spans="1:11" ht="12.75">
      <c r="A189" s="5"/>
      <c r="B189" s="123">
        <f>Заказы!A227</f>
        <v>0</v>
      </c>
      <c r="C189" s="124">
        <f>Заказы!A228</f>
        <v>0</v>
      </c>
      <c r="D189" s="125">
        <v>16</v>
      </c>
      <c r="E189" s="126"/>
      <c r="F189" s="127">
        <f>D189/$D$193*$F$193+2</f>
        <v>77.48466257668714</v>
      </c>
      <c r="G189" s="127">
        <f>F189*32.29</f>
        <v>2501.979754601228</v>
      </c>
      <c r="H189" s="127">
        <f>Заказы!N237</f>
        <v>840.1200000000008</v>
      </c>
      <c r="I189" s="127">
        <v>1670</v>
      </c>
      <c r="J189" s="128">
        <f>I189-G189+H189</f>
        <v>8.140245398773004</v>
      </c>
      <c r="K189" s="99"/>
    </row>
    <row r="190" spans="1:12" ht="12.75">
      <c r="A190" s="5"/>
      <c r="B190" s="123">
        <f>Заказы!A254</f>
        <v>0</v>
      </c>
      <c r="C190" s="124">
        <f>Заказы!A255</f>
        <v>0</v>
      </c>
      <c r="D190" s="125">
        <v>7.7</v>
      </c>
      <c r="E190" s="126"/>
      <c r="F190" s="127">
        <f>D190/$D$193*$F$193+1</f>
        <v>37.32699386503069</v>
      </c>
      <c r="G190" s="127">
        <f>F190*32.29</f>
        <v>1205.2886319018407</v>
      </c>
      <c r="H190" s="127">
        <f>Заказы!N260</f>
        <v>1723.37</v>
      </c>
      <c r="I190" s="127">
        <v>-518</v>
      </c>
      <c r="J190" s="128">
        <f>I190-G190+H190</f>
        <v>0.08136809815914603</v>
      </c>
      <c r="K190" s="99"/>
      <c r="L190" s="5" t="s">
        <v>113</v>
      </c>
    </row>
    <row r="191" spans="1:11" ht="12.75">
      <c r="A191" s="5"/>
      <c r="B191" s="123">
        <f>Заказы!A243</f>
        <v>0</v>
      </c>
      <c r="C191" s="124">
        <f>Заказы!A244</f>
        <v>0</v>
      </c>
      <c r="D191" s="125">
        <v>5</v>
      </c>
      <c r="E191" s="126"/>
      <c r="F191" s="127">
        <f>D191/$D$193*$F$193+1</f>
        <v>24.58895705521473</v>
      </c>
      <c r="G191" s="127">
        <f>F191*32.29</f>
        <v>793.9774233128836</v>
      </c>
      <c r="H191" s="127">
        <f>Заказы!N248</f>
        <v>190.32999999999993</v>
      </c>
      <c r="I191" s="127">
        <v>604</v>
      </c>
      <c r="J191" s="128">
        <f>I191-G191+H191</f>
        <v>0.3525766871163114</v>
      </c>
      <c r="K191" s="99"/>
    </row>
    <row r="192" spans="1:13" ht="12.75">
      <c r="A192" s="5"/>
      <c r="B192" s="123">
        <f>Заказы!A249</f>
        <v>0</v>
      </c>
      <c r="C192" s="124">
        <f>Заказы!A250</f>
        <v>0</v>
      </c>
      <c r="D192" s="125">
        <v>3.9</v>
      </c>
      <c r="E192" s="126"/>
      <c r="F192" s="127">
        <f>D192/$D$193*$F$193+2</f>
        <v>20.39938650306749</v>
      </c>
      <c r="G192" s="127">
        <f>F192*32.29</f>
        <v>658.6961901840492</v>
      </c>
      <c r="H192" s="127">
        <f>Заказы!N253</f>
        <v>-148.32000000000016</v>
      </c>
      <c r="I192" s="127">
        <v>807</v>
      </c>
      <c r="J192" s="128">
        <f>I192-G192+H192</f>
        <v>-0.01619018404937833</v>
      </c>
      <c r="K192" s="99"/>
      <c r="L192"/>
      <c r="M192"/>
    </row>
    <row r="193" spans="1:13" ht="12.75">
      <c r="A193" s="5"/>
      <c r="B193" s="100"/>
      <c r="C193" s="101"/>
      <c r="D193" s="102">
        <f>SUM(D189:D192)</f>
        <v>32.599999999999994</v>
      </c>
      <c r="E193" s="102"/>
      <c r="F193" s="129">
        <f>159.8-6</f>
        <v>153.8</v>
      </c>
      <c r="G193" s="104">
        <v>5159.94</v>
      </c>
      <c r="H193" s="105"/>
      <c r="I193" s="105"/>
      <c r="J193" s="106"/>
      <c r="K193" s="99"/>
      <c r="L193"/>
      <c r="M193"/>
    </row>
    <row r="194" spans="1:13" ht="12.75">
      <c r="A194"/>
      <c r="B194"/>
      <c r="C194"/>
      <c r="D194"/>
      <c r="E194"/>
      <c r="F194"/>
      <c r="G194"/>
      <c r="H194"/>
      <c r="I194"/>
      <c r="J194"/>
      <c r="K194" s="99"/>
      <c r="L194"/>
      <c r="M194"/>
    </row>
    <row r="195" spans="1:13" ht="12.75">
      <c r="A195" s="5"/>
      <c r="B195" s="130" t="s">
        <v>114</v>
      </c>
      <c r="C195" s="130"/>
      <c r="D195" s="130"/>
      <c r="E195" s="130"/>
      <c r="F195" s="130"/>
      <c r="G195" s="130"/>
      <c r="H195" s="130"/>
      <c r="I195" s="47" t="s">
        <v>115</v>
      </c>
      <c r="J195" s="47"/>
      <c r="K195" s="99"/>
      <c r="L195"/>
      <c r="M195"/>
    </row>
    <row r="196" spans="1:13" ht="12.75">
      <c r="A196" s="5"/>
      <c r="B196" s="89"/>
      <c r="C196" s="90"/>
      <c r="D196" s="91" t="s">
        <v>61</v>
      </c>
      <c r="E196" s="91"/>
      <c r="F196" s="92" t="s">
        <v>3</v>
      </c>
      <c r="G196" s="91" t="s">
        <v>4</v>
      </c>
      <c r="H196" s="93" t="s">
        <v>5</v>
      </c>
      <c r="I196" s="93" t="s">
        <v>6</v>
      </c>
      <c r="J196" s="94" t="s">
        <v>7</v>
      </c>
      <c r="K196" s="99"/>
      <c r="L196"/>
      <c r="M196"/>
    </row>
    <row r="197" spans="1:13" ht="12.75">
      <c r="A197" s="5"/>
      <c r="B197" s="89" t="s">
        <v>116</v>
      </c>
      <c r="C197" s="95">
        <v>461096764981</v>
      </c>
      <c r="D197" s="96">
        <v>3.2</v>
      </c>
      <c r="E197" s="91"/>
      <c r="F197" s="97">
        <f>D197/$D$203*$F$203+2+2</f>
        <v>20.089968051118213</v>
      </c>
      <c r="G197" s="97">
        <f>F197*31.67</f>
        <v>636.2492881789138</v>
      </c>
      <c r="H197" s="97"/>
      <c r="I197" s="97"/>
      <c r="J197" s="98"/>
      <c r="K197" s="99"/>
      <c r="L197"/>
      <c r="M197"/>
    </row>
    <row r="198" spans="1:13" ht="12.75">
      <c r="A198" s="5"/>
      <c r="B198" s="89">
        <f>Заказы!A175</f>
        <v>0</v>
      </c>
      <c r="C198" s="95">
        <f>Заказы!A176</f>
        <v>0</v>
      </c>
      <c r="D198" s="96">
        <f>1.9+4.2+0.5</f>
        <v>6.6</v>
      </c>
      <c r="E198" s="91"/>
      <c r="F198" s="97">
        <f>D198/$D$203*$F$203+6</f>
        <v>39.18555910543131</v>
      </c>
      <c r="G198" s="97">
        <f>F198*31.67</f>
        <v>1241.0066568690097</v>
      </c>
      <c r="H198" s="97">
        <f>Заказы!N185</f>
        <v>27.88000000000011</v>
      </c>
      <c r="I198" s="97">
        <f>937+300-23</f>
        <v>1214</v>
      </c>
      <c r="J198" s="98">
        <f>I198-G198+H198</f>
        <v>0.8733431309904063</v>
      </c>
      <c r="K198" s="99"/>
      <c r="L198"/>
      <c r="M198"/>
    </row>
    <row r="199" spans="1:13" ht="12.75">
      <c r="A199" s="5"/>
      <c r="B199" s="89">
        <f>Заказы!A261</f>
        <v>0</v>
      </c>
      <c r="C199" s="95">
        <f>Заказы!A262</f>
        <v>0</v>
      </c>
      <c r="D199" s="96">
        <v>6.7</v>
      </c>
      <c r="E199" s="91"/>
      <c r="F199" s="97">
        <f>D199/$D$203*$F$203+2</f>
        <v>35.68837060702876</v>
      </c>
      <c r="G199" s="97">
        <f>F199*31.67</f>
        <v>1130.250697124601</v>
      </c>
      <c r="H199" s="97"/>
      <c r="I199" s="93"/>
      <c r="J199" s="94"/>
      <c r="K199" s="99"/>
      <c r="L199"/>
      <c r="M199"/>
    </row>
    <row r="200" spans="1:13" ht="12.75">
      <c r="A200" s="5"/>
      <c r="B200" s="89">
        <f>Заказы!A261</f>
        <v>0</v>
      </c>
      <c r="C200" s="95">
        <f>Заказы!A263</f>
        <v>0</v>
      </c>
      <c r="D200" s="96">
        <v>4.6</v>
      </c>
      <c r="E200" s="91"/>
      <c r="F200" s="97">
        <f>D200/$D$203*$F$203+2</f>
        <v>25.129329073482428</v>
      </c>
      <c r="G200" s="97">
        <f>F200*31.67</f>
        <v>795.8458517571885</v>
      </c>
      <c r="H200" s="97">
        <f>Заказы!N266</f>
        <v>2789.4400000000005</v>
      </c>
      <c r="I200" s="97">
        <v>-863</v>
      </c>
      <c r="J200" s="98">
        <f>I200-G200-G199+H200</f>
        <v>0.3434511182113056</v>
      </c>
      <c r="K200" s="99"/>
      <c r="L200"/>
      <c r="M200"/>
    </row>
    <row r="201" spans="1:13" ht="12.75">
      <c r="A201" s="5"/>
      <c r="B201" s="89" t="s">
        <v>48</v>
      </c>
      <c r="C201" s="95" t="s">
        <v>117</v>
      </c>
      <c r="D201" s="96">
        <f>1.7+1.7</f>
        <v>3.4000000000000004</v>
      </c>
      <c r="E201" s="91"/>
      <c r="F201" s="97">
        <f>D201/$D$203*$F$203+4</f>
        <v>21.0955910543131</v>
      </c>
      <c r="G201" s="97">
        <f>F201*31.67</f>
        <v>668.0973686900959</v>
      </c>
      <c r="H201" s="97"/>
      <c r="I201" s="97">
        <v>669</v>
      </c>
      <c r="J201" s="98">
        <f>I201-G201+H201</f>
        <v>0.902631309904109</v>
      </c>
      <c r="K201" s="99"/>
      <c r="L201"/>
      <c r="M201"/>
    </row>
    <row r="202" spans="1:13" ht="12.75">
      <c r="A202" s="5"/>
      <c r="B202" s="89">
        <f>Заказы!A333</f>
        <v>0</v>
      </c>
      <c r="C202" s="95">
        <f>Заказы!A335</f>
        <v>0</v>
      </c>
      <c r="D202" s="96">
        <v>6.8</v>
      </c>
      <c r="E202" s="91"/>
      <c r="F202" s="97">
        <f>D202/$D$203*$F$203+2</f>
        <v>36.1911821086262</v>
      </c>
      <c r="G202" s="97">
        <f>F202*31.67</f>
        <v>1146.1747373801918</v>
      </c>
      <c r="H202" s="97">
        <f>Заказы!N338</f>
        <v>-56.30209999999988</v>
      </c>
      <c r="I202" s="97">
        <v>1202</v>
      </c>
      <c r="J202" s="98">
        <f>I202-G202+H202</f>
        <v>-0.4768373801916823</v>
      </c>
      <c r="K202" s="99"/>
      <c r="L202"/>
      <c r="M202"/>
    </row>
    <row r="203" spans="1:13" ht="12.75">
      <c r="A203" s="5"/>
      <c r="B203" s="100"/>
      <c r="C203" s="101"/>
      <c r="D203" s="102">
        <f>SUM(D197:D202)</f>
        <v>31.299999999999997</v>
      </c>
      <c r="E203" s="102"/>
      <c r="F203" s="131">
        <f>177.38-20</f>
        <v>157.38</v>
      </c>
      <c r="G203" s="104">
        <v>5617.62</v>
      </c>
      <c r="H203" s="105"/>
      <c r="I203" s="105"/>
      <c r="J203" s="106"/>
      <c r="K203" s="99"/>
      <c r="L203" s="37"/>
      <c r="M203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99"/>
      <c r="M204" s="5"/>
      <c r="N204" s="5"/>
    </row>
    <row r="205" spans="1:11" ht="12.75">
      <c r="A205" s="5"/>
      <c r="B205" s="132" t="s">
        <v>118</v>
      </c>
      <c r="C205" s="132"/>
      <c r="D205" s="132"/>
      <c r="E205" s="132"/>
      <c r="F205" s="132"/>
      <c r="G205" s="132"/>
      <c r="H205" s="132"/>
      <c r="I205" s="133" t="s">
        <v>119</v>
      </c>
      <c r="J205" s="133"/>
      <c r="K205" s="99"/>
    </row>
    <row r="206" spans="1:11" ht="12.75">
      <c r="A206" s="5"/>
      <c r="B206" s="89"/>
      <c r="C206" s="90"/>
      <c r="D206" s="91" t="s">
        <v>61</v>
      </c>
      <c r="E206" s="91"/>
      <c r="F206" s="92" t="s">
        <v>3</v>
      </c>
      <c r="G206" s="91" t="s">
        <v>4</v>
      </c>
      <c r="H206" s="93" t="s">
        <v>5</v>
      </c>
      <c r="I206" s="93" t="s">
        <v>6</v>
      </c>
      <c r="J206" s="94" t="s">
        <v>7</v>
      </c>
      <c r="K206" s="99"/>
    </row>
    <row r="207" spans="1:11" ht="12.75">
      <c r="A207" s="5"/>
      <c r="B207" s="123" t="s">
        <v>22</v>
      </c>
      <c r="C207" s="134">
        <v>461096761813</v>
      </c>
      <c r="D207" s="125">
        <v>4.6</v>
      </c>
      <c r="E207" s="126"/>
      <c r="F207" s="127">
        <f>D207/$D$216*$F$216+2+2</f>
        <v>30.111216216216214</v>
      </c>
      <c r="G207" s="127">
        <f>F207*31.64</f>
        <v>952.718881081081</v>
      </c>
      <c r="H207" s="135"/>
      <c r="I207" s="135"/>
      <c r="J207" s="136"/>
      <c r="K207" s="99"/>
    </row>
    <row r="208" spans="1:11" ht="12.75">
      <c r="A208" s="5"/>
      <c r="B208" s="123" t="s">
        <v>120</v>
      </c>
      <c r="C208" s="134" t="s">
        <v>121</v>
      </c>
      <c r="D208" s="125">
        <v>8.2</v>
      </c>
      <c r="E208" s="126"/>
      <c r="F208" s="127">
        <f>D208/$D$216*$F$216+2+2</f>
        <v>50.54608108108108</v>
      </c>
      <c r="G208" s="127">
        <f>F208*31.64</f>
        <v>1599.2780054054053</v>
      </c>
      <c r="H208" s="135"/>
      <c r="I208" s="135"/>
      <c r="J208" s="136"/>
      <c r="K208" s="99"/>
    </row>
    <row r="209" spans="1:11" ht="12.75">
      <c r="A209" s="5"/>
      <c r="B209" s="123">
        <f>Заказы!A215</f>
        <v>0</v>
      </c>
      <c r="C209" s="124">
        <f>Заказы!A216</f>
        <v>0</v>
      </c>
      <c r="D209" s="125">
        <v>1.8</v>
      </c>
      <c r="E209" s="126"/>
      <c r="F209" s="127">
        <f>D209/$D$216*$F$216+1</f>
        <v>11.217432432432432</v>
      </c>
      <c r="G209" s="127">
        <f>F209*31.64</f>
        <v>354.91956216216215</v>
      </c>
      <c r="H209" s="127">
        <f>Заказы!N219</f>
        <v>275.99</v>
      </c>
      <c r="I209" s="127">
        <v>80</v>
      </c>
      <c r="J209" s="128">
        <f>I209-G209+H209</f>
        <v>1.0704378378378578</v>
      </c>
      <c r="K209" s="99"/>
    </row>
    <row r="210" spans="1:11" ht="12.75">
      <c r="A210" s="5"/>
      <c r="B210" s="123">
        <f>Заказы!A220</f>
        <v>0</v>
      </c>
      <c r="C210" s="124">
        <f>Заказы!A221</f>
        <v>0</v>
      </c>
      <c r="D210" s="125">
        <v>5.5</v>
      </c>
      <c r="E210" s="126"/>
      <c r="F210" s="127">
        <f>D210/$D$216*$F$216+1</f>
        <v>32.21993243243243</v>
      </c>
      <c r="G210" s="127">
        <f>F210*31.64</f>
        <v>1019.4386621621621</v>
      </c>
      <c r="H210" s="127"/>
      <c r="I210" s="127"/>
      <c r="J210" s="128"/>
      <c r="K210" s="99"/>
    </row>
    <row r="211" spans="1:11" ht="12.75">
      <c r="A211" s="5"/>
      <c r="B211" s="123">
        <f>Заказы!A220</f>
        <v>0</v>
      </c>
      <c r="C211" s="124">
        <f>Заказы!A223</f>
        <v>0</v>
      </c>
      <c r="D211" s="125">
        <v>1.9</v>
      </c>
      <c r="E211" s="126"/>
      <c r="F211" s="127">
        <f>D211/$D$216*$F$216+2</f>
        <v>12.785067567567568</v>
      </c>
      <c r="G211" s="127">
        <f>F211*31.64</f>
        <v>404.51953783783785</v>
      </c>
      <c r="H211" s="127">
        <f>Заказы!N226</f>
        <v>347.6500000000001</v>
      </c>
      <c r="I211" s="127">
        <v>1076</v>
      </c>
      <c r="J211" s="128">
        <f>I211-G211-G210+H211</f>
        <v>-0.30819999999982883</v>
      </c>
      <c r="K211" s="99"/>
    </row>
    <row r="212" spans="1:11" ht="12.75">
      <c r="A212" s="5"/>
      <c r="B212" s="123">
        <f>Заказы!A238</f>
        <v>0</v>
      </c>
      <c r="C212" s="124">
        <f>Заказы!A239</f>
        <v>0</v>
      </c>
      <c r="D212" s="137">
        <v>3.1</v>
      </c>
      <c r="E212" s="126"/>
      <c r="F212" s="127">
        <f>D212/$D$216*$F$216+2</f>
        <v>19.59668918918919</v>
      </c>
      <c r="G212" s="127">
        <f>F212*31.64</f>
        <v>620.0392459459459</v>
      </c>
      <c r="H212" s="127">
        <f>Заказы!N242</f>
        <v>109.00999999999999</v>
      </c>
      <c r="I212" s="127">
        <v>520</v>
      </c>
      <c r="J212" s="128">
        <f>I212-G212+H212</f>
        <v>8.970754054054055</v>
      </c>
      <c r="K212" s="99"/>
    </row>
    <row r="213" spans="1:11" ht="12.75">
      <c r="A213" s="5"/>
      <c r="B213" s="123">
        <f>Заказы!A292</f>
        <v>0</v>
      </c>
      <c r="C213" s="124">
        <f>Заказы!A293</f>
        <v>0</v>
      </c>
      <c r="D213" s="125">
        <v>0.5</v>
      </c>
      <c r="E213" s="126"/>
      <c r="F213" s="127">
        <f>D213/$D$216*$F$216+2</f>
        <v>4.838175675675675</v>
      </c>
      <c r="G213" s="127">
        <f>F213*31.64</f>
        <v>153.07987837837837</v>
      </c>
      <c r="H213" s="127">
        <f>Заказы!N296</f>
        <v>-336.52</v>
      </c>
      <c r="I213" s="127">
        <v>490</v>
      </c>
      <c r="J213" s="128">
        <f>I213-G213+H213</f>
        <v>0.40012162162167897</v>
      </c>
      <c r="K213" s="99"/>
    </row>
    <row r="214" spans="1:11" ht="12.75">
      <c r="A214" s="5"/>
      <c r="B214" s="123">
        <f>Заказы!A267</f>
        <v>0</v>
      </c>
      <c r="C214" s="124">
        <f>Заказы!A268</f>
        <v>0</v>
      </c>
      <c r="D214" s="125">
        <v>1.5</v>
      </c>
      <c r="E214" s="126"/>
      <c r="F214" s="127">
        <f>D214/$D$216*$F$216+2</f>
        <v>10.514527027027027</v>
      </c>
      <c r="G214" s="127">
        <f>F214*31.64</f>
        <v>332.67963513513513</v>
      </c>
      <c r="H214" s="127">
        <f>Заказы!N271</f>
        <v>409.73</v>
      </c>
      <c r="I214" s="127"/>
      <c r="J214" s="128">
        <f>I214-G214+H214</f>
        <v>77.05036486486489</v>
      </c>
      <c r="K214" s="99"/>
    </row>
    <row r="215" spans="1:11" ht="12.75">
      <c r="A215" s="5"/>
      <c r="B215" s="123" t="s">
        <v>22</v>
      </c>
      <c r="C215" s="124"/>
      <c r="D215" s="125">
        <v>2.5</v>
      </c>
      <c r="E215" s="126"/>
      <c r="F215" s="127">
        <f>D215/$D$216*$F$216+2</f>
        <v>16.19087837837838</v>
      </c>
      <c r="G215" s="127">
        <f>F215*31.64</f>
        <v>512.2793918918919</v>
      </c>
      <c r="H215" s="127"/>
      <c r="I215" s="127"/>
      <c r="J215" s="128"/>
      <c r="K215" s="99"/>
    </row>
    <row r="216" spans="1:12" ht="12.75">
      <c r="A216" s="5"/>
      <c r="B216" s="100"/>
      <c r="C216" s="101"/>
      <c r="D216" s="102">
        <f>SUM(D207:D215)</f>
        <v>29.6</v>
      </c>
      <c r="E216" s="102"/>
      <c r="F216" s="138">
        <f>188.02-20</f>
        <v>168.02</v>
      </c>
      <c r="G216" s="104">
        <v>5948.95</v>
      </c>
      <c r="H216" s="105"/>
      <c r="I216" s="105"/>
      <c r="J216" s="106"/>
      <c r="K216" s="99"/>
      <c r="L216" s="36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99"/>
    </row>
    <row r="218" spans="1:11" ht="12.75">
      <c r="A218" s="5"/>
      <c r="B218" s="139" t="s">
        <v>122</v>
      </c>
      <c r="C218" s="139"/>
      <c r="D218" s="139"/>
      <c r="E218" s="139"/>
      <c r="F218" s="139"/>
      <c r="G218" s="139"/>
      <c r="H218" s="139"/>
      <c r="I218" s="68" t="s">
        <v>123</v>
      </c>
      <c r="J218" s="68"/>
      <c r="K218" s="99"/>
    </row>
    <row r="219" spans="1:11" ht="12.75">
      <c r="A219" s="5"/>
      <c r="B219" s="89"/>
      <c r="C219" s="90"/>
      <c r="D219" s="91" t="s">
        <v>61</v>
      </c>
      <c r="E219" s="91"/>
      <c r="F219" s="92" t="s">
        <v>3</v>
      </c>
      <c r="G219" s="91" t="s">
        <v>4</v>
      </c>
      <c r="H219" s="93" t="s">
        <v>5</v>
      </c>
      <c r="I219" s="93" t="s">
        <v>6</v>
      </c>
      <c r="J219" s="94" t="s">
        <v>7</v>
      </c>
      <c r="K219" s="99"/>
    </row>
    <row r="220" spans="1:11" ht="12.75">
      <c r="A220" s="5"/>
      <c r="B220" s="89" t="s">
        <v>96</v>
      </c>
      <c r="C220" s="140"/>
      <c r="D220" s="99">
        <v>3.9</v>
      </c>
      <c r="E220" s="91"/>
      <c r="F220" s="97">
        <f>D220/$D$225*$F$225+2</f>
        <v>18.953529411764706</v>
      </c>
      <c r="G220" s="97">
        <f>F220*31.67</f>
        <v>600.2582764705883</v>
      </c>
      <c r="H220" s="97"/>
      <c r="I220" s="97"/>
      <c r="J220" s="98"/>
      <c r="K220" s="99"/>
    </row>
    <row r="221" spans="1:11" ht="12.75">
      <c r="A221" s="5"/>
      <c r="B221" s="89" t="s">
        <v>96</v>
      </c>
      <c r="C221" s="140" t="s">
        <v>124</v>
      </c>
      <c r="D221" s="96">
        <v>0.9</v>
      </c>
      <c r="E221" s="91"/>
      <c r="F221" s="97">
        <f>D221/$D$225*$F$225+2</f>
        <v>5.91235294117647</v>
      </c>
      <c r="G221" s="97">
        <f>F221*31.67</f>
        <v>187.24421764705883</v>
      </c>
      <c r="H221" s="97"/>
      <c r="I221" s="97"/>
      <c r="J221" s="98"/>
      <c r="K221" s="99"/>
    </row>
    <row r="222" spans="1:11" ht="12.75">
      <c r="A222" s="5"/>
      <c r="B222" s="89" t="s">
        <v>47</v>
      </c>
      <c r="C222" s="140"/>
      <c r="D222" s="96">
        <v>19.1</v>
      </c>
      <c r="E222" s="91"/>
      <c r="F222" s="97">
        <f>D222/$D$225*$F$225+2</f>
        <v>85.02882352941177</v>
      </c>
      <c r="G222" s="97">
        <f>F222*31.67</f>
        <v>2692.8628411764707</v>
      </c>
      <c r="H222" s="97"/>
      <c r="I222" s="97"/>
      <c r="J222" s="98"/>
      <c r="K222" s="99"/>
    </row>
    <row r="223" spans="1:11" ht="12.75">
      <c r="A223" s="5"/>
      <c r="B223" s="89">
        <f>Заказы!A155</f>
        <v>0</v>
      </c>
      <c r="C223" s="95">
        <f>Заказы!A156</f>
        <v>0</v>
      </c>
      <c r="D223" s="96">
        <v>2</v>
      </c>
      <c r="E223" s="91"/>
      <c r="F223" s="97">
        <f>D223/$D$225*$F$225+2</f>
        <v>10.694117647058825</v>
      </c>
      <c r="G223" s="97">
        <f>F223*31.67</f>
        <v>338.682705882353</v>
      </c>
      <c r="H223" s="97">
        <f>Заказы!N159</f>
        <v>14.860000000000014</v>
      </c>
      <c r="I223" s="97">
        <f>263+70</f>
        <v>333</v>
      </c>
      <c r="J223" s="98">
        <f>I223-G223+H223</f>
        <v>9.177294117647023</v>
      </c>
      <c r="K223" s="99"/>
    </row>
    <row r="224" spans="1:11" ht="12.75">
      <c r="A224" s="5"/>
      <c r="B224" s="89">
        <f>Заказы!A165</f>
        <v>0</v>
      </c>
      <c r="C224" s="95">
        <f>Заказы!A166</f>
        <v>0</v>
      </c>
      <c r="D224" s="96">
        <v>6.4</v>
      </c>
      <c r="E224" s="91"/>
      <c r="F224" s="97">
        <f>D224/$D$225*$F$225+2</f>
        <v>29.82117647058824</v>
      </c>
      <c r="G224" s="97">
        <f>F224*31.67</f>
        <v>944.4366588235297</v>
      </c>
      <c r="H224" s="97">
        <f>Заказы!N169</f>
        <v>369.12000000000035</v>
      </c>
      <c r="I224" s="97">
        <f>519+57</f>
        <v>576</v>
      </c>
      <c r="J224" s="98">
        <f>I224-G224+H224</f>
        <v>0.6833411764706625</v>
      </c>
      <c r="K224" s="99"/>
    </row>
    <row r="225" spans="1:11" ht="12.75">
      <c r="A225" s="5"/>
      <c r="B225" s="100"/>
      <c r="C225" s="101"/>
      <c r="D225" s="102">
        <f>SUM(D220:D224)</f>
        <v>32.3</v>
      </c>
      <c r="E225" s="102"/>
      <c r="F225" s="141">
        <f>150.41-10</f>
        <v>140.41</v>
      </c>
      <c r="G225" s="104">
        <v>4763.48</v>
      </c>
      <c r="H225" s="105"/>
      <c r="I225" s="105"/>
      <c r="J225" s="106"/>
      <c r="K225" s="99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99"/>
    </row>
    <row r="227" spans="1:11" ht="12.75">
      <c r="A227" s="99"/>
      <c r="B227" s="142" t="s">
        <v>125</v>
      </c>
      <c r="C227" s="142"/>
      <c r="D227" s="142"/>
      <c r="E227" s="142"/>
      <c r="F227" s="142"/>
      <c r="G227" s="142"/>
      <c r="H227" s="142"/>
      <c r="I227" s="143" t="s">
        <v>126</v>
      </c>
      <c r="J227" s="143"/>
      <c r="K227" s="99"/>
    </row>
    <row r="228" spans="1:11" ht="12.75">
      <c r="A228" s="99"/>
      <c r="B228" s="89"/>
      <c r="C228" s="90"/>
      <c r="D228" s="91" t="s">
        <v>61</v>
      </c>
      <c r="E228" s="91"/>
      <c r="F228" s="92" t="s">
        <v>3</v>
      </c>
      <c r="G228" s="91" t="s">
        <v>4</v>
      </c>
      <c r="H228" s="93" t="s">
        <v>5</v>
      </c>
      <c r="I228" s="93" t="s">
        <v>6</v>
      </c>
      <c r="J228" s="94" t="s">
        <v>7</v>
      </c>
      <c r="K228" s="99"/>
    </row>
    <row r="229" spans="1:11" ht="12.75">
      <c r="A229" s="99"/>
      <c r="B229" s="89" t="s">
        <v>55</v>
      </c>
      <c r="C229" s="95"/>
      <c r="D229" s="96">
        <v>25.7</v>
      </c>
      <c r="E229" s="91"/>
      <c r="F229" s="97">
        <v>158.651026490066</v>
      </c>
      <c r="G229" s="97">
        <v>5023.77983443709</v>
      </c>
      <c r="H229" s="97"/>
      <c r="I229" s="97"/>
      <c r="J229" s="98"/>
      <c r="K229" s="99"/>
    </row>
    <row r="230" spans="1:11" ht="12.75">
      <c r="A230" s="99"/>
      <c r="B230" s="89" t="s">
        <v>127</v>
      </c>
      <c r="C230" s="95" t="s">
        <v>128</v>
      </c>
      <c r="D230" s="96">
        <v>4.5</v>
      </c>
      <c r="E230" s="91"/>
      <c r="F230" s="97">
        <v>31.0789735099338</v>
      </c>
      <c r="G230" s="97">
        <v>879.650165562914</v>
      </c>
      <c r="H230" s="97">
        <v>292.6</v>
      </c>
      <c r="I230" s="97">
        <v>574</v>
      </c>
      <c r="J230" s="98">
        <v>-13.0501655629134</v>
      </c>
      <c r="K230" s="99"/>
    </row>
    <row r="231" spans="1:15" ht="12.75">
      <c r="A231" s="99"/>
      <c r="B231" s="100"/>
      <c r="C231" s="101"/>
      <c r="D231" s="102">
        <v>30.2</v>
      </c>
      <c r="E231" s="102"/>
      <c r="F231" s="144">
        <v>181.73</v>
      </c>
      <c r="G231" s="104">
        <v>5903.43</v>
      </c>
      <c r="H231" s="105"/>
      <c r="I231" s="105"/>
      <c r="J231" s="106"/>
      <c r="K231" s="99"/>
      <c r="L231" s="36"/>
      <c r="O231" s="84"/>
    </row>
    <row r="232" spans="1:18" s="84" customFormat="1" ht="12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M232" s="6"/>
      <c r="N232" s="6"/>
      <c r="O232" s="6"/>
      <c r="P232" s="6"/>
      <c r="Q232" s="6"/>
      <c r="R232" s="6"/>
    </row>
    <row r="233" spans="1:11" ht="12.75">
      <c r="A233" s="99"/>
      <c r="B233" s="142" t="s">
        <v>129</v>
      </c>
      <c r="C233" s="142"/>
      <c r="D233" s="142"/>
      <c r="E233" s="142"/>
      <c r="F233" s="142"/>
      <c r="G233" s="142"/>
      <c r="H233" s="142"/>
      <c r="I233" s="143" t="s">
        <v>130</v>
      </c>
      <c r="J233" s="143"/>
      <c r="K233" s="99"/>
    </row>
    <row r="234" spans="1:11" ht="12.75">
      <c r="A234" s="99"/>
      <c r="B234" s="89"/>
      <c r="C234" s="90"/>
      <c r="D234" s="91" t="s">
        <v>61</v>
      </c>
      <c r="E234" s="91"/>
      <c r="F234" s="92" t="s">
        <v>3</v>
      </c>
      <c r="G234" s="91" t="s">
        <v>4</v>
      </c>
      <c r="H234" s="93" t="s">
        <v>5</v>
      </c>
      <c r="I234" s="93" t="s">
        <v>6</v>
      </c>
      <c r="J234" s="94" t="s">
        <v>7</v>
      </c>
      <c r="K234" s="99"/>
    </row>
    <row r="235" spans="1:15" ht="12.75">
      <c r="A235" s="99"/>
      <c r="B235" s="89" t="s">
        <v>131</v>
      </c>
      <c r="C235" s="95"/>
      <c r="D235" s="99">
        <v>14.2</v>
      </c>
      <c r="E235" s="91"/>
      <c r="F235" s="97">
        <f>D235/$D$239*$F$239+2</f>
        <v>79.20520547945205</v>
      </c>
      <c r="G235" s="97">
        <f>F235*31.26</f>
        <v>2475.954723287671</v>
      </c>
      <c r="H235" s="97"/>
      <c r="I235" s="97"/>
      <c r="J235" s="98"/>
      <c r="K235" s="99"/>
      <c r="O235" s="84"/>
    </row>
    <row r="236" spans="1:11" ht="12.75">
      <c r="A236" s="99"/>
      <c r="B236" s="89" t="s">
        <v>132</v>
      </c>
      <c r="C236" s="95"/>
      <c r="D236" s="96">
        <v>5.8</v>
      </c>
      <c r="E236" s="91"/>
      <c r="F236" s="97">
        <f>D236/$D$239*$F$239+2</f>
        <v>33.534520547945206</v>
      </c>
      <c r="G236" s="97">
        <f>F236*31.26</f>
        <v>1048.2891123287673</v>
      </c>
      <c r="H236" s="97"/>
      <c r="I236" s="97"/>
      <c r="J236" s="98"/>
      <c r="K236" s="99"/>
    </row>
    <row r="237" spans="1:11" ht="12.75">
      <c r="A237" s="99"/>
      <c r="B237" s="89">
        <f>Заказы!A125</f>
        <v>0</v>
      </c>
      <c r="C237" s="95">
        <f>Заказы!A126</f>
        <v>0</v>
      </c>
      <c r="D237" s="96">
        <v>6.2</v>
      </c>
      <c r="E237" s="91"/>
      <c r="F237" s="97">
        <f>D237/$D$239*$F$239+1</f>
        <v>34.709315068493154</v>
      </c>
      <c r="G237" s="97">
        <f>F237*31.26</f>
        <v>1085.013189041096</v>
      </c>
      <c r="H237" s="97">
        <f>Заказы!N130</f>
        <v>176.69999999999982</v>
      </c>
      <c r="I237" s="97">
        <f>902+6</f>
        <v>908</v>
      </c>
      <c r="J237" s="98">
        <f>I237-G237+H237</f>
        <v>-0.31318904109616597</v>
      </c>
      <c r="K237" s="99"/>
    </row>
    <row r="238" spans="1:11" ht="12.75">
      <c r="A238" s="99"/>
      <c r="B238" s="89">
        <f>Заказы!A131</f>
        <v>0</v>
      </c>
      <c r="C238" s="95">
        <f>Заказы!A132</f>
        <v>0</v>
      </c>
      <c r="D238" s="96">
        <v>3</v>
      </c>
      <c r="E238" s="91"/>
      <c r="F238" s="97">
        <f>D238/$D$239*$F$239+1</f>
        <v>17.31095890410959</v>
      </c>
      <c r="G238" s="97">
        <f>F238*31.26</f>
        <v>541.1405753424658</v>
      </c>
      <c r="H238" s="97">
        <f>Заказы!N135</f>
        <v>189.01999999999998</v>
      </c>
      <c r="I238" s="97">
        <v>333</v>
      </c>
      <c r="J238" s="98">
        <f>I238-Заказы!Q407+Заказы!R407+19</f>
        <v>352</v>
      </c>
      <c r="K238" s="99"/>
    </row>
    <row r="239" spans="1:12" s="1" customFormat="1" ht="12.75">
      <c r="A239" s="99"/>
      <c r="B239" s="100"/>
      <c r="C239" s="101"/>
      <c r="D239" s="102">
        <f>SUM(D235:D238)</f>
        <v>29.2</v>
      </c>
      <c r="E239" s="102"/>
      <c r="F239" s="145">
        <f>164.76-6</f>
        <v>158.76</v>
      </c>
      <c r="G239" s="104">
        <f>104.42+5045.98</f>
        <v>5150.4</v>
      </c>
      <c r="H239" s="105"/>
      <c r="I239" s="105"/>
      <c r="J239" s="106"/>
      <c r="K239" s="99"/>
      <c r="L239" s="5"/>
    </row>
    <row r="240" spans="1:11" ht="12.7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1:11" ht="12.75">
      <c r="A241" s="99"/>
      <c r="B241" s="107" t="s">
        <v>133</v>
      </c>
      <c r="C241" s="107"/>
      <c r="D241" s="107"/>
      <c r="E241" s="107"/>
      <c r="F241" s="107"/>
      <c r="G241" s="107"/>
      <c r="H241" s="107"/>
      <c r="I241" s="63" t="s">
        <v>134</v>
      </c>
      <c r="J241" s="63"/>
      <c r="K241" s="99"/>
    </row>
    <row r="242" spans="1:11" ht="12.75">
      <c r="A242" s="99"/>
      <c r="B242" s="89"/>
      <c r="C242" s="90"/>
      <c r="D242" s="91" t="s">
        <v>61</v>
      </c>
      <c r="E242" s="91"/>
      <c r="F242" s="92" t="s">
        <v>3</v>
      </c>
      <c r="G242" s="91" t="s">
        <v>4</v>
      </c>
      <c r="H242" s="93" t="s">
        <v>5</v>
      </c>
      <c r="I242" s="93" t="s">
        <v>6</v>
      </c>
      <c r="J242" s="94" t="s">
        <v>7</v>
      </c>
      <c r="K242" s="99"/>
    </row>
    <row r="243" spans="1:11" ht="12.75">
      <c r="A243" s="99"/>
      <c r="B243" s="89" t="s">
        <v>131</v>
      </c>
      <c r="C243" s="95"/>
      <c r="D243" s="96">
        <f>6.4+12.5</f>
        <v>18.9</v>
      </c>
      <c r="E243" s="91"/>
      <c r="F243" s="97">
        <f>D243/$D$245*$F$245+2</f>
        <v>112.97934615384614</v>
      </c>
      <c r="G243" s="97">
        <f>D243/$D$245*$G$245</f>
        <v>3594.1403076923075</v>
      </c>
      <c r="H243" s="97"/>
      <c r="I243" s="97"/>
      <c r="J243" s="98"/>
      <c r="K243" s="99"/>
    </row>
    <row r="244" spans="1:11" ht="12.75">
      <c r="A244" s="99"/>
      <c r="B244" s="89">
        <f>Заказы!A146</f>
        <v>0</v>
      </c>
      <c r="C244" s="95">
        <f>Заказы!A147</f>
        <v>0</v>
      </c>
      <c r="D244" s="96">
        <v>7.1</v>
      </c>
      <c r="E244" s="91"/>
      <c r="F244" s="97">
        <f>D244/$D$245*$F$245+2</f>
        <v>43.690653846153836</v>
      </c>
      <c r="G244" s="97">
        <f>D244/$D$245*$G$245</f>
        <v>1350.179692307692</v>
      </c>
      <c r="H244" s="97">
        <f>Заказы!N154</f>
        <v>238.30000000000018</v>
      </c>
      <c r="I244" s="97">
        <v>1124</v>
      </c>
      <c r="J244" s="98">
        <f>I244-G244+H244</f>
        <v>12.120307692308188</v>
      </c>
      <c r="K244" s="99"/>
    </row>
    <row r="245" spans="1:11" ht="12.75">
      <c r="A245" s="99"/>
      <c r="B245" s="100"/>
      <c r="C245" s="101"/>
      <c r="D245" s="102">
        <f>SUM(D243:D244)</f>
        <v>26</v>
      </c>
      <c r="E245" s="102"/>
      <c r="F245" s="110">
        <f>158.67-6</f>
        <v>152.67</v>
      </c>
      <c r="G245" s="102">
        <v>4944.32</v>
      </c>
      <c r="H245" s="105"/>
      <c r="I245" s="105"/>
      <c r="J245" s="106"/>
      <c r="K245" s="99"/>
    </row>
    <row r="246" spans="1:12" ht="12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1"/>
    </row>
    <row r="247" spans="1:11" ht="12.75">
      <c r="A247" s="99"/>
      <c r="B247" s="146" t="s">
        <v>135</v>
      </c>
      <c r="C247" s="146"/>
      <c r="D247" s="146"/>
      <c r="E247" s="146"/>
      <c r="F247" s="146"/>
      <c r="G247" s="146"/>
      <c r="H247" s="146"/>
      <c r="I247" s="147" t="s">
        <v>136</v>
      </c>
      <c r="J247" s="147"/>
      <c r="K247" s="99"/>
    </row>
    <row r="248" spans="1:11" ht="12.75">
      <c r="A248" s="99"/>
      <c r="B248" s="89"/>
      <c r="C248" s="90"/>
      <c r="D248" s="91" t="s">
        <v>61</v>
      </c>
      <c r="E248" s="91"/>
      <c r="F248" s="92" t="s">
        <v>3</v>
      </c>
      <c r="G248" s="91" t="s">
        <v>4</v>
      </c>
      <c r="H248" s="93" t="s">
        <v>5</v>
      </c>
      <c r="I248" s="93" t="s">
        <v>6</v>
      </c>
      <c r="J248" s="94" t="s">
        <v>7</v>
      </c>
      <c r="K248" s="99"/>
    </row>
    <row r="249" spans="1:11" ht="12.75">
      <c r="A249" s="99"/>
      <c r="B249" s="89">
        <f>Заказы!A111</f>
        <v>0</v>
      </c>
      <c r="C249" s="95">
        <f>Заказы!A112</f>
        <v>0</v>
      </c>
      <c r="D249" s="99">
        <v>4.6</v>
      </c>
      <c r="E249" s="91"/>
      <c r="F249" s="97">
        <f>D249/$D$257*$F$257+2</f>
        <v>27.261942446043165</v>
      </c>
      <c r="G249" s="97">
        <f>D249/$D$257*$G$257</f>
        <v>866.7922302158273</v>
      </c>
      <c r="H249" s="97">
        <f>Заказы!N119</f>
        <v>68.98000000000002</v>
      </c>
      <c r="I249" s="97">
        <v>800</v>
      </c>
      <c r="J249" s="98">
        <f>I249-G249+H249</f>
        <v>2.1877697841727013</v>
      </c>
      <c r="K249" s="99"/>
    </row>
    <row r="250" spans="1:11" ht="12.75">
      <c r="A250" s="99"/>
      <c r="B250" s="89">
        <f>Заказы!A93</f>
        <v>0</v>
      </c>
      <c r="C250" s="95">
        <f>Заказы!A94</f>
        <v>0</v>
      </c>
      <c r="D250" s="96">
        <v>5.6</v>
      </c>
      <c r="E250" s="91"/>
      <c r="F250" s="97">
        <f>D250/$D$257*$F$257+2</f>
        <v>32.753669064748195</v>
      </c>
      <c r="G250" s="97">
        <f>D250/$D$257*$G$257</f>
        <v>1055.225323741007</v>
      </c>
      <c r="H250" s="97"/>
      <c r="I250" s="97"/>
      <c r="J250" s="98"/>
      <c r="K250" s="99"/>
    </row>
    <row r="251" spans="1:11" ht="12.75">
      <c r="A251" s="99"/>
      <c r="B251" s="89">
        <f>Заказы!A93</f>
        <v>0</v>
      </c>
      <c r="C251" s="95">
        <f>Заказы!A95</f>
        <v>0</v>
      </c>
      <c r="D251" s="96">
        <v>2.8</v>
      </c>
      <c r="E251" s="91"/>
      <c r="F251" s="97">
        <f>D251/$D$257*$F$257+2</f>
        <v>17.376834532374097</v>
      </c>
      <c r="G251" s="97">
        <f>D251/$D$257*$G$257</f>
        <v>527.6126618705035</v>
      </c>
      <c r="H251" s="97">
        <f>Заказы!N100</f>
        <v>378.1100000000006</v>
      </c>
      <c r="I251" s="97">
        <v>827</v>
      </c>
      <c r="J251" s="98">
        <f>I251-G251-G250+H251+H251</f>
        <v>0.3820143884905747</v>
      </c>
      <c r="K251" s="99"/>
    </row>
    <row r="252" spans="1:11" ht="12.75">
      <c r="A252" s="99"/>
      <c r="B252" s="89">
        <f>Заказы!A101</f>
        <v>0</v>
      </c>
      <c r="C252" s="95">
        <f>Заказы!A102</f>
        <v>0</v>
      </c>
      <c r="D252" s="96">
        <v>3.1</v>
      </c>
      <c r="E252" s="91"/>
      <c r="F252" s="97">
        <f>D252/$D$257*$F$257+1</f>
        <v>18.024352517985612</v>
      </c>
      <c r="G252" s="97">
        <f>D252/$D$257*$G$257</f>
        <v>584.1425899280575</v>
      </c>
      <c r="H252" s="97">
        <f>Заказы!N105</f>
        <v>146.90999999999985</v>
      </c>
      <c r="I252" s="97">
        <v>437</v>
      </c>
      <c r="J252" s="98">
        <f>I252-G252+H252</f>
        <v>-0.23258992805767775</v>
      </c>
      <c r="K252" s="99"/>
    </row>
    <row r="253" spans="1:11" ht="12.75">
      <c r="A253" s="99"/>
      <c r="B253" s="89">
        <f>Заказы!A106</f>
        <v>0</v>
      </c>
      <c r="C253" s="95">
        <f>Заказы!A107</f>
        <v>0</v>
      </c>
      <c r="D253" s="96">
        <v>3.1</v>
      </c>
      <c r="E253" s="91"/>
      <c r="F253" s="97">
        <f>D253/$D$257*$F$257+1</f>
        <v>18.024352517985612</v>
      </c>
      <c r="G253" s="97">
        <f>D253/$D$257*$G$257</f>
        <v>584.1425899280575</v>
      </c>
      <c r="H253" s="97">
        <f>Заказы!N110</f>
        <v>170.90999999999985</v>
      </c>
      <c r="I253" s="97">
        <v>413</v>
      </c>
      <c r="J253" s="98">
        <f>I253-G253+H253</f>
        <v>-0.23258992805767775</v>
      </c>
      <c r="K253" s="99"/>
    </row>
    <row r="254" spans="1:18" ht="12.75">
      <c r="A254" s="99"/>
      <c r="B254" s="89">
        <f>Заказы!A136</f>
        <v>0</v>
      </c>
      <c r="C254" s="95">
        <f>Заказы!A137</f>
        <v>0</v>
      </c>
      <c r="D254" s="96">
        <v>1.4</v>
      </c>
      <c r="E254" s="91"/>
      <c r="F254" s="97">
        <f>D254/$D$257*$F$257+2</f>
        <v>9.688417266187049</v>
      </c>
      <c r="G254" s="97">
        <f>D254/$D$257*$G$257</f>
        <v>263.80633093525176</v>
      </c>
      <c r="H254" s="97">
        <f>Заказы!N140</f>
        <v>1917.09</v>
      </c>
      <c r="I254" s="97">
        <v>-1653</v>
      </c>
      <c r="J254" s="98">
        <f>I254-G254+H254</f>
        <v>0.2836690647482101</v>
      </c>
      <c r="K254" s="99"/>
      <c r="O254" s="6"/>
      <c r="P254" s="6"/>
      <c r="Q254" s="6"/>
      <c r="R254" s="6"/>
    </row>
    <row r="255" spans="1:18" ht="12.75">
      <c r="A255" s="99"/>
      <c r="B255" s="89">
        <f>Заказы!A120</f>
        <v>0</v>
      </c>
      <c r="C255" s="95">
        <f>Заказы!A121</f>
        <v>0</v>
      </c>
      <c r="D255" s="97">
        <v>2</v>
      </c>
      <c r="E255" s="91"/>
      <c r="F255" s="97">
        <f>D255/$D$257*$F$257+2</f>
        <v>12.983453237410073</v>
      </c>
      <c r="G255" s="97">
        <f>D255/$D$257*$G$257</f>
        <v>376.8661870503597</v>
      </c>
      <c r="H255" s="97">
        <f>Заказы!N124</f>
        <v>-5.970000000000027</v>
      </c>
      <c r="I255" s="97">
        <v>383</v>
      </c>
      <c r="J255" s="98">
        <f>I255-G255+H255</f>
        <v>0.16381294964025983</v>
      </c>
      <c r="K255" s="99"/>
      <c r="O255" s="6"/>
      <c r="P255" s="6"/>
      <c r="Q255" s="6"/>
      <c r="R255" s="6"/>
    </row>
    <row r="256" spans="1:18" ht="12.75">
      <c r="A256" s="99"/>
      <c r="B256" s="89" t="s">
        <v>22</v>
      </c>
      <c r="C256" s="90"/>
      <c r="D256" s="96">
        <f>5.2</f>
        <v>5.2</v>
      </c>
      <c r="E256" s="91"/>
      <c r="F256" s="97">
        <f>D256/$D$257*$F$257+2</f>
        <v>30.55697841726619</v>
      </c>
      <c r="G256" s="97">
        <f>D256/$D$257*$G$257</f>
        <v>979.8520863309353</v>
      </c>
      <c r="H256" s="99"/>
      <c r="I256" s="97"/>
      <c r="J256" s="98"/>
      <c r="K256" s="99"/>
      <c r="O256" s="6"/>
      <c r="P256" s="6"/>
      <c r="Q256" s="6"/>
      <c r="R256" s="6"/>
    </row>
    <row r="257" spans="1:18" ht="12.75">
      <c r="A257" s="99"/>
      <c r="B257" s="100"/>
      <c r="C257" s="101"/>
      <c r="D257" s="102">
        <f>SUM(D249:D256)</f>
        <v>27.799999999999997</v>
      </c>
      <c r="E257" s="102"/>
      <c r="F257" s="148">
        <f>166.67-14</f>
        <v>152.67</v>
      </c>
      <c r="G257" s="102">
        <v>5238.44</v>
      </c>
      <c r="H257" s="105"/>
      <c r="I257" s="105"/>
      <c r="J257" s="106"/>
      <c r="K257" s="99"/>
      <c r="O257" s="6"/>
      <c r="P257" s="6"/>
      <c r="Q257" s="6"/>
      <c r="R257" s="6"/>
    </row>
    <row r="258" spans="1:18" s="84" customFormat="1" ht="12.75">
      <c r="A258" s="99"/>
      <c r="B258" s="149"/>
      <c r="C258" s="149"/>
      <c r="D258" s="149"/>
      <c r="E258" s="149"/>
      <c r="F258" s="149"/>
      <c r="G258" s="149"/>
      <c r="H258" s="149"/>
      <c r="I258" s="149"/>
      <c r="J258" s="149"/>
      <c r="K258" s="99"/>
      <c r="M258" s="6"/>
      <c r="N258" s="6"/>
      <c r="O258" s="6"/>
      <c r="P258" s="6"/>
      <c r="Q258" s="6"/>
      <c r="R258" s="6"/>
    </row>
    <row r="259" spans="1:18" ht="12.75">
      <c r="A259" s="99"/>
      <c r="B259" s="150" t="s">
        <v>137</v>
      </c>
      <c r="C259" s="150"/>
      <c r="D259" s="150"/>
      <c r="E259" s="150"/>
      <c r="F259" s="150"/>
      <c r="G259" s="150"/>
      <c r="H259" s="150"/>
      <c r="I259" s="150"/>
      <c r="J259" s="150"/>
      <c r="K259" s="99"/>
      <c r="L259" s="86"/>
      <c r="O259" s="6"/>
      <c r="P259" s="6"/>
      <c r="Q259" s="6"/>
      <c r="R259" s="6"/>
    </row>
    <row r="260" spans="1:14" ht="12.75">
      <c r="A260" s="99"/>
      <c r="B260" s="151"/>
      <c r="C260" s="152"/>
      <c r="D260" s="153" t="s">
        <v>61</v>
      </c>
      <c r="E260" s="153"/>
      <c r="F260" s="154" t="s">
        <v>3</v>
      </c>
      <c r="G260" s="153" t="s">
        <v>4</v>
      </c>
      <c r="H260" s="155" t="s">
        <v>5</v>
      </c>
      <c r="I260" s="155" t="s">
        <v>6</v>
      </c>
      <c r="J260" s="156" t="s">
        <v>7</v>
      </c>
      <c r="K260" s="86"/>
      <c r="L260" s="157"/>
      <c r="M260" s="108"/>
      <c r="N260" s="3"/>
    </row>
    <row r="261" spans="2:14" ht="12.75">
      <c r="B261" s="151" t="s">
        <v>138</v>
      </c>
      <c r="C261" s="158"/>
      <c r="D261" s="86">
        <v>13.9</v>
      </c>
      <c r="E261" s="153"/>
      <c r="F261" s="159">
        <f>D266/$D$269*$F$269+2</f>
        <v>31.477874251497006</v>
      </c>
      <c r="G261" s="159">
        <f>D266/$D$269*$G$269</f>
        <v>1019.26751497006</v>
      </c>
      <c r="H261" s="159"/>
      <c r="I261" s="159"/>
      <c r="J261" s="160"/>
      <c r="K261" s="86"/>
      <c r="L261" s="157"/>
      <c r="N261" s="3"/>
    </row>
    <row r="262" spans="2:15" ht="12.75">
      <c r="B262" s="151">
        <f>Заказы!A82</f>
        <v>0</v>
      </c>
      <c r="C262" s="158">
        <f>Заказы!A83</f>
        <v>0</v>
      </c>
      <c r="D262" s="161">
        <v>3.3</v>
      </c>
      <c r="E262" s="153"/>
      <c r="F262" s="159">
        <f>D262/$D$269*$F$269+2</f>
        <v>19.0661377245509</v>
      </c>
      <c r="G262" s="159">
        <f>D262/$D$269*$G$269</f>
        <v>590.102245508982</v>
      </c>
      <c r="H262" s="159">
        <f>Заказы!N86</f>
        <v>0</v>
      </c>
      <c r="I262" s="159">
        <f>583+7</f>
        <v>590</v>
      </c>
      <c r="J262" s="160">
        <f>I262-G262+H262</f>
        <v>-0.10224550898203688</v>
      </c>
      <c r="K262" s="86"/>
      <c r="L262" s="157"/>
      <c r="M262" s="162"/>
      <c r="N262" s="108"/>
      <c r="O262" s="116"/>
    </row>
    <row r="263" spans="2:16" ht="12.75">
      <c r="B263" s="151">
        <f>Заказы!A77</f>
        <v>0</v>
      </c>
      <c r="C263" s="158">
        <f>Заказы!A78</f>
        <v>0</v>
      </c>
      <c r="D263" s="161">
        <v>0.6000000000000001</v>
      </c>
      <c r="E263" s="153"/>
      <c r="F263" s="159">
        <f>D263/$D$269*$F$269+2</f>
        <v>5.102934131736527</v>
      </c>
      <c r="G263" s="159">
        <f>D263/$D$269*$G$269</f>
        <v>107.29131736526948</v>
      </c>
      <c r="H263" s="159">
        <f>Заказы!N81</f>
        <v>276.40999999999997</v>
      </c>
      <c r="I263" s="159"/>
      <c r="J263" s="160">
        <f>I263-G263+H263</f>
        <v>169.11868263473048</v>
      </c>
      <c r="K263" s="86"/>
      <c r="L263" s="157"/>
      <c r="M263" s="108"/>
      <c r="N263" s="108"/>
      <c r="O263" s="116"/>
      <c r="P263" s="116"/>
    </row>
    <row r="264" spans="2:17" ht="12.75">
      <c r="B264" s="151">
        <f>Заказы!A70</f>
        <v>0</v>
      </c>
      <c r="C264" s="158">
        <f>Заказы!A72</f>
        <v>0</v>
      </c>
      <c r="D264" s="161">
        <v>3.4</v>
      </c>
      <c r="E264" s="153"/>
      <c r="F264" s="159">
        <f>D264/$D$269*$F$269+2</f>
        <v>19.583293413173653</v>
      </c>
      <c r="G264" s="159">
        <f>D264/$D$269*$G$269</f>
        <v>607.9841317365269</v>
      </c>
      <c r="H264" s="163" t="s">
        <v>139</v>
      </c>
      <c r="I264" s="163" t="s">
        <v>139</v>
      </c>
      <c r="J264" s="164" t="s">
        <v>139</v>
      </c>
      <c r="K264" s="86"/>
      <c r="L264" s="157"/>
      <c r="M264" s="165"/>
      <c r="N264" s="165"/>
      <c r="O264" s="165"/>
      <c r="P264" s="165"/>
      <c r="Q264" s="165"/>
    </row>
    <row r="265" spans="2:16" ht="12.75">
      <c r="B265" s="151">
        <f>Заказы!A70</f>
        <v>0</v>
      </c>
      <c r="C265" s="158">
        <f>Заказы!A71</f>
        <v>0</v>
      </c>
      <c r="D265" s="161">
        <v>0.5</v>
      </c>
      <c r="E265" s="153"/>
      <c r="F265" s="159">
        <f>D265/$D$269*$F$269+2</f>
        <v>4.585778443113773</v>
      </c>
      <c r="G265" s="159">
        <f>D265/$D$269*$G$269</f>
        <v>89.40943113772455</v>
      </c>
      <c r="H265" s="159">
        <f>Заказы!N76</f>
        <v>314.08000000000015</v>
      </c>
      <c r="I265" s="159">
        <v>383</v>
      </c>
      <c r="J265" s="160">
        <f>I265-G265-G264+H265</f>
        <v>-0.3135628742513177</v>
      </c>
      <c r="K265" s="86"/>
      <c r="L265" s="157"/>
      <c r="M265" s="108"/>
      <c r="N265" s="162"/>
      <c r="O265" s="116"/>
      <c r="P265" s="116"/>
    </row>
    <row r="266" spans="2:16" ht="12.75">
      <c r="B266" s="151">
        <f>Заказы!A65</f>
        <v>0</v>
      </c>
      <c r="C266" s="158">
        <f>Заказы!A66</f>
        <v>0</v>
      </c>
      <c r="D266" s="161">
        <v>5.7</v>
      </c>
      <c r="E266" s="153"/>
      <c r="F266" s="159">
        <f>D266/$D$269*$F$269+2</f>
        <v>31.477874251497006</v>
      </c>
      <c r="G266" s="159">
        <f>D266/$D$269*$G$269</f>
        <v>1019.26751497006</v>
      </c>
      <c r="H266" s="159">
        <f>Заказы!N69</f>
        <v>385.54999999999995</v>
      </c>
      <c r="I266" s="159">
        <v>634</v>
      </c>
      <c r="J266" s="160">
        <f>I266-G266+H266</f>
        <v>0.2824850299399486</v>
      </c>
      <c r="K266" s="86"/>
      <c r="L266" s="166"/>
      <c r="M266" s="108"/>
      <c r="N266" s="108"/>
      <c r="O266" s="116"/>
      <c r="P266" s="116"/>
    </row>
    <row r="267" spans="2:17" ht="12.75">
      <c r="B267" s="151" t="s">
        <v>140</v>
      </c>
      <c r="C267" s="158" t="s">
        <v>141</v>
      </c>
      <c r="D267" s="86">
        <v>3.3</v>
      </c>
      <c r="E267" s="153"/>
      <c r="F267" s="159">
        <f>D266/$D$269*$F$269+2</f>
        <v>31.477874251497006</v>
      </c>
      <c r="G267" s="159">
        <f>D266/$D$269*$G$269</f>
        <v>1019.26751497006</v>
      </c>
      <c r="H267" s="86">
        <v>-9.45</v>
      </c>
      <c r="I267" s="159">
        <v>1029</v>
      </c>
      <c r="J267" s="160">
        <f>I267-G267+H267</f>
        <v>0.2824850299399948</v>
      </c>
      <c r="K267" s="86"/>
      <c r="L267" s="167"/>
      <c r="M267" s="165"/>
      <c r="N267" s="165"/>
      <c r="O267" s="165"/>
      <c r="P267" s="165"/>
      <c r="Q267" s="165"/>
    </row>
    <row r="268" spans="2:16" ht="12.75">
      <c r="B268" s="151" t="s">
        <v>22</v>
      </c>
      <c r="C268" s="152"/>
      <c r="D268" s="161">
        <f>1+1.7</f>
        <v>2.7</v>
      </c>
      <c r="E268" s="153"/>
      <c r="F268" s="159">
        <f>D268/$D$269*$F$269+4</f>
        <v>17.963203592814374</v>
      </c>
      <c r="G268" s="159">
        <f>D268/$D$269*$G$269</f>
        <v>482.81092814371266</v>
      </c>
      <c r="H268" s="86"/>
      <c r="I268" s="159"/>
      <c r="J268" s="160"/>
      <c r="K268" s="86"/>
      <c r="L268" s="166"/>
      <c r="M268" s="108"/>
      <c r="N268" s="162"/>
      <c r="O268" s="116"/>
      <c r="P268" s="116"/>
    </row>
    <row r="269" spans="2:16" ht="12.75">
      <c r="B269" s="168"/>
      <c r="C269" s="169"/>
      <c r="D269" s="170">
        <f>SUM(D261:D268)</f>
        <v>33.4</v>
      </c>
      <c r="E269" s="170"/>
      <c r="F269" s="171">
        <f>190.73-18</f>
        <v>172.73</v>
      </c>
      <c r="G269" s="170">
        <v>5972.55</v>
      </c>
      <c r="H269" s="172"/>
      <c r="I269" s="172"/>
      <c r="J269" s="173"/>
      <c r="K269" s="86"/>
      <c r="L269" s="174"/>
      <c r="M269" s="108"/>
      <c r="N269" s="108"/>
      <c r="O269" s="116"/>
      <c r="P269" s="175"/>
    </row>
    <row r="270" spans="2:12" ht="12.75">
      <c r="B270" s="176"/>
      <c r="C270" s="152"/>
      <c r="D270" s="153"/>
      <c r="E270" s="153"/>
      <c r="F270" s="154"/>
      <c r="G270" s="153"/>
      <c r="H270" s="155"/>
      <c r="I270" s="86"/>
      <c r="J270" s="157"/>
      <c r="K270" s="157"/>
      <c r="L270" s="86"/>
    </row>
    <row r="271" spans="2:12" ht="12.75">
      <c r="B271" s="177" t="s">
        <v>142</v>
      </c>
      <c r="C271" s="177"/>
      <c r="D271" s="177"/>
      <c r="E271" s="177"/>
      <c r="F271" s="177"/>
      <c r="G271" s="177"/>
      <c r="H271" s="177"/>
      <c r="I271" s="177"/>
      <c r="J271" s="177"/>
      <c r="K271" s="157"/>
      <c r="L271" s="86"/>
    </row>
    <row r="272" spans="2:14" ht="12.75">
      <c r="B272" s="151"/>
      <c r="C272" s="152"/>
      <c r="D272" s="153" t="s">
        <v>61</v>
      </c>
      <c r="E272" s="153"/>
      <c r="F272" s="154" t="s">
        <v>3</v>
      </c>
      <c r="G272" s="153" t="s">
        <v>4</v>
      </c>
      <c r="H272" s="155" t="s">
        <v>5</v>
      </c>
      <c r="I272" s="155" t="s">
        <v>6</v>
      </c>
      <c r="J272" s="156" t="s">
        <v>7</v>
      </c>
      <c r="K272" s="157"/>
      <c r="L272" s="157"/>
      <c r="M272" s="108"/>
      <c r="N272" s="3"/>
    </row>
    <row r="273" spans="2:14" ht="12.75">
      <c r="B273" s="151" t="s">
        <v>143</v>
      </c>
      <c r="C273" s="152"/>
      <c r="D273" s="161">
        <f>3+4+3.7</f>
        <v>10.7</v>
      </c>
      <c r="E273" s="153"/>
      <c r="F273" s="159">
        <f>D273/$D$281*$F$281+6</f>
        <v>64.21458461538461</v>
      </c>
      <c r="G273" s="159">
        <f>D273/$D$281*$G$281</f>
        <v>2073.7324307692306</v>
      </c>
      <c r="H273" s="159"/>
      <c r="I273" s="159"/>
      <c r="J273" s="160"/>
      <c r="K273" s="86"/>
      <c r="L273" s="157"/>
      <c r="N273" s="3"/>
    </row>
    <row r="274" spans="2:14" ht="12.75">
      <c r="B274" s="151" t="s">
        <v>138</v>
      </c>
      <c r="C274" s="152"/>
      <c r="D274" s="161">
        <v>2.4</v>
      </c>
      <c r="E274" s="153"/>
      <c r="F274" s="159">
        <f>D274/$D$281*$F$281+2</f>
        <v>15.057476923076921</v>
      </c>
      <c r="G274" s="159">
        <f>D274/$D$281*$G$281</f>
        <v>465.1362461538461</v>
      </c>
      <c r="H274" s="159"/>
      <c r="I274" s="159"/>
      <c r="J274" s="160"/>
      <c r="K274" s="86"/>
      <c r="L274" s="157"/>
      <c r="N274" s="3"/>
    </row>
    <row r="275" spans="2:14" ht="12.75">
      <c r="B275" s="151" t="s">
        <v>131</v>
      </c>
      <c r="C275" s="152"/>
      <c r="D275" s="161">
        <v>7.3</v>
      </c>
      <c r="E275" s="153"/>
      <c r="F275" s="159">
        <f>D275/$D$281*$F$281+2</f>
        <v>41.716492307692306</v>
      </c>
      <c r="G275" s="159">
        <f>D275/$D$281*$G$281</f>
        <v>1414.7894153846153</v>
      </c>
      <c r="H275" s="159"/>
      <c r="I275" s="159"/>
      <c r="J275" s="160"/>
      <c r="K275" s="86"/>
      <c r="L275" s="157"/>
      <c r="N275" s="3"/>
    </row>
    <row r="276" spans="2:15" ht="12.75">
      <c r="B276" s="151" t="s">
        <v>144</v>
      </c>
      <c r="C276" s="152" t="s">
        <v>145</v>
      </c>
      <c r="D276" s="161">
        <v>3.3</v>
      </c>
      <c r="E276" s="153"/>
      <c r="F276" s="159">
        <f>D276/$D$281*$F$281+2</f>
        <v>19.95403076923077</v>
      </c>
      <c r="G276" s="159">
        <f>D276/$D$281*$G$281</f>
        <v>639.5623384615385</v>
      </c>
      <c r="H276" s="159">
        <f>Заказы!N59</f>
        <v>-17.710000000000036</v>
      </c>
      <c r="I276" s="159">
        <v>657</v>
      </c>
      <c r="J276" s="160">
        <f>I276-G276+H276</f>
        <v>-0.27233846153853847</v>
      </c>
      <c r="K276" s="86"/>
      <c r="L276" s="157"/>
      <c r="M276" s="162"/>
      <c r="N276" s="108"/>
      <c r="O276" s="116"/>
    </row>
    <row r="277" spans="2:16" ht="12.75">
      <c r="B277" s="151" t="s">
        <v>90</v>
      </c>
      <c r="C277" s="152" t="s">
        <v>145</v>
      </c>
      <c r="D277" s="161">
        <v>2.5</v>
      </c>
      <c r="E277" s="153"/>
      <c r="F277" s="159">
        <f>D277/$D$281*$F$281+2</f>
        <v>15.601538461538462</v>
      </c>
      <c r="G277" s="159">
        <f>D277/$D$281*$G$281</f>
        <v>484.51692307692315</v>
      </c>
      <c r="H277" s="159">
        <f>Заказы!N64</f>
        <v>-2.0599999999999454</v>
      </c>
      <c r="I277" s="159">
        <v>487</v>
      </c>
      <c r="J277" s="160">
        <f>I277-G277+H277</f>
        <v>0.4230769230769056</v>
      </c>
      <c r="K277" s="86"/>
      <c r="L277" s="157"/>
      <c r="M277" s="108"/>
      <c r="N277" s="108"/>
      <c r="O277" s="116"/>
      <c r="P277" s="116"/>
    </row>
    <row r="278" spans="2:17" ht="12.75">
      <c r="B278" s="151" t="s">
        <v>146</v>
      </c>
      <c r="C278" s="152" t="s">
        <v>147</v>
      </c>
      <c r="D278" s="161">
        <v>3.5</v>
      </c>
      <c r="E278" s="153"/>
      <c r="F278" s="159">
        <f>D278/$D$281*$F$281+4</f>
        <v>23.042153846153848</v>
      </c>
      <c r="G278" s="159">
        <f>D278/$D$281*$G$281</f>
        <v>678.3236923076923</v>
      </c>
      <c r="H278" s="159">
        <f>Заказы!N53</f>
        <v>-112.96000000000004</v>
      </c>
      <c r="I278" s="159">
        <v>800</v>
      </c>
      <c r="J278" s="160">
        <f>I278-G278+H278</f>
        <v>8.716307692307623</v>
      </c>
      <c r="K278" s="86"/>
      <c r="L278" s="166"/>
      <c r="M278" s="165"/>
      <c r="N278" s="165"/>
      <c r="O278" s="165"/>
      <c r="P278" s="165"/>
      <c r="Q278" s="165"/>
    </row>
    <row r="279" spans="2:14" ht="12.75">
      <c r="B279" s="151" t="s">
        <v>148</v>
      </c>
      <c r="C279" s="152" t="s">
        <v>149</v>
      </c>
      <c r="D279" s="161">
        <v>1</v>
      </c>
      <c r="E279" s="153"/>
      <c r="F279" s="159">
        <f>D279/$D$281*$F$281+2</f>
        <v>7.440615384615385</v>
      </c>
      <c r="G279" s="159">
        <f>D279/$D$281*$G$281</f>
        <v>193.80676923076925</v>
      </c>
      <c r="H279" s="159">
        <f>K297</f>
        <v>-840.6173333333331</v>
      </c>
      <c r="I279" s="159">
        <f>831+203</f>
        <v>1034</v>
      </c>
      <c r="J279" s="160">
        <f>I279-G279+H279</f>
        <v>-0.42410256410244074</v>
      </c>
      <c r="K279" s="86"/>
      <c r="L279" s="166"/>
      <c r="N279" s="3"/>
    </row>
    <row r="280" spans="2:14" ht="12.75">
      <c r="B280" s="151" t="s">
        <v>22</v>
      </c>
      <c r="C280" s="152"/>
      <c r="D280" s="161">
        <f>1.4+0.4</f>
        <v>1.7999999999999998</v>
      </c>
      <c r="E280" s="153"/>
      <c r="F280" s="159">
        <f>D280/$D$281*$F$281+4</f>
        <v>13.793107692307691</v>
      </c>
      <c r="G280" s="159">
        <f>D280/$D$281*$G$281</f>
        <v>348.8521846153846</v>
      </c>
      <c r="H280" s="86"/>
      <c r="I280" s="159"/>
      <c r="J280" s="160"/>
      <c r="K280" s="86"/>
      <c r="L280" s="166"/>
      <c r="M280" s="178"/>
      <c r="N280" s="3"/>
    </row>
    <row r="281" spans="2:16" ht="12.75">
      <c r="B281" s="168"/>
      <c r="C281" s="169"/>
      <c r="D281" s="170">
        <f>SUM(D273:D280)</f>
        <v>32.5</v>
      </c>
      <c r="E281" s="170"/>
      <c r="F281" s="179">
        <f>200.82-24</f>
        <v>176.82</v>
      </c>
      <c r="G281" s="170">
        <v>6298.72</v>
      </c>
      <c r="H281" s="172"/>
      <c r="I281" s="172"/>
      <c r="J281" s="173"/>
      <c r="K281" s="86"/>
      <c r="L281" s="174"/>
      <c r="M281" s="180"/>
      <c r="N281" s="181"/>
      <c r="P281" s="60"/>
    </row>
    <row r="282" spans="2:12" ht="12.75">
      <c r="B282" s="176"/>
      <c r="C282" s="152"/>
      <c r="D282" s="153"/>
      <c r="E282" s="153"/>
      <c r="F282" s="154"/>
      <c r="G282" s="153"/>
      <c r="H282" s="155"/>
      <c r="I282" s="86"/>
      <c r="J282" s="157"/>
      <c r="K282" s="157"/>
      <c r="L282" s="86"/>
    </row>
    <row r="283" spans="2:12" ht="12.75">
      <c r="B283" s="182" t="s">
        <v>150</v>
      </c>
      <c r="C283" s="182"/>
      <c r="D283" s="182"/>
      <c r="E283" s="182"/>
      <c r="F283" s="182"/>
      <c r="G283" s="182"/>
      <c r="H283" s="182"/>
      <c r="I283" s="182"/>
      <c r="J283" s="182"/>
      <c r="K283" s="157"/>
      <c r="L283" s="86"/>
    </row>
    <row r="284" spans="2:14" ht="12.75">
      <c r="B284" s="151"/>
      <c r="C284" s="152"/>
      <c r="D284" s="153" t="s">
        <v>61</v>
      </c>
      <c r="E284" s="153"/>
      <c r="F284" s="154" t="s">
        <v>3</v>
      </c>
      <c r="G284" s="153" t="s">
        <v>4</v>
      </c>
      <c r="H284" s="155" t="s">
        <v>5</v>
      </c>
      <c r="I284" s="155" t="s">
        <v>6</v>
      </c>
      <c r="J284" s="156" t="s">
        <v>7</v>
      </c>
      <c r="K284" s="157"/>
      <c r="L284" s="157"/>
      <c r="M284" s="108"/>
      <c r="N284" s="3"/>
    </row>
    <row r="285" spans="2:14" ht="12.75">
      <c r="B285" s="151" t="s">
        <v>143</v>
      </c>
      <c r="C285" s="152"/>
      <c r="D285" s="161">
        <f>3.5+6.6+4.9+2.9</f>
        <v>17.9</v>
      </c>
      <c r="E285" s="153"/>
      <c r="F285" s="159">
        <f>D285/$D$289*$F$289+8</f>
        <v>98.48983443708607</v>
      </c>
      <c r="G285" s="159">
        <f>D285/$D$289*$G$289</f>
        <v>3103.516225165563</v>
      </c>
      <c r="H285" s="159"/>
      <c r="I285" s="159"/>
      <c r="J285" s="160"/>
      <c r="K285" s="86"/>
      <c r="L285" s="157"/>
      <c r="N285" s="3"/>
    </row>
    <row r="286" spans="2:17" ht="12.75">
      <c r="B286" s="151" t="s">
        <v>131</v>
      </c>
      <c r="C286" s="152"/>
      <c r="D286" s="161">
        <v>3.5</v>
      </c>
      <c r="E286" s="153"/>
      <c r="F286" s="159">
        <f>D286/$D$289*$F$289+2</f>
        <v>19.693543046357615</v>
      </c>
      <c r="G286" s="159">
        <f>D286/$D$289*$G$289</f>
        <v>606.8327814569537</v>
      </c>
      <c r="H286" s="159"/>
      <c r="I286" s="159"/>
      <c r="J286" s="160"/>
      <c r="K286" s="86"/>
      <c r="L286" s="157"/>
      <c r="N286" s="3"/>
      <c r="O286" s="60"/>
      <c r="P286" s="60"/>
      <c r="Q286" s="60"/>
    </row>
    <row r="287" spans="2:14" ht="12.75">
      <c r="B287" s="151" t="s">
        <v>151</v>
      </c>
      <c r="C287" s="152" t="s">
        <v>152</v>
      </c>
      <c r="D287" s="161">
        <v>6.6</v>
      </c>
      <c r="E287" s="153"/>
      <c r="F287" s="159">
        <f>D287/$D$289*$F$289+2</f>
        <v>35.36496688741722</v>
      </c>
      <c r="G287" s="159">
        <f>D287/$D$289*$G$289</f>
        <v>1144.3132450331127</v>
      </c>
      <c r="H287" s="86">
        <f>Заказы!N48</f>
        <v>-55.42000000000007</v>
      </c>
      <c r="I287" s="159">
        <v>1200</v>
      </c>
      <c r="J287" s="160">
        <f>I287-G287+H287</f>
        <v>0.2667549668872198</v>
      </c>
      <c r="K287" s="86"/>
      <c r="L287" s="157"/>
      <c r="N287" s="3"/>
    </row>
    <row r="288" spans="2:14" ht="12.75">
      <c r="B288" s="151" t="s">
        <v>13</v>
      </c>
      <c r="C288" s="152" t="s">
        <v>153</v>
      </c>
      <c r="D288" s="161">
        <v>2.2</v>
      </c>
      <c r="E288" s="153"/>
      <c r="F288" s="159">
        <f>D288/$D$289*$F$289+2</f>
        <v>13.121655629139074</v>
      </c>
      <c r="G288" s="159">
        <f>D288/$D$289*$G$289</f>
        <v>381.43774834437096</v>
      </c>
      <c r="H288" s="159">
        <f>K296</f>
        <v>-49.9691851851851</v>
      </c>
      <c r="I288" s="159">
        <v>431</v>
      </c>
      <c r="J288" s="160">
        <f>I288-G288+H288</f>
        <v>-0.40693352955605633</v>
      </c>
      <c r="K288" s="86"/>
      <c r="L288" s="157"/>
      <c r="N288" s="3"/>
    </row>
    <row r="289" spans="2:16" ht="12.75">
      <c r="B289" s="168"/>
      <c r="C289" s="169"/>
      <c r="D289" s="170">
        <f>SUM(D285:D288)</f>
        <v>30.2</v>
      </c>
      <c r="E289" s="170"/>
      <c r="F289" s="183">
        <f>166.67-14</f>
        <v>152.67</v>
      </c>
      <c r="G289" s="170">
        <v>5236.1</v>
      </c>
      <c r="H289" s="172"/>
      <c r="I289" s="172"/>
      <c r="J289" s="173"/>
      <c r="K289" s="86"/>
      <c r="L289" s="174"/>
      <c r="M289" s="180"/>
      <c r="N289" s="181"/>
      <c r="P289" s="60"/>
    </row>
    <row r="290" spans="2:14" ht="12.75">
      <c r="B290" s="176"/>
      <c r="C290" s="152"/>
      <c r="D290" s="153"/>
      <c r="E290" s="153"/>
      <c r="F290" s="154"/>
      <c r="G290" s="153"/>
      <c r="H290" s="155"/>
      <c r="I290" s="157"/>
      <c r="J290" s="157"/>
      <c r="K290" s="86"/>
      <c r="L290" s="157"/>
      <c r="N290" s="3"/>
    </row>
    <row r="291" spans="2:12" ht="12.75">
      <c r="B291" s="184" t="s">
        <v>154</v>
      </c>
      <c r="C291" s="184"/>
      <c r="D291" s="184"/>
      <c r="E291" s="184"/>
      <c r="F291" s="184"/>
      <c r="G291" s="184"/>
      <c r="H291" s="184"/>
      <c r="I291" s="184"/>
      <c r="J291" s="184"/>
      <c r="K291" s="184"/>
      <c r="L291" s="86"/>
    </row>
    <row r="292" spans="2:12" ht="12.75">
      <c r="B292" s="151"/>
      <c r="C292" s="152"/>
      <c r="D292" s="153" t="s">
        <v>61</v>
      </c>
      <c r="E292" s="153"/>
      <c r="F292" s="154" t="s">
        <v>3</v>
      </c>
      <c r="G292" s="153" t="s">
        <v>4</v>
      </c>
      <c r="H292" s="155" t="s">
        <v>5</v>
      </c>
      <c r="I292" s="155" t="s">
        <v>155</v>
      </c>
      <c r="J292" s="155" t="s">
        <v>6</v>
      </c>
      <c r="K292" s="156" t="s">
        <v>7</v>
      </c>
      <c r="L292" s="86"/>
    </row>
    <row r="293" spans="2:12" ht="12.75">
      <c r="B293" s="151" t="s">
        <v>156</v>
      </c>
      <c r="C293" s="152"/>
      <c r="D293" s="161">
        <v>4.9</v>
      </c>
      <c r="E293" s="153"/>
      <c r="F293" s="159">
        <f>D293/$D$307*$F$307+4</f>
        <v>31.264</v>
      </c>
      <c r="G293" s="159">
        <f>D293/$D$299*$G$299</f>
        <v>1028.2885925925927</v>
      </c>
      <c r="H293" s="159"/>
      <c r="I293" s="86"/>
      <c r="J293" s="159"/>
      <c r="K293" s="185"/>
      <c r="L293" s="86"/>
    </row>
    <row r="294" spans="2:18" ht="12.75">
      <c r="B294" s="151" t="s">
        <v>157</v>
      </c>
      <c r="C294" s="152" t="s">
        <v>158</v>
      </c>
      <c r="D294" s="161">
        <v>3.6</v>
      </c>
      <c r="E294" s="153"/>
      <c r="F294" s="159">
        <f>D294/$D$307*$F$307+1</f>
        <v>21.03069387755102</v>
      </c>
      <c r="G294" s="159">
        <f>D294/$D$299*$G$299</f>
        <v>755.4773333333333</v>
      </c>
      <c r="H294" s="159">
        <v>72.23</v>
      </c>
      <c r="I294" s="86">
        <v>32</v>
      </c>
      <c r="J294" s="159">
        <v>715</v>
      </c>
      <c r="K294" s="185">
        <f>J294-G294+H294-I294</f>
        <v>-0.24733333333325902</v>
      </c>
      <c r="L294" s="86"/>
      <c r="O294" s="60"/>
      <c r="P294" s="60"/>
      <c r="Q294" s="60"/>
      <c r="R294" s="60"/>
    </row>
    <row r="295" spans="2:12" ht="12.75">
      <c r="B295" s="151" t="s">
        <v>159</v>
      </c>
      <c r="C295" s="152" t="s">
        <v>96</v>
      </c>
      <c r="D295" s="161">
        <v>2.7</v>
      </c>
      <c r="E295" s="153"/>
      <c r="F295" s="159">
        <f>D295/$D$307*$F$307+2</f>
        <v>17.023020408163266</v>
      </c>
      <c r="G295" s="159">
        <f>D295/$D$299*$G$299</f>
        <v>566.6080000000001</v>
      </c>
      <c r="H295" s="159">
        <f>Заказы!N34</f>
        <v>79.00999999999999</v>
      </c>
      <c r="I295" s="86">
        <v>32</v>
      </c>
      <c r="J295" s="159">
        <v>520</v>
      </c>
      <c r="K295" s="185">
        <f>J295-G295+H295-I295</f>
        <v>0.40199999999992997</v>
      </c>
      <c r="L295" s="86"/>
    </row>
    <row r="296" spans="2:12" ht="12.75">
      <c r="B296" s="151" t="s">
        <v>13</v>
      </c>
      <c r="C296" s="152" t="s">
        <v>153</v>
      </c>
      <c r="D296" s="161">
        <v>7.1</v>
      </c>
      <c r="E296" s="153"/>
      <c r="F296" s="159">
        <f>D296/$D$307*$F$307+2</f>
        <v>41.50497959183673</v>
      </c>
      <c r="G296" s="159">
        <f>D296/$D$299*$G$299</f>
        <v>1489.969185185185</v>
      </c>
      <c r="H296" s="159">
        <f>Заказы!N7</f>
        <v>217</v>
      </c>
      <c r="I296" s="86">
        <v>32</v>
      </c>
      <c r="J296" s="159">
        <v>1255</v>
      </c>
      <c r="K296" s="185">
        <f>J296-G296+H296-I296</f>
        <v>-49.9691851851851</v>
      </c>
      <c r="L296" s="86" t="s">
        <v>160</v>
      </c>
    </row>
    <row r="297" spans="2:12" ht="12.75">
      <c r="B297" s="151" t="s">
        <v>148</v>
      </c>
      <c r="C297" s="152" t="s">
        <v>149</v>
      </c>
      <c r="D297" s="161">
        <v>3.6</v>
      </c>
      <c r="E297" s="153"/>
      <c r="F297" s="159">
        <f>D297/$D$307*$F$307+2</f>
        <v>22.03069387755102</v>
      </c>
      <c r="G297" s="159">
        <f>D297/$D$299*$G$299</f>
        <v>755.4773333333333</v>
      </c>
      <c r="H297" s="159">
        <f>Заказы!N40</f>
        <v>-53.13999999999987</v>
      </c>
      <c r="I297" s="86">
        <v>32</v>
      </c>
      <c r="J297" s="159"/>
      <c r="K297" s="185">
        <f>J297-G297+H297-I297</f>
        <v>-840.6173333333331</v>
      </c>
      <c r="L297" s="86" t="s">
        <v>160</v>
      </c>
    </row>
    <row r="298" spans="2:12" ht="12.75">
      <c r="B298" s="151" t="s">
        <v>22</v>
      </c>
      <c r="C298" s="152"/>
      <c r="D298" s="161">
        <f>2.1+3</f>
        <v>5.1</v>
      </c>
      <c r="E298" s="153"/>
      <c r="F298" s="159">
        <f>D298/$D$307*$F$307+3</f>
        <v>31.376816326530612</v>
      </c>
      <c r="G298" s="159">
        <f>D298/$D$299*$G$299</f>
        <v>1070.2595555555556</v>
      </c>
      <c r="H298" s="159"/>
      <c r="I298" s="86"/>
      <c r="J298" s="159"/>
      <c r="K298" s="185"/>
      <c r="L298" s="86"/>
    </row>
    <row r="299" spans="2:17" ht="12.75">
      <c r="B299" s="168"/>
      <c r="C299" s="169"/>
      <c r="D299" s="170">
        <f>SUM(D293:D298)</f>
        <v>27</v>
      </c>
      <c r="E299" s="170"/>
      <c r="F299" s="186">
        <f>174.84-14</f>
        <v>160.84</v>
      </c>
      <c r="G299" s="170">
        <v>5666.08</v>
      </c>
      <c r="H299" s="172"/>
      <c r="I299" s="172"/>
      <c r="J299" s="172"/>
      <c r="K299" s="187"/>
      <c r="L299" s="86"/>
      <c r="M299" s="180"/>
      <c r="N299" s="180"/>
      <c r="O299" s="5"/>
      <c r="Q299" s="60"/>
    </row>
    <row r="300" spans="2:12" ht="12.75">
      <c r="B300" s="176"/>
      <c r="C300" s="152"/>
      <c r="D300" s="153"/>
      <c r="E300" s="153"/>
      <c r="F300" s="154"/>
      <c r="G300" s="153"/>
      <c r="H300" s="155"/>
      <c r="I300" s="153"/>
      <c r="J300" s="157"/>
      <c r="K300" s="157"/>
      <c r="L300" s="86"/>
    </row>
    <row r="301" spans="2:12" ht="12.75">
      <c r="B301" s="188" t="s">
        <v>161</v>
      </c>
      <c r="C301" s="188"/>
      <c r="D301" s="188"/>
      <c r="E301" s="188"/>
      <c r="F301" s="188"/>
      <c r="G301" s="188"/>
      <c r="H301" s="188"/>
      <c r="I301" s="188"/>
      <c r="J301" s="188"/>
      <c r="K301" s="188"/>
      <c r="L301" s="86"/>
    </row>
    <row r="302" spans="2:12" ht="12.75">
      <c r="B302" s="151"/>
      <c r="C302" s="152"/>
      <c r="D302" s="153" t="s">
        <v>61</v>
      </c>
      <c r="E302" s="153"/>
      <c r="F302" s="154" t="s">
        <v>3</v>
      </c>
      <c r="G302" s="153" t="s">
        <v>4</v>
      </c>
      <c r="H302" s="155" t="s">
        <v>5</v>
      </c>
      <c r="I302" s="155" t="s">
        <v>155</v>
      </c>
      <c r="J302" s="155" t="s">
        <v>6</v>
      </c>
      <c r="K302" s="156" t="s">
        <v>7</v>
      </c>
      <c r="L302" s="86"/>
    </row>
    <row r="303" spans="2:12" ht="12.75">
      <c r="B303" s="151" t="s">
        <v>162</v>
      </c>
      <c r="C303" s="152"/>
      <c r="D303" s="161">
        <f>3.2+4.7</f>
        <v>7.9</v>
      </c>
      <c r="E303" s="153"/>
      <c r="F303" s="159">
        <f>D303/$D$307*$F$307+6</f>
        <v>49.95624489795919</v>
      </c>
      <c r="G303" s="159">
        <f>D303/$D$307*$G$307</f>
        <v>1526.8797551020411</v>
      </c>
      <c r="H303" s="159"/>
      <c r="I303" s="86">
        <v>32</v>
      </c>
      <c r="J303" s="159"/>
      <c r="K303" s="185"/>
      <c r="L303" s="86"/>
    </row>
    <row r="304" spans="2:18" ht="12.75">
      <c r="B304" s="151" t="s">
        <v>163</v>
      </c>
      <c r="C304" s="152" t="s">
        <v>96</v>
      </c>
      <c r="D304" s="161">
        <v>10.5</v>
      </c>
      <c r="E304" s="153"/>
      <c r="F304" s="159">
        <f>D304/$D$307*$F$307+2</f>
        <v>60.42285714285714</v>
      </c>
      <c r="G304" s="159">
        <f>D304/$D$307*$G$307</f>
        <v>2029.3971428571429</v>
      </c>
      <c r="H304" s="159">
        <f>Заказы!N14</f>
        <v>81.06999999999971</v>
      </c>
      <c r="I304" s="86">
        <v>32</v>
      </c>
      <c r="J304" s="159">
        <v>1980</v>
      </c>
      <c r="K304" s="185">
        <f>J304-G304+H304-I304</f>
        <v>-0.3271428571431443</v>
      </c>
      <c r="L304" s="86"/>
      <c r="O304" s="60"/>
      <c r="P304" s="60"/>
      <c r="Q304" s="60"/>
      <c r="R304" s="60"/>
    </row>
    <row r="305" spans="2:12" ht="12.75">
      <c r="B305" s="151" t="s">
        <v>164</v>
      </c>
      <c r="C305" s="152" t="s">
        <v>152</v>
      </c>
      <c r="D305" s="161">
        <v>4.2</v>
      </c>
      <c r="E305" s="153"/>
      <c r="F305" s="159">
        <f>D305/$D$307*$F$307+2</f>
        <v>25.369142857142855</v>
      </c>
      <c r="G305" s="159">
        <f>D305/$D$307*$G$307</f>
        <v>811.7588571428572</v>
      </c>
      <c r="H305" s="159">
        <f>Заказы!N24</f>
        <v>295.71000000000004</v>
      </c>
      <c r="I305" s="86">
        <v>32</v>
      </c>
      <c r="J305" s="159">
        <f>500+48</f>
        <v>548</v>
      </c>
      <c r="K305" s="185">
        <f>J305-G305+H305-I305</f>
        <v>-0.04885714285717313</v>
      </c>
      <c r="L305" s="86"/>
    </row>
    <row r="306" spans="2:12" ht="12.75">
      <c r="B306" s="151" t="s">
        <v>165</v>
      </c>
      <c r="C306" s="152" t="s">
        <v>152</v>
      </c>
      <c r="D306" s="161">
        <v>1.9</v>
      </c>
      <c r="E306" s="153"/>
      <c r="F306" s="159">
        <f>D306/$D$307*$F$307+2</f>
        <v>12.571755102040816</v>
      </c>
      <c r="G306" s="159">
        <f>D306/$D$307*$G$307</f>
        <v>367.2242448979592</v>
      </c>
      <c r="H306" s="159">
        <f>Заказы!N19</f>
        <v>17.839999999999918</v>
      </c>
      <c r="I306" s="86">
        <v>32</v>
      </c>
      <c r="J306" s="159">
        <v>400</v>
      </c>
      <c r="K306" s="185">
        <f>J306-G306+H306-I306</f>
        <v>18.615755102040737</v>
      </c>
      <c r="L306" s="86"/>
    </row>
    <row r="307" spans="2:17" ht="12.75">
      <c r="B307" s="168"/>
      <c r="C307" s="169"/>
      <c r="D307" s="170">
        <f>SUM(D303:D306)</f>
        <v>24.5</v>
      </c>
      <c r="E307" s="170"/>
      <c r="F307" s="189">
        <f>148.32-12</f>
        <v>136.32</v>
      </c>
      <c r="G307" s="170">
        <v>4735.26</v>
      </c>
      <c r="H307" s="172"/>
      <c r="I307" s="172"/>
      <c r="J307" s="172"/>
      <c r="K307" s="187"/>
      <c r="L307" s="86"/>
      <c r="M307" s="180"/>
      <c r="N307" s="180"/>
      <c r="O307" s="5"/>
      <c r="Q307" s="60"/>
    </row>
    <row r="308" spans="13:14" s="1" customFormat="1" ht="12.75">
      <c r="M308" s="3"/>
      <c r="N308" s="3"/>
    </row>
    <row r="309" spans="13:14" s="1" customFormat="1" ht="12.75">
      <c r="M309" s="3"/>
      <c r="N309" s="3"/>
    </row>
    <row r="310" spans="3:10" ht="12.75">
      <c r="C310" s="1"/>
      <c r="F310" s="1"/>
      <c r="H310" s="1"/>
      <c r="J310" s="1"/>
    </row>
    <row r="311" spans="3:10" ht="12.75">
      <c r="C311" s="1"/>
      <c r="F311" s="1"/>
      <c r="H311" s="1"/>
      <c r="J311" s="1"/>
    </row>
  </sheetData>
  <sheetProtection selectLockedCells="1" selectUnlockedCells="1"/>
  <mergeCells count="63">
    <mergeCell ref="B1:J1"/>
    <mergeCell ref="B4:H4"/>
    <mergeCell ref="I4:J4"/>
    <mergeCell ref="B17:J17"/>
    <mergeCell ref="B19:H19"/>
    <mergeCell ref="I19:J19"/>
    <mergeCell ref="B30:J30"/>
    <mergeCell ref="B32:H32"/>
    <mergeCell ref="I32:J32"/>
    <mergeCell ref="B43:H43"/>
    <mergeCell ref="I43:J43"/>
    <mergeCell ref="B52:H52"/>
    <mergeCell ref="I52:J52"/>
    <mergeCell ref="B61:J61"/>
    <mergeCell ref="B63:H63"/>
    <mergeCell ref="I63:J63"/>
    <mergeCell ref="B73:H73"/>
    <mergeCell ref="I73:J73"/>
    <mergeCell ref="B83:H83"/>
    <mergeCell ref="I83:J83"/>
    <mergeCell ref="B93:H93"/>
    <mergeCell ref="I93:J93"/>
    <mergeCell ref="B103:H103"/>
    <mergeCell ref="I103:J103"/>
    <mergeCell ref="B115:H115"/>
    <mergeCell ref="I115:J115"/>
    <mergeCell ref="B127:H127"/>
    <mergeCell ref="I127:J127"/>
    <mergeCell ref="B136:J136"/>
    <mergeCell ref="B138:H138"/>
    <mergeCell ref="I138:J138"/>
    <mergeCell ref="B152:H152"/>
    <mergeCell ref="I152:J152"/>
    <mergeCell ref="B161:H161"/>
    <mergeCell ref="I161:J161"/>
    <mergeCell ref="B171:H171"/>
    <mergeCell ref="I171:J171"/>
    <mergeCell ref="B178:H178"/>
    <mergeCell ref="I178:J178"/>
    <mergeCell ref="B187:H187"/>
    <mergeCell ref="I187:J187"/>
    <mergeCell ref="B195:H195"/>
    <mergeCell ref="I195:J195"/>
    <mergeCell ref="B205:H205"/>
    <mergeCell ref="I205:J205"/>
    <mergeCell ref="B218:H218"/>
    <mergeCell ref="I218:J218"/>
    <mergeCell ref="B227:H227"/>
    <mergeCell ref="I227:J227"/>
    <mergeCell ref="B233:H233"/>
    <mergeCell ref="I233:J233"/>
    <mergeCell ref="B241:H241"/>
    <mergeCell ref="I241:J241"/>
    <mergeCell ref="B247:H247"/>
    <mergeCell ref="I247:J247"/>
    <mergeCell ref="B259:J259"/>
    <mergeCell ref="M264:Q264"/>
    <mergeCell ref="M267:Q267"/>
    <mergeCell ref="B271:J271"/>
    <mergeCell ref="M278:Q278"/>
    <mergeCell ref="B283:J283"/>
    <mergeCell ref="B291:K291"/>
    <mergeCell ref="B301:K301"/>
  </mergeCells>
  <hyperlinks>
    <hyperlink ref="I19" r:id="rId1" display="EE969238868US"/>
    <hyperlink ref="I32" r:id="rId2" display="EE969221709US"/>
    <hyperlink ref="I43" r:id="rId3" display="EE969154553US"/>
    <hyperlink ref="I52" r:id="rId4" display="EE969121127US"/>
    <hyperlink ref="I63" r:id="rId5" display="EE969221289US"/>
    <hyperlink ref="I73" r:id="rId6" display="EE969162444US"/>
    <hyperlink ref="I83" r:id="rId7" display="EE969076516US"/>
    <hyperlink ref="I93" r:id="rId8" display="EE968940788US"/>
    <hyperlink ref="I103" r:id="rId9" display="EE968874973US"/>
    <hyperlink ref="I115" r:id="rId10" display="EE968914465US"/>
    <hyperlink ref="I127" r:id="rId11" display="EE968687689US"/>
    <hyperlink ref="I138" r:id="rId12" display="EE968751841US"/>
    <hyperlink ref="I152" r:id="rId13" display="EE968735676US"/>
    <hyperlink ref="M152" r:id="rId14" display="EE968726192US"/>
    <hyperlink ref="I161" r:id="rId15" display="EE968840303US"/>
    <hyperlink ref="I171" r:id="rId16" display="EE968850314US"/>
    <hyperlink ref="M171" r:id="rId17" display="EE968852054US"/>
    <hyperlink ref="I178" r:id="rId18" display="EE968854449US"/>
    <hyperlink ref="I187" r:id="rId19" display="EE968840609US"/>
    <hyperlink ref="I195" r:id="rId20" display="EE968815697US"/>
    <hyperlink ref="I205" r:id="rId21" display="EE968813577US"/>
    <hyperlink ref="I218" r:id="rId22" display="EE968722902US"/>
    <hyperlink ref="I227" r:id="rId23" display="EE968649076US"/>
    <hyperlink ref="I233" r:id="rId24" display="EE968642400US"/>
    <hyperlink ref="I241" r:id="rId25" display="EE968614298US"/>
    <hyperlink ref="I247" r:id="rId26" display="EE968614222US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6"/>
  <sheetViews>
    <sheetView workbookViewId="0" topLeftCell="A478">
      <selection activeCell="E499" sqref="E499"/>
    </sheetView>
  </sheetViews>
  <sheetFormatPr defaultColWidth="12.57421875" defaultRowHeight="12.75"/>
  <cols>
    <col min="1" max="1" width="12.140625" style="1" customWidth="1"/>
    <col min="2" max="2" width="4.00390625" style="1" customWidth="1"/>
    <col min="3" max="3" width="31.00390625" style="190" customWidth="1"/>
    <col min="4" max="4" width="11.57421875" style="190" customWidth="1"/>
    <col min="5" max="5" width="45.00390625" style="1" customWidth="1"/>
    <col min="6" max="6" width="12.8515625" style="1" customWidth="1"/>
    <col min="7" max="7" width="11.57421875" style="2" customWidth="1"/>
    <col min="8" max="8" width="11.421875" style="1" customWidth="1"/>
    <col min="9" max="16384" width="11.57421875" style="1" customWidth="1"/>
  </cols>
  <sheetData>
    <row r="1" spans="1:14" ht="12.75">
      <c r="A1" s="191" t="s">
        <v>13</v>
      </c>
      <c r="B1" s="192" t="s">
        <v>166</v>
      </c>
      <c r="C1" s="192" t="s">
        <v>167</v>
      </c>
      <c r="D1" s="192" t="s">
        <v>168</v>
      </c>
      <c r="E1" s="192" t="s">
        <v>169</v>
      </c>
      <c r="F1" s="192" t="s">
        <v>170</v>
      </c>
      <c r="G1" s="193" t="s">
        <v>171</v>
      </c>
      <c r="H1" s="194" t="s">
        <v>172</v>
      </c>
      <c r="I1" s="194" t="s">
        <v>173</v>
      </c>
      <c r="J1" s="194" t="s">
        <v>174</v>
      </c>
      <c r="K1" s="195" t="s">
        <v>175</v>
      </c>
      <c r="L1" s="195" t="s">
        <v>176</v>
      </c>
      <c r="M1" s="195" t="s">
        <v>177</v>
      </c>
      <c r="N1" s="196" t="s">
        <v>4</v>
      </c>
    </row>
    <row r="2" spans="1:14" ht="12.75">
      <c r="A2" s="197" t="s">
        <v>153</v>
      </c>
      <c r="B2" s="198">
        <v>1</v>
      </c>
      <c r="C2" s="199" t="s">
        <v>178</v>
      </c>
      <c r="D2" s="200"/>
      <c r="E2" s="201" t="s">
        <v>179</v>
      </c>
      <c r="F2" s="202" t="s">
        <v>180</v>
      </c>
      <c r="G2" s="203" t="s">
        <v>181</v>
      </c>
      <c r="H2" s="204">
        <v>1</v>
      </c>
      <c r="I2" s="204">
        <v>69.95</v>
      </c>
      <c r="J2" s="204">
        <f>H2*I2</f>
        <v>69.95</v>
      </c>
      <c r="K2" s="205">
        <v>0</v>
      </c>
      <c r="L2" s="205">
        <v>0</v>
      </c>
      <c r="M2" s="205">
        <f>SUM(J2:L2)</f>
        <v>69.95</v>
      </c>
      <c r="N2" s="205"/>
    </row>
    <row r="3" spans="1:19" ht="12.75">
      <c r="A3" s="191"/>
      <c r="B3" s="198">
        <v>2</v>
      </c>
      <c r="C3" s="206" t="s">
        <v>182</v>
      </c>
      <c r="D3" s="200"/>
      <c r="E3" s="201" t="s">
        <v>183</v>
      </c>
      <c r="F3" s="202" t="s">
        <v>184</v>
      </c>
      <c r="G3" s="203" t="s">
        <v>185</v>
      </c>
      <c r="H3" s="204">
        <v>1</v>
      </c>
      <c r="I3" s="204">
        <v>79.95</v>
      </c>
      <c r="J3" s="204">
        <f>H3*I3</f>
        <v>79.95</v>
      </c>
      <c r="K3" s="205">
        <v>0</v>
      </c>
      <c r="L3" s="205">
        <v>0</v>
      </c>
      <c r="M3" s="205">
        <f>SUM(J3:L3)</f>
        <v>79.95</v>
      </c>
      <c r="N3" s="205"/>
      <c r="Q3" s="207"/>
      <c r="R3" s="113"/>
      <c r="S3" s="113" t="s">
        <v>186</v>
      </c>
    </row>
    <row r="4" spans="1:18" ht="12.75">
      <c r="A4" s="191"/>
      <c r="B4" s="198">
        <v>3</v>
      </c>
      <c r="C4" s="199" t="s">
        <v>187</v>
      </c>
      <c r="D4" s="200"/>
      <c r="E4" s="201" t="s">
        <v>188</v>
      </c>
      <c r="F4" s="202" t="s">
        <v>189</v>
      </c>
      <c r="G4" s="203" t="s">
        <v>190</v>
      </c>
      <c r="H4" s="204">
        <v>1</v>
      </c>
      <c r="I4" s="204">
        <v>13.95</v>
      </c>
      <c r="J4" s="204">
        <f>H4*I4</f>
        <v>13.95</v>
      </c>
      <c r="K4" s="205">
        <v>0</v>
      </c>
      <c r="L4" s="205">
        <v>0</v>
      </c>
      <c r="M4" s="205">
        <f>SUM(J4:L4)</f>
        <v>13.95</v>
      </c>
      <c r="N4" s="205"/>
      <c r="P4" s="113"/>
      <c r="Q4" s="113"/>
      <c r="R4" s="113"/>
    </row>
    <row r="5" spans="1:14" ht="12.75">
      <c r="A5" s="208"/>
      <c r="B5" s="208"/>
      <c r="C5" s="209"/>
      <c r="D5" s="209"/>
      <c r="E5" s="208"/>
      <c r="F5" s="208"/>
      <c r="G5" s="210"/>
      <c r="H5" s="208"/>
      <c r="I5" s="208"/>
      <c r="J5" s="211">
        <f>SUM(J2:J4)</f>
        <v>163.85000000000002</v>
      </c>
      <c r="K5" s="211">
        <f>SUM(K2:K4)</f>
        <v>0</v>
      </c>
      <c r="L5" s="211">
        <f>SUM(L2:L4)</f>
        <v>0</v>
      </c>
      <c r="M5" s="211">
        <f>SUM(M2:M4)</f>
        <v>163.85000000000002</v>
      </c>
      <c r="N5" s="211">
        <f>2714.3+2568.7</f>
        <v>5283</v>
      </c>
    </row>
    <row r="6" spans="1:14" ht="12.75">
      <c r="A6" s="208"/>
      <c r="B6" s="208"/>
      <c r="C6" s="209"/>
      <c r="D6" s="209"/>
      <c r="E6" s="208"/>
      <c r="F6" s="208"/>
      <c r="G6" s="210"/>
      <c r="H6" s="208"/>
      <c r="I6" s="208"/>
      <c r="J6" s="212"/>
      <c r="K6" s="212"/>
      <c r="L6" s="211"/>
      <c r="M6" s="213" t="s">
        <v>191</v>
      </c>
      <c r="N6" s="214">
        <v>5500</v>
      </c>
    </row>
    <row r="7" spans="1:14" ht="12.75">
      <c r="A7" s="208"/>
      <c r="B7" s="208"/>
      <c r="C7" s="209"/>
      <c r="D7" s="209"/>
      <c r="E7" s="208"/>
      <c r="F7" s="208"/>
      <c r="G7" s="210"/>
      <c r="H7" s="208"/>
      <c r="I7" s="208"/>
      <c r="J7" s="208"/>
      <c r="K7" s="208"/>
      <c r="L7" s="208"/>
      <c r="M7" s="213" t="s">
        <v>192</v>
      </c>
      <c r="N7" s="214">
        <f>N6-N5</f>
        <v>217</v>
      </c>
    </row>
    <row r="8" spans="1:14" ht="12.75">
      <c r="A8" s="215" t="s">
        <v>193</v>
      </c>
      <c r="B8" s="192" t="s">
        <v>166</v>
      </c>
      <c r="C8" s="192" t="s">
        <v>167</v>
      </c>
      <c r="D8" s="192" t="s">
        <v>168</v>
      </c>
      <c r="E8" s="192" t="s">
        <v>169</v>
      </c>
      <c r="F8" s="192" t="s">
        <v>170</v>
      </c>
      <c r="G8" s="193" t="s">
        <v>171</v>
      </c>
      <c r="H8" s="194" t="s">
        <v>172</v>
      </c>
      <c r="I8" s="194" t="s">
        <v>173</v>
      </c>
      <c r="J8" s="194" t="s">
        <v>174</v>
      </c>
      <c r="K8" s="195" t="s">
        <v>175</v>
      </c>
      <c r="L8" s="195" t="s">
        <v>176</v>
      </c>
      <c r="M8" s="195" t="s">
        <v>177</v>
      </c>
      <c r="N8" s="196" t="s">
        <v>4</v>
      </c>
    </row>
    <row r="9" spans="1:14" ht="12.75">
      <c r="A9" s="197" t="s">
        <v>96</v>
      </c>
      <c r="B9" s="198">
        <v>1</v>
      </c>
      <c r="C9" s="199" t="s">
        <v>194</v>
      </c>
      <c r="D9" s="200"/>
      <c r="E9" s="201" t="s">
        <v>195</v>
      </c>
      <c r="F9" s="202" t="s">
        <v>196</v>
      </c>
      <c r="G9" s="203" t="s">
        <v>197</v>
      </c>
      <c r="H9" s="204">
        <v>1</v>
      </c>
      <c r="I9" s="204">
        <v>99.5</v>
      </c>
      <c r="J9" s="204">
        <f>H9*I9</f>
        <v>99.5</v>
      </c>
      <c r="K9" s="205">
        <v>0</v>
      </c>
      <c r="L9" s="205">
        <f>J9*0.0975</f>
        <v>9.70125</v>
      </c>
      <c r="M9" s="205">
        <f>SUM(J9:L9)</f>
        <v>109.20125</v>
      </c>
      <c r="N9" s="205"/>
    </row>
    <row r="10" spans="1:14" ht="12.75">
      <c r="A10" s="208"/>
      <c r="B10" s="198">
        <v>2</v>
      </c>
      <c r="C10" s="199" t="s">
        <v>198</v>
      </c>
      <c r="D10" s="200"/>
      <c r="E10" s="201" t="s">
        <v>199</v>
      </c>
      <c r="F10" s="202"/>
      <c r="G10" s="203" t="s">
        <v>200</v>
      </c>
      <c r="H10" s="204">
        <v>1</v>
      </c>
      <c r="I10" s="204">
        <v>129.5</v>
      </c>
      <c r="J10" s="204">
        <f>H10*I10</f>
        <v>129.5</v>
      </c>
      <c r="K10" s="205">
        <v>0</v>
      </c>
      <c r="L10" s="205">
        <f>J10*0.0975</f>
        <v>12.62625</v>
      </c>
      <c r="M10" s="205">
        <f>SUM(J10:L10)</f>
        <v>142.12625</v>
      </c>
      <c r="N10" s="205"/>
    </row>
    <row r="11" spans="1:14" ht="12.75">
      <c r="A11" s="208"/>
      <c r="B11" s="198">
        <v>3</v>
      </c>
      <c r="C11" s="199" t="s">
        <v>201</v>
      </c>
      <c r="D11" s="200"/>
      <c r="E11" s="201" t="s">
        <v>202</v>
      </c>
      <c r="F11" s="202"/>
      <c r="G11" s="203" t="s">
        <v>203</v>
      </c>
      <c r="H11" s="204">
        <v>1</v>
      </c>
      <c r="I11" s="204">
        <v>14.99</v>
      </c>
      <c r="J11" s="204">
        <f>H11*I11</f>
        <v>14.99</v>
      </c>
      <c r="K11" s="205">
        <v>0</v>
      </c>
      <c r="L11" s="205">
        <f>J11*0.0975</f>
        <v>1.461525</v>
      </c>
      <c r="M11" s="205">
        <f>SUM(J11:L11)</f>
        <v>16.451525</v>
      </c>
      <c r="N11" s="205"/>
    </row>
    <row r="12" spans="1:14" ht="12.75">
      <c r="A12" s="208"/>
      <c r="B12" s="208"/>
      <c r="C12" s="209"/>
      <c r="D12" s="209"/>
      <c r="E12" s="208"/>
      <c r="F12" s="208"/>
      <c r="G12" s="210"/>
      <c r="H12" s="208"/>
      <c r="I12" s="208"/>
      <c r="J12" s="211">
        <f>SUM(J9:J11)</f>
        <v>243.99</v>
      </c>
      <c r="K12" s="211">
        <f>SUM(K9:K11)</f>
        <v>0</v>
      </c>
      <c r="L12" s="211">
        <f>SUM(L9:L11)</f>
        <v>23.789025000000002</v>
      </c>
      <c r="M12" s="211">
        <f>SUM(M9:M11)</f>
        <v>267.779025</v>
      </c>
      <c r="N12" s="211">
        <v>8624.93</v>
      </c>
    </row>
    <row r="13" spans="1:14" ht="12.75">
      <c r="A13" s="208"/>
      <c r="B13" s="208"/>
      <c r="C13" s="209"/>
      <c r="D13" s="209"/>
      <c r="E13" s="208"/>
      <c r="F13" s="208"/>
      <c r="G13" s="210"/>
      <c r="H13" s="208"/>
      <c r="I13" s="208"/>
      <c r="J13" s="212"/>
      <c r="K13" s="212"/>
      <c r="L13" s="211"/>
      <c r="M13" s="213" t="s">
        <v>191</v>
      </c>
      <c r="N13" s="214">
        <f>8570+136</f>
        <v>8706</v>
      </c>
    </row>
    <row r="14" spans="1:14" ht="12.75">
      <c r="A14" s="208"/>
      <c r="B14" s="208"/>
      <c r="C14" s="209"/>
      <c r="D14" s="209"/>
      <c r="E14" s="208"/>
      <c r="F14" s="208"/>
      <c r="G14" s="210"/>
      <c r="H14" s="208"/>
      <c r="I14" s="208"/>
      <c r="J14" s="208"/>
      <c r="K14" s="208"/>
      <c r="L14" s="208"/>
      <c r="M14" s="213" t="s">
        <v>192</v>
      </c>
      <c r="N14" s="214">
        <f>N13-N12</f>
        <v>81.06999999999971</v>
      </c>
    </row>
    <row r="15" spans="1:14" ht="12.75">
      <c r="A15" s="191" t="s">
        <v>204</v>
      </c>
      <c r="B15" s="192" t="s">
        <v>166</v>
      </c>
      <c r="C15" s="192" t="s">
        <v>167</v>
      </c>
      <c r="D15" s="192" t="s">
        <v>168</v>
      </c>
      <c r="E15" s="192" t="s">
        <v>169</v>
      </c>
      <c r="F15" s="192" t="s">
        <v>170</v>
      </c>
      <c r="G15" s="193" t="s">
        <v>171</v>
      </c>
      <c r="H15" s="194" t="s">
        <v>172</v>
      </c>
      <c r="I15" s="194" t="s">
        <v>173</v>
      </c>
      <c r="J15" s="194" t="s">
        <v>174</v>
      </c>
      <c r="K15" s="195" t="s">
        <v>175</v>
      </c>
      <c r="L15" s="195" t="s">
        <v>176</v>
      </c>
      <c r="M15" s="195" t="s">
        <v>177</v>
      </c>
      <c r="N15" s="196" t="s">
        <v>4</v>
      </c>
    </row>
    <row r="16" spans="1:14" ht="12.75">
      <c r="A16" s="216" t="s">
        <v>152</v>
      </c>
      <c r="B16" s="200">
        <v>1</v>
      </c>
      <c r="C16" s="199" t="s">
        <v>205</v>
      </c>
      <c r="D16" s="200"/>
      <c r="E16" s="201"/>
      <c r="F16" s="201" t="s">
        <v>206</v>
      </c>
      <c r="G16" s="203" t="s">
        <v>207</v>
      </c>
      <c r="H16" s="204">
        <v>1</v>
      </c>
      <c r="I16" s="204">
        <v>40</v>
      </c>
      <c r="J16" s="204">
        <f>H16*I16</f>
        <v>40</v>
      </c>
      <c r="K16" s="205">
        <v>6.95</v>
      </c>
      <c r="L16" s="205">
        <v>0</v>
      </c>
      <c r="M16" s="205">
        <f>SUM(J16:L16)</f>
        <v>46.95</v>
      </c>
      <c r="N16" s="205">
        <v>1482.16</v>
      </c>
    </row>
    <row r="17" spans="1:14" ht="12.75">
      <c r="A17" s="208"/>
      <c r="B17" s="208"/>
      <c r="C17" s="209"/>
      <c r="D17" s="209"/>
      <c r="E17" s="208"/>
      <c r="F17" s="208"/>
      <c r="G17" s="210"/>
      <c r="H17" s="208"/>
      <c r="I17" s="208"/>
      <c r="J17" s="211">
        <f>SUM(J16:J16)</f>
        <v>40</v>
      </c>
      <c r="K17" s="211">
        <f>SUM(K16:K16)</f>
        <v>6.95</v>
      </c>
      <c r="L17" s="211">
        <f>SUM(L16:L16)</f>
        <v>0</v>
      </c>
      <c r="M17" s="211">
        <f>SUM(M16:M16)</f>
        <v>46.95</v>
      </c>
      <c r="N17" s="211">
        <f>SUM(N16:N16)</f>
        <v>1482.16</v>
      </c>
    </row>
    <row r="18" spans="1:14" ht="12.75">
      <c r="A18" s="208"/>
      <c r="B18" s="208"/>
      <c r="C18" s="209"/>
      <c r="D18" s="209"/>
      <c r="E18" s="208"/>
      <c r="F18" s="208"/>
      <c r="G18" s="210"/>
      <c r="H18" s="208"/>
      <c r="I18" s="208"/>
      <c r="J18" s="212"/>
      <c r="K18" s="212"/>
      <c r="L18" s="211"/>
      <c r="M18" s="213" t="s">
        <v>191</v>
      </c>
      <c r="N18" s="214">
        <v>1500</v>
      </c>
    </row>
    <row r="19" spans="1:14" ht="12.75">
      <c r="A19" s="208"/>
      <c r="B19" s="208"/>
      <c r="C19" s="209"/>
      <c r="D19" s="209"/>
      <c r="E19" s="208"/>
      <c r="F19" s="208"/>
      <c r="G19" s="210"/>
      <c r="H19" s="208"/>
      <c r="I19" s="208"/>
      <c r="J19" s="208"/>
      <c r="K19" s="208"/>
      <c r="L19" s="208"/>
      <c r="M19" s="213" t="s">
        <v>192</v>
      </c>
      <c r="N19" s="214">
        <f>N18-N17</f>
        <v>17.839999999999918</v>
      </c>
    </row>
    <row r="20" spans="1:14" ht="12.75">
      <c r="A20" s="191" t="s">
        <v>208</v>
      </c>
      <c r="B20" s="192" t="s">
        <v>166</v>
      </c>
      <c r="C20" s="192" t="s">
        <v>167</v>
      </c>
      <c r="D20" s="192" t="s">
        <v>168</v>
      </c>
      <c r="E20" s="192" t="s">
        <v>169</v>
      </c>
      <c r="F20" s="192" t="s">
        <v>170</v>
      </c>
      <c r="G20" s="193" t="s">
        <v>171</v>
      </c>
      <c r="H20" s="194" t="s">
        <v>172</v>
      </c>
      <c r="I20" s="194" t="s">
        <v>173</v>
      </c>
      <c r="J20" s="194" t="s">
        <v>174</v>
      </c>
      <c r="K20" s="195" t="s">
        <v>175</v>
      </c>
      <c r="L20" s="195" t="s">
        <v>176</v>
      </c>
      <c r="M20" s="195" t="s">
        <v>177</v>
      </c>
      <c r="N20" s="196" t="s">
        <v>4</v>
      </c>
    </row>
    <row r="21" spans="1:14" ht="12.75">
      <c r="A21" s="216" t="s">
        <v>152</v>
      </c>
      <c r="B21" s="200">
        <v>1</v>
      </c>
      <c r="C21" s="199" t="s">
        <v>209</v>
      </c>
      <c r="D21" s="200"/>
      <c r="E21" s="217" t="s">
        <v>210</v>
      </c>
      <c r="F21" s="201" t="s">
        <v>211</v>
      </c>
      <c r="G21" s="203" t="s">
        <v>212</v>
      </c>
      <c r="H21" s="204">
        <v>1</v>
      </c>
      <c r="I21" s="204">
        <v>58.82</v>
      </c>
      <c r="J21" s="204">
        <f>H21*I21</f>
        <v>58.82</v>
      </c>
      <c r="K21" s="205">
        <v>6.95</v>
      </c>
      <c r="L21" s="205">
        <v>0</v>
      </c>
      <c r="M21" s="205">
        <f>SUM(J21:L21)</f>
        <v>65.77</v>
      </c>
      <c r="N21" s="205">
        <v>2076.29</v>
      </c>
    </row>
    <row r="22" spans="1:14" ht="12.75">
      <c r="A22" s="208"/>
      <c r="B22" s="208"/>
      <c r="C22" s="209"/>
      <c r="D22" s="209"/>
      <c r="E22" s="208"/>
      <c r="F22" s="208"/>
      <c r="G22" s="210"/>
      <c r="H22" s="208"/>
      <c r="I22" s="208"/>
      <c r="J22" s="211">
        <f>SUM(J21:J21)</f>
        <v>58.82</v>
      </c>
      <c r="K22" s="211">
        <f>SUM(K21:K21)</f>
        <v>6.95</v>
      </c>
      <c r="L22" s="211">
        <f>SUM(L21:L21)</f>
        <v>0</v>
      </c>
      <c r="M22" s="211">
        <f>SUM(M21:M21)</f>
        <v>65.77</v>
      </c>
      <c r="N22" s="211">
        <f>SUM(N21:N21)</f>
        <v>2076.29</v>
      </c>
    </row>
    <row r="23" spans="1:14" ht="12.75">
      <c r="A23" s="208"/>
      <c r="B23" s="208"/>
      <c r="C23" s="209"/>
      <c r="D23" s="209"/>
      <c r="E23" s="208"/>
      <c r="F23" s="208"/>
      <c r="G23" s="210"/>
      <c r="H23" s="208"/>
      <c r="I23" s="208"/>
      <c r="J23" s="212"/>
      <c r="K23" s="212"/>
      <c r="L23" s="211"/>
      <c r="M23" s="213" t="s">
        <v>191</v>
      </c>
      <c r="N23" s="214">
        <f>4000-1628</f>
        <v>2372</v>
      </c>
    </row>
    <row r="24" spans="1:14" ht="12.75">
      <c r="A24" s="208"/>
      <c r="B24" s="208"/>
      <c r="C24" s="209"/>
      <c r="D24" s="209"/>
      <c r="E24" s="208"/>
      <c r="F24" s="208"/>
      <c r="G24" s="210"/>
      <c r="H24" s="208"/>
      <c r="I24" s="208"/>
      <c r="J24" s="208"/>
      <c r="K24" s="208"/>
      <c r="L24" s="208"/>
      <c r="M24" s="213" t="s">
        <v>192</v>
      </c>
      <c r="N24" s="214">
        <f>N23-N22</f>
        <v>295.71000000000004</v>
      </c>
    </row>
    <row r="25" spans="1:14" ht="12.75">
      <c r="A25" s="215" t="s">
        <v>213</v>
      </c>
      <c r="B25" s="192" t="s">
        <v>166</v>
      </c>
      <c r="C25" s="192" t="s">
        <v>167</v>
      </c>
      <c r="D25" s="192" t="s">
        <v>168</v>
      </c>
      <c r="E25" s="192" t="s">
        <v>169</v>
      </c>
      <c r="F25" s="192" t="s">
        <v>170</v>
      </c>
      <c r="G25" s="193" t="s">
        <v>171</v>
      </c>
      <c r="H25" s="194" t="s">
        <v>172</v>
      </c>
      <c r="I25" s="194" t="s">
        <v>173</v>
      </c>
      <c r="J25" s="194" t="s">
        <v>174</v>
      </c>
      <c r="K25" s="195" t="s">
        <v>175</v>
      </c>
      <c r="L25" s="195" t="s">
        <v>176</v>
      </c>
      <c r="M25" s="195" t="s">
        <v>177</v>
      </c>
      <c r="N25" s="196" t="s">
        <v>4</v>
      </c>
    </row>
    <row r="26" spans="1:14" ht="12.75">
      <c r="A26" s="197" t="s">
        <v>96</v>
      </c>
      <c r="B26" s="200">
        <v>1</v>
      </c>
      <c r="C26" s="199" t="s">
        <v>214</v>
      </c>
      <c r="D26" s="200"/>
      <c r="E26" s="201" t="s">
        <v>215</v>
      </c>
      <c r="F26" s="201" t="s">
        <v>216</v>
      </c>
      <c r="G26" s="204" t="s">
        <v>217</v>
      </c>
      <c r="H26" s="204">
        <v>1</v>
      </c>
      <c r="I26" s="204">
        <v>2.99</v>
      </c>
      <c r="J26" s="204">
        <f>H26*I26</f>
        <v>2.99</v>
      </c>
      <c r="K26" s="205">
        <v>8.95</v>
      </c>
      <c r="L26" s="205">
        <f>J26*0.0975</f>
        <v>0.29152500000000003</v>
      </c>
      <c r="M26" s="205">
        <f>SUM(J26:L26)</f>
        <v>12.231525</v>
      </c>
      <c r="N26" s="205"/>
    </row>
    <row r="27" spans="1:14" ht="12.75">
      <c r="A27" s="208"/>
      <c r="B27" s="200">
        <v>2</v>
      </c>
      <c r="C27" s="199" t="s">
        <v>214</v>
      </c>
      <c r="D27" s="200"/>
      <c r="E27" s="201" t="s">
        <v>215</v>
      </c>
      <c r="F27" s="201" t="s">
        <v>218</v>
      </c>
      <c r="G27" s="204" t="s">
        <v>219</v>
      </c>
      <c r="H27" s="204">
        <v>1</v>
      </c>
      <c r="I27" s="204">
        <v>2.99</v>
      </c>
      <c r="J27" s="204">
        <f>H27*I27</f>
        <v>2.99</v>
      </c>
      <c r="K27" s="205"/>
      <c r="L27" s="205">
        <f>J27*0.0975</f>
        <v>0.29152500000000003</v>
      </c>
      <c r="M27" s="205">
        <f>SUM(J27:L27)</f>
        <v>3.2815250000000002</v>
      </c>
      <c r="N27" s="205"/>
    </row>
    <row r="28" spans="1:14" ht="12.75">
      <c r="A28" s="208"/>
      <c r="B28" s="200">
        <v>3</v>
      </c>
      <c r="C28" s="199" t="s">
        <v>220</v>
      </c>
      <c r="D28" s="200"/>
      <c r="E28" s="201" t="s">
        <v>221</v>
      </c>
      <c r="F28" s="201" t="s">
        <v>222</v>
      </c>
      <c r="G28" s="204" t="s">
        <v>223</v>
      </c>
      <c r="H28" s="204">
        <v>1</v>
      </c>
      <c r="I28" s="204">
        <v>12.74</v>
      </c>
      <c r="J28" s="204">
        <f>H28*I28</f>
        <v>12.74</v>
      </c>
      <c r="K28" s="205"/>
      <c r="L28" s="205">
        <f>J28*0.0975</f>
        <v>1.24215</v>
      </c>
      <c r="M28" s="205">
        <f>SUM(J28:L28)</f>
        <v>13.98215</v>
      </c>
      <c r="N28" s="205"/>
    </row>
    <row r="29" spans="1:14" ht="12.75">
      <c r="A29" s="208"/>
      <c r="B29" s="200">
        <v>4</v>
      </c>
      <c r="C29" s="199" t="s">
        <v>224</v>
      </c>
      <c r="D29" s="200"/>
      <c r="E29" s="201" t="s">
        <v>225</v>
      </c>
      <c r="F29" s="201" t="s">
        <v>226</v>
      </c>
      <c r="G29" s="204" t="s">
        <v>227</v>
      </c>
      <c r="H29" s="204">
        <v>1</v>
      </c>
      <c r="I29" s="204">
        <v>2.99</v>
      </c>
      <c r="J29" s="204">
        <f>H29*I29</f>
        <v>2.99</v>
      </c>
      <c r="K29" s="205"/>
      <c r="L29" s="205">
        <f>J29*0.0975</f>
        <v>0.29152500000000003</v>
      </c>
      <c r="M29" s="205">
        <f>SUM(J29:L29)</f>
        <v>3.2815250000000002</v>
      </c>
      <c r="N29" s="205"/>
    </row>
    <row r="30" spans="1:15" ht="12.75">
      <c r="A30" s="208"/>
      <c r="B30" s="200">
        <v>5</v>
      </c>
      <c r="C30" s="199" t="s">
        <v>228</v>
      </c>
      <c r="D30" s="200"/>
      <c r="E30" s="201" t="s">
        <v>229</v>
      </c>
      <c r="F30" s="201" t="s">
        <v>230</v>
      </c>
      <c r="G30" s="204" t="s">
        <v>231</v>
      </c>
      <c r="H30" s="204">
        <v>1</v>
      </c>
      <c r="I30" s="204">
        <v>4.49</v>
      </c>
      <c r="J30" s="204">
        <f>H30*I30</f>
        <v>4.49</v>
      </c>
      <c r="K30" s="205"/>
      <c r="L30" s="205">
        <f>J30*0.0975</f>
        <v>0.437775</v>
      </c>
      <c r="M30" s="205">
        <f>SUM(J30:L30)</f>
        <v>4.9277750000000005</v>
      </c>
      <c r="N30" s="205"/>
      <c r="O30" s="175"/>
    </row>
    <row r="31" spans="1:14" ht="12.75">
      <c r="A31" s="208"/>
      <c r="B31" s="200">
        <v>6</v>
      </c>
      <c r="C31" s="199"/>
      <c r="D31" s="200"/>
      <c r="E31" s="217" t="s">
        <v>232</v>
      </c>
      <c r="F31" s="201" t="s">
        <v>233</v>
      </c>
      <c r="G31" s="204" t="s">
        <v>231</v>
      </c>
      <c r="H31" s="204">
        <v>1</v>
      </c>
      <c r="I31" s="204">
        <v>7.49</v>
      </c>
      <c r="J31" s="204">
        <f>H31*I31</f>
        <v>7.49</v>
      </c>
      <c r="K31" s="205"/>
      <c r="L31" s="205">
        <f>J31*0.0975</f>
        <v>0.730275</v>
      </c>
      <c r="M31" s="205">
        <f>SUM(J31:L31)</f>
        <v>8.220275</v>
      </c>
      <c r="N31" s="205"/>
    </row>
    <row r="32" spans="1:14" ht="12.75">
      <c r="A32" s="208"/>
      <c r="B32" s="208"/>
      <c r="C32" s="209"/>
      <c r="D32" s="209"/>
      <c r="E32" s="208"/>
      <c r="F32" s="208"/>
      <c r="G32" s="208"/>
      <c r="H32" s="208"/>
      <c r="I32" s="208"/>
      <c r="J32" s="211">
        <f>SUM(J26:J31)</f>
        <v>33.690000000000005</v>
      </c>
      <c r="K32" s="211">
        <f>SUM(K26:K31)</f>
        <v>8.95</v>
      </c>
      <c r="L32" s="211">
        <f>SUM(L26:L31)</f>
        <v>3.284775</v>
      </c>
      <c r="M32" s="211">
        <f>SUM(M26:M31)</f>
        <v>45.924775000000004</v>
      </c>
      <c r="N32" s="211">
        <v>1479.99</v>
      </c>
    </row>
    <row r="33" spans="1:15" ht="12.75">
      <c r="A33" s="208"/>
      <c r="B33" s="208"/>
      <c r="C33" s="209"/>
      <c r="D33" s="209"/>
      <c r="E33" s="208"/>
      <c r="F33" s="208"/>
      <c r="G33" s="208"/>
      <c r="H33" s="208"/>
      <c r="I33" s="208"/>
      <c r="J33" s="212"/>
      <c r="K33" s="212"/>
      <c r="L33" s="211"/>
      <c r="M33" s="213" t="s">
        <v>191</v>
      </c>
      <c r="N33" s="214">
        <f>1600-41</f>
        <v>1559</v>
      </c>
      <c r="O33" s="218" t="s">
        <v>234</v>
      </c>
    </row>
    <row r="34" spans="1:14" ht="12.75">
      <c r="A34" s="208"/>
      <c r="B34" s="208"/>
      <c r="C34" s="209"/>
      <c r="D34" s="209"/>
      <c r="E34" s="208"/>
      <c r="F34" s="208"/>
      <c r="G34" s="208"/>
      <c r="H34" s="208"/>
      <c r="I34" s="208"/>
      <c r="J34" s="208"/>
      <c r="K34" s="208"/>
      <c r="L34" s="208"/>
      <c r="M34" s="213" t="s">
        <v>192</v>
      </c>
      <c r="N34" s="214">
        <f>N33-N32</f>
        <v>79.00999999999999</v>
      </c>
    </row>
    <row r="35" spans="1:14" ht="12.75">
      <c r="A35" s="191" t="s">
        <v>148</v>
      </c>
      <c r="B35" s="192" t="s">
        <v>166</v>
      </c>
      <c r="C35" s="192" t="s">
        <v>167</v>
      </c>
      <c r="D35" s="192" t="s">
        <v>168</v>
      </c>
      <c r="E35" s="192" t="s">
        <v>169</v>
      </c>
      <c r="F35" s="192" t="s">
        <v>170</v>
      </c>
      <c r="G35" s="193" t="s">
        <v>171</v>
      </c>
      <c r="H35" s="194" t="s">
        <v>172</v>
      </c>
      <c r="I35" s="194" t="s">
        <v>173</v>
      </c>
      <c r="J35" s="194" t="s">
        <v>174</v>
      </c>
      <c r="K35" s="195" t="s">
        <v>175</v>
      </c>
      <c r="L35" s="195" t="s">
        <v>176</v>
      </c>
      <c r="M35" s="195" t="s">
        <v>177</v>
      </c>
      <c r="N35" s="195" t="s">
        <v>4</v>
      </c>
    </row>
    <row r="36" spans="1:18" ht="12.75">
      <c r="A36" s="197" t="s">
        <v>149</v>
      </c>
      <c r="B36" s="200">
        <v>1</v>
      </c>
      <c r="C36" s="199" t="s">
        <v>235</v>
      </c>
      <c r="D36" s="200" t="s">
        <v>236</v>
      </c>
      <c r="E36" s="201" t="s">
        <v>237</v>
      </c>
      <c r="F36" s="201" t="s">
        <v>238</v>
      </c>
      <c r="G36" s="204"/>
      <c r="H36" s="204">
        <v>1</v>
      </c>
      <c r="I36" s="204">
        <v>46</v>
      </c>
      <c r="J36" s="204">
        <f>H36*I36</f>
        <v>46</v>
      </c>
      <c r="K36" s="205">
        <v>0</v>
      </c>
      <c r="L36" s="205">
        <v>0</v>
      </c>
      <c r="M36" s="205">
        <f>SUM(J36:L36)</f>
        <v>46</v>
      </c>
      <c r="N36" s="205"/>
      <c r="P36" s="207"/>
      <c r="Q36" s="113"/>
      <c r="R36" s="113" t="s">
        <v>186</v>
      </c>
    </row>
    <row r="37" spans="1:16" ht="12.75">
      <c r="A37" s="208"/>
      <c r="B37" s="200">
        <v>2</v>
      </c>
      <c r="C37" s="199" t="s">
        <v>239</v>
      </c>
      <c r="D37" s="200" t="s">
        <v>240</v>
      </c>
      <c r="E37" s="201" t="s">
        <v>241</v>
      </c>
      <c r="F37" s="201" t="s">
        <v>242</v>
      </c>
      <c r="G37" s="204" t="s">
        <v>243</v>
      </c>
      <c r="H37" s="204">
        <v>1</v>
      </c>
      <c r="I37" s="204">
        <v>66.6</v>
      </c>
      <c r="J37" s="204">
        <f>H37*I37</f>
        <v>66.6</v>
      </c>
      <c r="K37" s="205">
        <v>0</v>
      </c>
      <c r="L37" s="205">
        <v>0</v>
      </c>
      <c r="M37" s="205">
        <f>SUM(J37:L37)</f>
        <v>66.6</v>
      </c>
      <c r="N37" s="205"/>
      <c r="O37" s="113"/>
      <c r="P37" s="113"/>
    </row>
    <row r="38" spans="1:14" ht="12.75">
      <c r="A38" s="208"/>
      <c r="B38" s="208"/>
      <c r="C38" s="209"/>
      <c r="D38" s="209"/>
      <c r="E38" s="208"/>
      <c r="F38" s="208"/>
      <c r="G38" s="208"/>
      <c r="H38" s="208"/>
      <c r="I38" s="208"/>
      <c r="J38" s="211">
        <f>SUM(J36:J37)</f>
        <v>112.6</v>
      </c>
      <c r="K38" s="211">
        <f>SUM(K36:K37)</f>
        <v>0</v>
      </c>
      <c r="L38" s="211">
        <f>SUM(L36:L37)</f>
        <v>0</v>
      </c>
      <c r="M38" s="211">
        <f>SUM(M36:M37)</f>
        <v>112.6</v>
      </c>
      <c r="N38" s="211">
        <v>3637.14</v>
      </c>
    </row>
    <row r="39" spans="1:14" ht="12.75">
      <c r="A39" s="208"/>
      <c r="B39" s="208"/>
      <c r="C39" s="209"/>
      <c r="D39" s="209"/>
      <c r="E39" s="208"/>
      <c r="F39" s="208"/>
      <c r="G39" s="208"/>
      <c r="H39" s="208"/>
      <c r="I39" s="208"/>
      <c r="J39" s="212"/>
      <c r="K39" s="212"/>
      <c r="L39" s="211"/>
      <c r="M39" s="213" t="s">
        <v>191</v>
      </c>
      <c r="N39" s="214">
        <v>3584</v>
      </c>
    </row>
    <row r="40" spans="1:14" ht="12.75">
      <c r="A40" s="208"/>
      <c r="B40" s="208"/>
      <c r="C40" s="209"/>
      <c r="D40" s="209"/>
      <c r="E40" s="208"/>
      <c r="F40" s="208"/>
      <c r="G40" s="208"/>
      <c r="H40" s="208"/>
      <c r="I40" s="208"/>
      <c r="J40" s="208"/>
      <c r="K40" s="208"/>
      <c r="L40" s="208"/>
      <c r="M40" s="213" t="s">
        <v>192</v>
      </c>
      <c r="N40" s="214">
        <f>N39-N38</f>
        <v>-53.13999999999987</v>
      </c>
    </row>
    <row r="41" spans="1:14" ht="12.75">
      <c r="A41" s="191" t="s">
        <v>151</v>
      </c>
      <c r="B41" s="192" t="s">
        <v>166</v>
      </c>
      <c r="C41" s="192" t="s">
        <v>167</v>
      </c>
      <c r="D41" s="192" t="s">
        <v>168</v>
      </c>
      <c r="E41" s="192" t="s">
        <v>169</v>
      </c>
      <c r="F41" s="192" t="s">
        <v>170</v>
      </c>
      <c r="G41" s="193" t="s">
        <v>171</v>
      </c>
      <c r="H41" s="194" t="s">
        <v>172</v>
      </c>
      <c r="I41" s="194" t="s">
        <v>173</v>
      </c>
      <c r="J41" s="194" t="s">
        <v>174</v>
      </c>
      <c r="K41" s="195" t="s">
        <v>175</v>
      </c>
      <c r="L41" s="195" t="s">
        <v>176</v>
      </c>
      <c r="M41" s="195" t="s">
        <v>177</v>
      </c>
      <c r="N41" s="195" t="s">
        <v>4</v>
      </c>
    </row>
    <row r="42" spans="1:18" ht="12.75">
      <c r="A42" s="197" t="s">
        <v>152</v>
      </c>
      <c r="B42" s="200">
        <v>1</v>
      </c>
      <c r="C42" s="199" t="s">
        <v>244</v>
      </c>
      <c r="D42" s="200" t="s">
        <v>245</v>
      </c>
      <c r="E42" s="219" t="s">
        <v>246</v>
      </c>
      <c r="F42" s="201" t="s">
        <v>247</v>
      </c>
      <c r="G42" s="220" t="s">
        <v>248</v>
      </c>
      <c r="H42" s="204">
        <v>1</v>
      </c>
      <c r="I42" s="204">
        <v>27.5</v>
      </c>
      <c r="J42" s="204">
        <f>H42*I42</f>
        <v>27.5</v>
      </c>
      <c r="K42" s="205">
        <v>0</v>
      </c>
      <c r="L42" s="205">
        <v>0</v>
      </c>
      <c r="M42" s="205">
        <f>SUM(J42:L42)</f>
        <v>27.5</v>
      </c>
      <c r="N42" s="205"/>
      <c r="P42" s="207"/>
      <c r="Q42" s="113"/>
      <c r="R42" s="113"/>
    </row>
    <row r="43" spans="1:18" ht="12.75">
      <c r="A43" s="208"/>
      <c r="B43" s="200">
        <v>2</v>
      </c>
      <c r="C43" s="199" t="s">
        <v>249</v>
      </c>
      <c r="D43" s="200" t="s">
        <v>250</v>
      </c>
      <c r="E43" s="219" t="s">
        <v>251</v>
      </c>
      <c r="F43" s="201" t="s">
        <v>196</v>
      </c>
      <c r="G43" s="204" t="s">
        <v>252</v>
      </c>
      <c r="H43" s="204">
        <v>1</v>
      </c>
      <c r="I43" s="204">
        <v>63.25</v>
      </c>
      <c r="J43" s="204">
        <f>H43*I43</f>
        <v>63.25</v>
      </c>
      <c r="K43" s="205">
        <v>0</v>
      </c>
      <c r="L43" s="205">
        <v>0</v>
      </c>
      <c r="M43" s="205">
        <f>SUM(J43:L43)</f>
        <v>63.25</v>
      </c>
      <c r="N43" s="205"/>
      <c r="P43" s="207"/>
      <c r="Q43" s="113"/>
      <c r="R43" s="113"/>
    </row>
    <row r="44" spans="1:18" ht="12.75">
      <c r="A44" s="208"/>
      <c r="B44" s="200">
        <v>3</v>
      </c>
      <c r="C44" s="199" t="s">
        <v>253</v>
      </c>
      <c r="D44" s="200" t="s">
        <v>254</v>
      </c>
      <c r="E44" s="219" t="s">
        <v>255</v>
      </c>
      <c r="F44" s="201" t="s">
        <v>256</v>
      </c>
      <c r="G44" s="204" t="s">
        <v>257</v>
      </c>
      <c r="H44" s="204">
        <v>1</v>
      </c>
      <c r="I44" s="204">
        <v>22</v>
      </c>
      <c r="J44" s="204">
        <f>H44*I44</f>
        <v>22</v>
      </c>
      <c r="K44" s="205">
        <v>0</v>
      </c>
      <c r="L44" s="205">
        <v>0</v>
      </c>
      <c r="M44" s="205">
        <f>SUM(J44:L44)</f>
        <v>22</v>
      </c>
      <c r="N44" s="205"/>
      <c r="P44" s="207"/>
      <c r="Q44" s="113"/>
      <c r="R44" s="113"/>
    </row>
    <row r="45" spans="1:18" ht="12.75">
      <c r="A45" s="208"/>
      <c r="B45" s="200">
        <v>4</v>
      </c>
      <c r="C45" s="199" t="s">
        <v>258</v>
      </c>
      <c r="D45" s="200"/>
      <c r="E45" s="219" t="s">
        <v>259</v>
      </c>
      <c r="F45" s="201" t="s">
        <v>260</v>
      </c>
      <c r="G45" s="204"/>
      <c r="H45" s="204">
        <v>1</v>
      </c>
      <c r="I45" s="204">
        <v>19.23</v>
      </c>
      <c r="J45" s="204">
        <f>H45*I45</f>
        <v>19.23</v>
      </c>
      <c r="K45" s="205">
        <v>6.95</v>
      </c>
      <c r="L45" s="205">
        <v>0</v>
      </c>
      <c r="M45" s="205">
        <f>SUM(J45:L45)</f>
        <v>26.18</v>
      </c>
      <c r="N45" s="205"/>
      <c r="P45" s="207"/>
      <c r="Q45" s="113"/>
      <c r="R45" s="113"/>
    </row>
    <row r="46" spans="1:14" ht="12.75">
      <c r="A46" s="208"/>
      <c r="B46" s="208"/>
      <c r="C46" s="209"/>
      <c r="D46" s="209"/>
      <c r="E46" s="208"/>
      <c r="F46" s="208"/>
      <c r="G46" s="210"/>
      <c r="H46" s="208"/>
      <c r="I46" s="208"/>
      <c r="J46" s="211">
        <f>SUM(J42:J45)</f>
        <v>131.98000000000002</v>
      </c>
      <c r="K46" s="211">
        <f>SUM(K42:K45)</f>
        <v>6.95</v>
      </c>
      <c r="L46" s="211">
        <f>SUM(L42:L45)</f>
        <v>0</v>
      </c>
      <c r="M46" s="211">
        <f>SUM(M42:M45)</f>
        <v>138.93</v>
      </c>
      <c r="N46" s="211">
        <v>4505.42</v>
      </c>
    </row>
    <row r="47" spans="1:14" ht="12.75">
      <c r="A47" s="208"/>
      <c r="B47" s="208"/>
      <c r="C47" s="209"/>
      <c r="D47" s="209"/>
      <c r="E47" s="208"/>
      <c r="F47" s="208"/>
      <c r="G47" s="210"/>
      <c r="H47" s="208"/>
      <c r="I47" s="208"/>
      <c r="J47" s="212"/>
      <c r="K47" s="212"/>
      <c r="L47" s="211"/>
      <c r="M47" s="213" t="s">
        <v>191</v>
      </c>
      <c r="N47" s="214">
        <v>4450</v>
      </c>
    </row>
    <row r="48" spans="1:18" ht="12.75">
      <c r="A48" s="208"/>
      <c r="B48" s="208"/>
      <c r="C48" s="209"/>
      <c r="D48" s="209"/>
      <c r="E48" s="208"/>
      <c r="F48" s="208"/>
      <c r="G48" s="210"/>
      <c r="H48" s="208"/>
      <c r="I48" s="208"/>
      <c r="J48" s="208"/>
      <c r="K48" s="208"/>
      <c r="L48" s="208"/>
      <c r="M48" s="213" t="s">
        <v>192</v>
      </c>
      <c r="N48" s="214">
        <f>N47-N46</f>
        <v>-55.42000000000007</v>
      </c>
      <c r="Q48" s="113"/>
      <c r="R48" s="113"/>
    </row>
    <row r="49" spans="1:14" ht="12.75">
      <c r="A49" s="191" t="s">
        <v>146</v>
      </c>
      <c r="B49" s="192" t="s">
        <v>166</v>
      </c>
      <c r="C49" s="192" t="s">
        <v>167</v>
      </c>
      <c r="D49" s="192" t="s">
        <v>168</v>
      </c>
      <c r="E49" s="192" t="s">
        <v>169</v>
      </c>
      <c r="F49" s="192" t="s">
        <v>170</v>
      </c>
      <c r="G49" s="193" t="s">
        <v>171</v>
      </c>
      <c r="H49" s="194" t="s">
        <v>172</v>
      </c>
      <c r="I49" s="194" t="s">
        <v>173</v>
      </c>
      <c r="J49" s="194" t="s">
        <v>174</v>
      </c>
      <c r="K49" s="195" t="s">
        <v>175</v>
      </c>
      <c r="L49" s="195" t="s">
        <v>176</v>
      </c>
      <c r="M49" s="195" t="s">
        <v>177</v>
      </c>
      <c r="N49" s="195" t="s">
        <v>4</v>
      </c>
    </row>
    <row r="50" spans="1:14" ht="12.75">
      <c r="A50" s="197" t="s">
        <v>147</v>
      </c>
      <c r="B50" s="200">
        <v>1</v>
      </c>
      <c r="C50" s="199" t="s">
        <v>261</v>
      </c>
      <c r="D50" s="200"/>
      <c r="E50" s="217" t="s">
        <v>262</v>
      </c>
      <c r="F50" s="201"/>
      <c r="G50" s="204"/>
      <c r="H50" s="204">
        <v>1</v>
      </c>
      <c r="I50" s="204">
        <v>79.99</v>
      </c>
      <c r="J50" s="204">
        <f>H50*I50</f>
        <v>79.99</v>
      </c>
      <c r="K50" s="205">
        <v>0</v>
      </c>
      <c r="L50" s="205">
        <v>0</v>
      </c>
      <c r="M50" s="205">
        <f>SUM(J50:L50)</f>
        <v>79.99</v>
      </c>
      <c r="N50" s="205">
        <v>2512.96</v>
      </c>
    </row>
    <row r="51" spans="1:18" ht="12.75">
      <c r="A51" s="208"/>
      <c r="B51" s="208"/>
      <c r="C51" s="209"/>
      <c r="D51" s="209"/>
      <c r="E51" s="208"/>
      <c r="F51" s="208"/>
      <c r="G51" s="210"/>
      <c r="H51" s="208"/>
      <c r="I51" s="208"/>
      <c r="J51" s="211">
        <f>SUM(J49:J50)</f>
        <v>79.99</v>
      </c>
      <c r="K51" s="211">
        <f>SUM(K49:K50)</f>
        <v>0</v>
      </c>
      <c r="L51" s="211">
        <f>SUM(L49:L50)</f>
        <v>0</v>
      </c>
      <c r="M51" s="211">
        <f>SUM(M49:M50)</f>
        <v>79.99</v>
      </c>
      <c r="N51" s="211">
        <f>SUM(N49:N50)</f>
        <v>2512.96</v>
      </c>
      <c r="Q51" s="113"/>
      <c r="R51" s="113"/>
    </row>
    <row r="52" spans="1:18" ht="12.75">
      <c r="A52" s="208"/>
      <c r="B52" s="208"/>
      <c r="C52" s="209"/>
      <c r="D52" s="209"/>
      <c r="E52" s="208"/>
      <c r="F52" s="208"/>
      <c r="G52" s="210"/>
      <c r="H52" s="208"/>
      <c r="I52" s="208"/>
      <c r="J52" s="208"/>
      <c r="K52" s="208"/>
      <c r="L52" s="208"/>
      <c r="M52" s="213" t="s">
        <v>191</v>
      </c>
      <c r="N52" s="214">
        <v>2400</v>
      </c>
      <c r="Q52" s="113"/>
      <c r="R52" s="113"/>
    </row>
    <row r="53" spans="1:18" ht="12.75">
      <c r="A53" s="208"/>
      <c r="B53" s="208"/>
      <c r="C53" s="209"/>
      <c r="D53" s="209"/>
      <c r="E53" s="208"/>
      <c r="F53" s="208"/>
      <c r="G53" s="210"/>
      <c r="H53" s="208"/>
      <c r="I53" s="208"/>
      <c r="J53" s="208"/>
      <c r="K53" s="208"/>
      <c r="L53" s="208"/>
      <c r="M53" s="213" t="s">
        <v>192</v>
      </c>
      <c r="N53" s="214">
        <f>N52-N51</f>
        <v>-112.96000000000004</v>
      </c>
      <c r="Q53" s="113"/>
      <c r="R53" s="113"/>
    </row>
    <row r="54" spans="1:18" ht="12.75">
      <c r="A54" s="191" t="s">
        <v>263</v>
      </c>
      <c r="B54" s="192" t="s">
        <v>166</v>
      </c>
      <c r="C54" s="192" t="s">
        <v>167</v>
      </c>
      <c r="D54" s="192" t="s">
        <v>168</v>
      </c>
      <c r="E54" s="192" t="s">
        <v>169</v>
      </c>
      <c r="F54" s="192" t="s">
        <v>170</v>
      </c>
      <c r="G54" s="193" t="s">
        <v>171</v>
      </c>
      <c r="H54" s="194" t="s">
        <v>172</v>
      </c>
      <c r="I54" s="194" t="s">
        <v>173</v>
      </c>
      <c r="J54" s="194" t="s">
        <v>174</v>
      </c>
      <c r="K54" s="195" t="s">
        <v>175</v>
      </c>
      <c r="L54" s="195" t="s">
        <v>176</v>
      </c>
      <c r="M54" s="195" t="s">
        <v>177</v>
      </c>
      <c r="N54" s="195" t="s">
        <v>4</v>
      </c>
      <c r="Q54" s="113"/>
      <c r="R54" s="113"/>
    </row>
    <row r="55" spans="1:14" ht="12.75">
      <c r="A55" s="197" t="s">
        <v>264</v>
      </c>
      <c r="B55" s="200">
        <v>1</v>
      </c>
      <c r="C55" s="199" t="s">
        <v>265</v>
      </c>
      <c r="D55" s="221" t="s">
        <v>266</v>
      </c>
      <c r="E55" s="201" t="s">
        <v>267</v>
      </c>
      <c r="F55" s="201" t="s">
        <v>268</v>
      </c>
      <c r="G55" s="204" t="s">
        <v>269</v>
      </c>
      <c r="H55" s="204">
        <v>1</v>
      </c>
      <c r="I55" s="204">
        <v>79.99</v>
      </c>
      <c r="J55" s="204">
        <f>H55*I55</f>
        <v>79.99</v>
      </c>
      <c r="K55" s="205">
        <v>8.45</v>
      </c>
      <c r="L55" s="205">
        <v>0</v>
      </c>
      <c r="M55" s="205">
        <f>SUM(J55:L55)</f>
        <v>88.44</v>
      </c>
      <c r="N55" s="205">
        <v>2842.86</v>
      </c>
    </row>
    <row r="56" spans="1:14" ht="12.75">
      <c r="A56" s="197"/>
      <c r="B56" s="200">
        <v>2</v>
      </c>
      <c r="C56" s="199" t="s">
        <v>270</v>
      </c>
      <c r="D56" s="221">
        <v>658411</v>
      </c>
      <c r="E56" s="201" t="s">
        <v>271</v>
      </c>
      <c r="F56" s="201" t="s">
        <v>268</v>
      </c>
      <c r="G56" s="204" t="s">
        <v>231</v>
      </c>
      <c r="H56" s="204">
        <v>1</v>
      </c>
      <c r="I56" s="204">
        <v>29.99</v>
      </c>
      <c r="J56" s="204">
        <f>H56*I56</f>
        <v>29.99</v>
      </c>
      <c r="K56" s="205">
        <v>3.17</v>
      </c>
      <c r="L56" s="205">
        <v>0</v>
      </c>
      <c r="M56" s="205">
        <f>SUM(J56:L56)</f>
        <v>33.16</v>
      </c>
      <c r="N56" s="205">
        <v>1065.85</v>
      </c>
    </row>
    <row r="57" spans="1:18" ht="12.75">
      <c r="A57" s="208"/>
      <c r="B57" s="208"/>
      <c r="C57" s="209"/>
      <c r="D57" s="209"/>
      <c r="E57" s="208"/>
      <c r="F57" s="208"/>
      <c r="G57" s="210"/>
      <c r="H57" s="208"/>
      <c r="I57" s="208"/>
      <c r="J57" s="211">
        <f>SUM(J55:J56)</f>
        <v>109.97999999999999</v>
      </c>
      <c r="K57" s="211">
        <f>SUM(K55:K56)</f>
        <v>11.62</v>
      </c>
      <c r="L57" s="211">
        <f>SUM(L55:L56)</f>
        <v>0</v>
      </c>
      <c r="M57" s="211">
        <f>SUM(M55:M56)</f>
        <v>121.6</v>
      </c>
      <c r="N57" s="211">
        <f>SUM(N55:N56)</f>
        <v>3908.71</v>
      </c>
      <c r="Q57" s="113"/>
      <c r="R57" s="113"/>
    </row>
    <row r="58" spans="1:18" ht="12.75">
      <c r="A58" s="208"/>
      <c r="B58" s="208"/>
      <c r="C58" s="209"/>
      <c r="D58" s="209"/>
      <c r="E58" s="208"/>
      <c r="F58" s="208"/>
      <c r="G58" s="210"/>
      <c r="H58" s="208"/>
      <c r="I58" s="208"/>
      <c r="J58" s="208"/>
      <c r="K58" s="208"/>
      <c r="L58" s="208"/>
      <c r="M58" s="213" t="s">
        <v>191</v>
      </c>
      <c r="N58" s="214">
        <v>3891</v>
      </c>
      <c r="Q58" s="113"/>
      <c r="R58" s="113"/>
    </row>
    <row r="59" spans="1:14" ht="12.75">
      <c r="A59" s="208"/>
      <c r="B59" s="208"/>
      <c r="C59" s="209"/>
      <c r="D59" s="209"/>
      <c r="E59" s="208"/>
      <c r="F59" s="208"/>
      <c r="G59" s="210"/>
      <c r="H59" s="208"/>
      <c r="I59" s="208"/>
      <c r="J59" s="208"/>
      <c r="K59" s="208"/>
      <c r="L59" s="208"/>
      <c r="M59" s="213" t="s">
        <v>192</v>
      </c>
      <c r="N59" s="214">
        <f>N58-N57</f>
        <v>-17.710000000000036</v>
      </c>
    </row>
    <row r="60" spans="1:14" ht="12.75">
      <c r="A60" s="191" t="s">
        <v>90</v>
      </c>
      <c r="B60" s="192" t="s">
        <v>166</v>
      </c>
      <c r="C60" s="192" t="s">
        <v>167</v>
      </c>
      <c r="D60" s="192" t="s">
        <v>168</v>
      </c>
      <c r="E60" s="192" t="s">
        <v>169</v>
      </c>
      <c r="F60" s="192" t="s">
        <v>170</v>
      </c>
      <c r="G60" s="193" t="s">
        <v>171</v>
      </c>
      <c r="H60" s="194" t="s">
        <v>172</v>
      </c>
      <c r="I60" s="194" t="s">
        <v>173</v>
      </c>
      <c r="J60" s="194" t="s">
        <v>174</v>
      </c>
      <c r="K60" s="195" t="s">
        <v>175</v>
      </c>
      <c r="L60" s="195" t="s">
        <v>176</v>
      </c>
      <c r="M60" s="195" t="s">
        <v>177</v>
      </c>
      <c r="N60" s="195" t="s">
        <v>4</v>
      </c>
    </row>
    <row r="61" spans="1:14" ht="12.75">
      <c r="A61" s="197" t="s">
        <v>264</v>
      </c>
      <c r="B61" s="200">
        <v>1</v>
      </c>
      <c r="C61" s="199" t="s">
        <v>272</v>
      </c>
      <c r="D61" s="221" t="s">
        <v>273</v>
      </c>
      <c r="E61" s="201" t="s">
        <v>274</v>
      </c>
      <c r="F61" s="201" t="s">
        <v>275</v>
      </c>
      <c r="G61" s="204" t="s">
        <v>276</v>
      </c>
      <c r="H61" s="204">
        <v>1</v>
      </c>
      <c r="I61" s="204">
        <v>59.99</v>
      </c>
      <c r="J61" s="204">
        <f>H61*I61</f>
        <v>59.99</v>
      </c>
      <c r="K61" s="205">
        <v>6.34</v>
      </c>
      <c r="L61" s="205">
        <v>0</v>
      </c>
      <c r="M61" s="205">
        <f>SUM(J61:L61)</f>
        <v>66.33</v>
      </c>
      <c r="N61" s="205">
        <v>2132.06</v>
      </c>
    </row>
    <row r="62" spans="1:14" ht="12.75">
      <c r="A62" s="208"/>
      <c r="B62" s="208"/>
      <c r="C62" s="208"/>
      <c r="D62" s="208"/>
      <c r="E62" s="208"/>
      <c r="F62" s="208"/>
      <c r="G62" s="208"/>
      <c r="H62" s="208"/>
      <c r="I62" s="208"/>
      <c r="J62" s="211">
        <f>SUM(J60:J61)</f>
        <v>59.99</v>
      </c>
      <c r="K62" s="211">
        <f>SUM(K60:K61)</f>
        <v>6.34</v>
      </c>
      <c r="L62" s="211">
        <f>SUM(L60:L61)</f>
        <v>0</v>
      </c>
      <c r="M62" s="211">
        <f>SUM(M60:M61)</f>
        <v>66.33</v>
      </c>
      <c r="N62" s="211">
        <f>SUM(N60:N61)</f>
        <v>2132.06</v>
      </c>
    </row>
    <row r="63" spans="1:14" ht="12.7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13" t="s">
        <v>191</v>
      </c>
      <c r="N63" s="214">
        <v>2130</v>
      </c>
    </row>
    <row r="64" spans="1:14" ht="12.75">
      <c r="A64" s="208"/>
      <c r="B64" s="208"/>
      <c r="C64" s="209"/>
      <c r="D64" s="209"/>
      <c r="E64" s="208"/>
      <c r="F64" s="208"/>
      <c r="G64" s="210"/>
      <c r="H64" s="208"/>
      <c r="I64" s="208"/>
      <c r="J64" s="208"/>
      <c r="K64" s="208"/>
      <c r="L64" s="208"/>
      <c r="M64" s="213" t="s">
        <v>192</v>
      </c>
      <c r="N64" s="214">
        <f>N63-N62</f>
        <v>-2.0599999999999454</v>
      </c>
    </row>
    <row r="65" spans="1:14" ht="12.75">
      <c r="A65" s="191" t="s">
        <v>277</v>
      </c>
      <c r="B65" s="192" t="s">
        <v>166</v>
      </c>
      <c r="C65" s="192" t="s">
        <v>167</v>
      </c>
      <c r="D65" s="192" t="s">
        <v>168</v>
      </c>
      <c r="E65" s="192" t="s">
        <v>169</v>
      </c>
      <c r="F65" s="192" t="s">
        <v>170</v>
      </c>
      <c r="G65" s="193" t="s">
        <v>171</v>
      </c>
      <c r="H65" s="194" t="s">
        <v>172</v>
      </c>
      <c r="I65" s="194" t="s">
        <v>173</v>
      </c>
      <c r="J65" s="194" t="s">
        <v>174</v>
      </c>
      <c r="K65" s="194" t="s">
        <v>175</v>
      </c>
      <c r="L65" s="195" t="s">
        <v>176</v>
      </c>
      <c r="M65" s="195" t="s">
        <v>177</v>
      </c>
      <c r="N65" s="195" t="s">
        <v>4</v>
      </c>
    </row>
    <row r="66" spans="1:14" ht="12.75">
      <c r="A66" s="197" t="s">
        <v>141</v>
      </c>
      <c r="B66" s="208">
        <v>1</v>
      </c>
      <c r="C66" s="222" t="s">
        <v>278</v>
      </c>
      <c r="D66" s="209"/>
      <c r="E66" s="208"/>
      <c r="F66" s="208"/>
      <c r="G66" s="210"/>
      <c r="H66" s="208">
        <v>1</v>
      </c>
      <c r="I66" s="208">
        <v>30.99</v>
      </c>
      <c r="J66" s="208">
        <f>H66*I66</f>
        <v>30.99</v>
      </c>
      <c r="K66" s="208">
        <v>13.96</v>
      </c>
      <c r="L66" s="205">
        <v>0</v>
      </c>
      <c r="M66" s="205">
        <f>SUM(J66:L66)</f>
        <v>44.95</v>
      </c>
      <c r="N66" s="205">
        <v>1414.45</v>
      </c>
    </row>
    <row r="67" spans="1:14" ht="12.75">
      <c r="A67" s="208"/>
      <c r="B67" s="208"/>
      <c r="C67" s="208"/>
      <c r="D67" s="208"/>
      <c r="E67" s="208"/>
      <c r="F67" s="208"/>
      <c r="G67" s="210"/>
      <c r="H67" s="208"/>
      <c r="I67" s="208"/>
      <c r="J67" s="211">
        <f>SUM(J65:J66)</f>
        <v>30.99</v>
      </c>
      <c r="K67" s="211">
        <f>SUM(K65:K66)</f>
        <v>13.96</v>
      </c>
      <c r="L67" s="211">
        <f>SUM(L65:L66)</f>
        <v>0</v>
      </c>
      <c r="M67" s="211">
        <f>SUM(M65:M66)</f>
        <v>44.95</v>
      </c>
      <c r="N67" s="211">
        <f>SUM(N65:N66)</f>
        <v>1414.45</v>
      </c>
    </row>
    <row r="68" spans="1:14" ht="12.75">
      <c r="A68" s="208"/>
      <c r="B68" s="208"/>
      <c r="C68" s="208"/>
      <c r="D68" s="208"/>
      <c r="E68" s="208"/>
      <c r="F68" s="208"/>
      <c r="G68" s="210"/>
      <c r="H68" s="208"/>
      <c r="I68" s="208"/>
      <c r="J68" s="208"/>
      <c r="K68" s="208"/>
      <c r="L68" s="208"/>
      <c r="M68" s="213" t="s">
        <v>191</v>
      </c>
      <c r="N68" s="214">
        <v>1800</v>
      </c>
    </row>
    <row r="69" spans="1:14" ht="12.7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13" t="s">
        <v>192</v>
      </c>
      <c r="N69" s="214">
        <f>N68-N67</f>
        <v>385.54999999999995</v>
      </c>
    </row>
    <row r="70" spans="1:14" ht="12.75">
      <c r="A70" s="191" t="s">
        <v>279</v>
      </c>
      <c r="B70" s="192" t="s">
        <v>166</v>
      </c>
      <c r="C70" s="192" t="s">
        <v>167</v>
      </c>
      <c r="D70" s="192" t="s">
        <v>168</v>
      </c>
      <c r="E70" s="192" t="s">
        <v>169</v>
      </c>
      <c r="F70" s="192" t="s">
        <v>170</v>
      </c>
      <c r="G70" s="193" t="s">
        <v>171</v>
      </c>
      <c r="H70" s="194" t="s">
        <v>172</v>
      </c>
      <c r="I70" s="194" t="s">
        <v>173</v>
      </c>
      <c r="J70" s="194" t="s">
        <v>174</v>
      </c>
      <c r="K70" s="194" t="s">
        <v>175</v>
      </c>
      <c r="L70" s="195" t="s">
        <v>176</v>
      </c>
      <c r="M70" s="195" t="s">
        <v>177</v>
      </c>
      <c r="N70" s="195" t="s">
        <v>4</v>
      </c>
    </row>
    <row r="71" spans="1:14" ht="12.75">
      <c r="A71" s="197" t="s">
        <v>141</v>
      </c>
      <c r="B71" s="208">
        <v>1</v>
      </c>
      <c r="C71" s="222" t="s">
        <v>280</v>
      </c>
      <c r="D71" s="209"/>
      <c r="E71" s="208"/>
      <c r="F71" s="208"/>
      <c r="G71" s="210"/>
      <c r="H71" s="208">
        <v>1</v>
      </c>
      <c r="I71" s="208">
        <v>0.99</v>
      </c>
      <c r="J71" s="208">
        <f>H71*I71</f>
        <v>0.99</v>
      </c>
      <c r="K71" s="208">
        <v>5.9</v>
      </c>
      <c r="L71" s="205">
        <v>0</v>
      </c>
      <c r="M71" s="205">
        <f>SUM(J71:L71)</f>
        <v>6.890000000000001</v>
      </c>
      <c r="N71" s="205">
        <v>216.55</v>
      </c>
    </row>
    <row r="72" spans="1:14" ht="12.75">
      <c r="A72" s="197" t="s">
        <v>96</v>
      </c>
      <c r="B72" s="208">
        <v>1</v>
      </c>
      <c r="C72" s="222"/>
      <c r="D72" s="209"/>
      <c r="E72" s="208" t="s">
        <v>281</v>
      </c>
      <c r="F72" s="208" t="s">
        <v>282</v>
      </c>
      <c r="G72" s="210" t="s">
        <v>283</v>
      </c>
      <c r="H72" s="208">
        <v>1</v>
      </c>
      <c r="I72" s="208">
        <v>19.99</v>
      </c>
      <c r="J72" s="208">
        <f>H72*I72</f>
        <v>19.99</v>
      </c>
      <c r="K72" s="208"/>
      <c r="L72" s="205">
        <f>J72*0.0975</f>
        <v>1.949025</v>
      </c>
      <c r="M72" s="205">
        <f>SUM(J72:L72)</f>
        <v>21.939024999999997</v>
      </c>
      <c r="N72" s="205"/>
    </row>
    <row r="73" spans="1:14" ht="12.75">
      <c r="A73" s="197"/>
      <c r="B73" s="208">
        <v>2</v>
      </c>
      <c r="C73" s="222"/>
      <c r="D73" s="209"/>
      <c r="E73" s="208" t="s">
        <v>183</v>
      </c>
      <c r="F73" s="208" t="s">
        <v>284</v>
      </c>
      <c r="G73" s="210" t="s">
        <v>285</v>
      </c>
      <c r="H73" s="208">
        <v>1</v>
      </c>
      <c r="I73" s="208">
        <v>19.99</v>
      </c>
      <c r="J73" s="208">
        <f>H73*I73</f>
        <v>19.99</v>
      </c>
      <c r="K73" s="208">
        <v>8.95</v>
      </c>
      <c r="L73" s="205">
        <f>J73*0.0975</f>
        <v>1.949025</v>
      </c>
      <c r="M73" s="205">
        <f>SUM(J73:L73)</f>
        <v>30.889024999999997</v>
      </c>
      <c r="N73" s="205">
        <v>1684.37</v>
      </c>
    </row>
    <row r="74" spans="1:14" ht="12.75">
      <c r="A74" s="208"/>
      <c r="B74" s="208"/>
      <c r="C74" s="208"/>
      <c r="D74" s="208"/>
      <c r="E74" s="208"/>
      <c r="F74" s="208"/>
      <c r="G74" s="210"/>
      <c r="H74" s="208"/>
      <c r="I74" s="208"/>
      <c r="J74" s="211">
        <f>SUM(J71:J73)</f>
        <v>40.97</v>
      </c>
      <c r="K74" s="211">
        <f>SUM(K71:K73)</f>
        <v>14.85</v>
      </c>
      <c r="L74" s="211">
        <f>SUM(L71:L73)</f>
        <v>3.89805</v>
      </c>
      <c r="M74" s="211">
        <f>SUM(M71:M73)</f>
        <v>59.71804999999999</v>
      </c>
      <c r="N74" s="211">
        <f>SUM(N71:N73)</f>
        <v>1900.9199999999998</v>
      </c>
    </row>
    <row r="75" spans="1:14" ht="12.75">
      <c r="A75" s="208"/>
      <c r="B75" s="208"/>
      <c r="C75" s="208"/>
      <c r="D75" s="208"/>
      <c r="E75" s="208"/>
      <c r="F75" s="208"/>
      <c r="G75" s="210"/>
      <c r="H75" s="208"/>
      <c r="I75" s="208"/>
      <c r="J75" s="208"/>
      <c r="K75" s="208"/>
      <c r="L75" s="208"/>
      <c r="M75" s="213" t="s">
        <v>191</v>
      </c>
      <c r="N75" s="214">
        <f>695+1520</f>
        <v>2215</v>
      </c>
    </row>
    <row r="76" spans="1:14" ht="12.7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13" t="s">
        <v>192</v>
      </c>
      <c r="N76" s="214">
        <f>N75-N74</f>
        <v>314.08000000000015</v>
      </c>
    </row>
    <row r="77" spans="1:14" ht="12.75">
      <c r="A77" s="191" t="s">
        <v>157</v>
      </c>
      <c r="B77" s="192" t="s">
        <v>166</v>
      </c>
      <c r="C77" s="192" t="s">
        <v>167</v>
      </c>
      <c r="D77" s="192" t="s">
        <v>168</v>
      </c>
      <c r="E77" s="192" t="s">
        <v>169</v>
      </c>
      <c r="F77" s="192" t="s">
        <v>170</v>
      </c>
      <c r="G77" s="193" t="s">
        <v>171</v>
      </c>
      <c r="H77" s="194" t="s">
        <v>172</v>
      </c>
      <c r="I77" s="194" t="s">
        <v>173</v>
      </c>
      <c r="J77" s="194" t="s">
        <v>174</v>
      </c>
      <c r="K77" s="194" t="s">
        <v>175</v>
      </c>
      <c r="L77" s="195" t="s">
        <v>176</v>
      </c>
      <c r="M77" s="195" t="s">
        <v>177</v>
      </c>
      <c r="N77" s="195" t="s">
        <v>4</v>
      </c>
    </row>
    <row r="78" spans="1:14" ht="12.75">
      <c r="A78" s="197" t="s">
        <v>147</v>
      </c>
      <c r="B78" s="208">
        <v>1</v>
      </c>
      <c r="C78" s="223" t="s">
        <v>286</v>
      </c>
      <c r="D78" s="209"/>
      <c r="E78" s="208" t="s">
        <v>287</v>
      </c>
      <c r="F78" s="208"/>
      <c r="G78" s="210" t="s">
        <v>283</v>
      </c>
      <c r="H78" s="208">
        <v>1</v>
      </c>
      <c r="I78" s="208">
        <v>24.99</v>
      </c>
      <c r="J78" s="208">
        <f>H78*I78</f>
        <v>24.99</v>
      </c>
      <c r="K78" s="208">
        <v>5.95</v>
      </c>
      <c r="L78" s="205">
        <v>0</v>
      </c>
      <c r="M78" s="205">
        <f>SUM(J78:L78)</f>
        <v>30.939999999999998</v>
      </c>
      <c r="N78" s="205">
        <v>973.59</v>
      </c>
    </row>
    <row r="79" spans="1:14" ht="12.75">
      <c r="A79" s="208"/>
      <c r="B79" s="208"/>
      <c r="C79" s="208"/>
      <c r="D79" s="208"/>
      <c r="E79" s="208"/>
      <c r="F79" s="208"/>
      <c r="G79" s="208"/>
      <c r="H79" s="208"/>
      <c r="I79" s="208"/>
      <c r="J79" s="211">
        <f>SUM(J77:J78)</f>
        <v>24.99</v>
      </c>
      <c r="K79" s="211">
        <f>SUM(K77:K78)</f>
        <v>5.95</v>
      </c>
      <c r="L79" s="211">
        <f>SUM(L77:L78)</f>
        <v>0</v>
      </c>
      <c r="M79" s="211">
        <f>SUM(M77:M78)</f>
        <v>30.939999999999998</v>
      </c>
      <c r="N79" s="211">
        <f>SUM(N77:N78)</f>
        <v>973.59</v>
      </c>
    </row>
    <row r="80" spans="1:14" ht="12.75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13" t="s">
        <v>191</v>
      </c>
      <c r="N80" s="214">
        <f>2000-750</f>
        <v>1250</v>
      </c>
    </row>
    <row r="81" spans="1:14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13" t="s">
        <v>192</v>
      </c>
      <c r="N81" s="214">
        <f>N80-N79</f>
        <v>276.40999999999997</v>
      </c>
    </row>
    <row r="82" spans="1:14" ht="12.75">
      <c r="A82" s="191" t="s">
        <v>288</v>
      </c>
      <c r="B82" s="192" t="s">
        <v>166</v>
      </c>
      <c r="C82" s="192" t="s">
        <v>167</v>
      </c>
      <c r="D82" s="192" t="s">
        <v>168</v>
      </c>
      <c r="E82" s="192" t="s">
        <v>169</v>
      </c>
      <c r="F82" s="192" t="s">
        <v>170</v>
      </c>
      <c r="G82" s="193" t="s">
        <v>171</v>
      </c>
      <c r="H82" s="194" t="s">
        <v>172</v>
      </c>
      <c r="I82" s="194" t="s">
        <v>173</v>
      </c>
      <c r="J82" s="194" t="s">
        <v>174</v>
      </c>
      <c r="K82" s="194" t="s">
        <v>175</v>
      </c>
      <c r="L82" s="195" t="s">
        <v>176</v>
      </c>
      <c r="M82" s="195" t="s">
        <v>177</v>
      </c>
      <c r="N82" s="195" t="s">
        <v>4</v>
      </c>
    </row>
    <row r="83" spans="1:14" ht="12.75">
      <c r="A83" s="197" t="s">
        <v>152</v>
      </c>
      <c r="B83" s="208">
        <v>1</v>
      </c>
      <c r="C83" s="224" t="s">
        <v>289</v>
      </c>
      <c r="D83" s="209" t="s">
        <v>290</v>
      </c>
      <c r="E83" s="208" t="s">
        <v>291</v>
      </c>
      <c r="F83" s="208" t="s">
        <v>292</v>
      </c>
      <c r="G83" s="210" t="s">
        <v>293</v>
      </c>
      <c r="H83" s="208">
        <v>1</v>
      </c>
      <c r="I83" s="208">
        <v>48.07</v>
      </c>
      <c r="J83" s="208">
        <f>H83*I83</f>
        <v>48.07</v>
      </c>
      <c r="K83" s="208">
        <v>6.95</v>
      </c>
      <c r="L83" s="205">
        <v>0</v>
      </c>
      <c r="M83" s="205">
        <f>SUM(J83:L83)</f>
        <v>55.02</v>
      </c>
      <c r="N83" s="205">
        <v>1728.51</v>
      </c>
    </row>
    <row r="84" spans="1:14" ht="12.75">
      <c r="A84" s="197"/>
      <c r="B84" s="208"/>
      <c r="C84" s="209"/>
      <c r="D84" s="209"/>
      <c r="E84" s="208"/>
      <c r="F84" s="208"/>
      <c r="G84" s="210"/>
      <c r="H84" s="208"/>
      <c r="I84" s="208"/>
      <c r="J84" s="208"/>
      <c r="K84" s="211">
        <f>SUM(K82:K83)</f>
        <v>6.95</v>
      </c>
      <c r="L84" s="211">
        <f>SUM(L82:L83)</f>
        <v>0</v>
      </c>
      <c r="M84" s="211">
        <f>SUM(M82:M83)</f>
        <v>55.02</v>
      </c>
      <c r="N84" s="211">
        <f>SUM(N82:N83)</f>
        <v>1728.51</v>
      </c>
    </row>
    <row r="85" spans="1:14" ht="12.75">
      <c r="A85" s="208"/>
      <c r="B85" s="208"/>
      <c r="C85" s="208"/>
      <c r="D85" s="209"/>
      <c r="E85" s="208"/>
      <c r="F85" s="208"/>
      <c r="G85" s="210"/>
      <c r="H85" s="208"/>
      <c r="I85" s="208"/>
      <c r="J85" s="208"/>
      <c r="K85" s="208"/>
      <c r="L85" s="208"/>
      <c r="M85" s="213" t="s">
        <v>191</v>
      </c>
      <c r="N85" s="214">
        <f>4655-2926.49</f>
        <v>1728.5100000000002</v>
      </c>
    </row>
    <row r="86" spans="1:14" ht="12.75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13" t="s">
        <v>192</v>
      </c>
      <c r="N86" s="214">
        <f>N85-N84</f>
        <v>0</v>
      </c>
    </row>
    <row r="87" spans="1:14" ht="12.75">
      <c r="A87" s="225" t="s">
        <v>294</v>
      </c>
      <c r="B87" s="192" t="s">
        <v>166</v>
      </c>
      <c r="C87" s="192" t="s">
        <v>167</v>
      </c>
      <c r="D87" s="192" t="s">
        <v>168</v>
      </c>
      <c r="E87" s="192" t="s">
        <v>169</v>
      </c>
      <c r="F87" s="192" t="s">
        <v>170</v>
      </c>
      <c r="G87" s="193" t="s">
        <v>171</v>
      </c>
      <c r="H87" s="194" t="s">
        <v>172</v>
      </c>
      <c r="I87" s="194" t="s">
        <v>173</v>
      </c>
      <c r="J87" s="194" t="s">
        <v>174</v>
      </c>
      <c r="K87" s="194" t="s">
        <v>175</v>
      </c>
      <c r="L87" s="195" t="s">
        <v>176</v>
      </c>
      <c r="M87" s="195" t="s">
        <v>177</v>
      </c>
      <c r="N87" s="195" t="s">
        <v>4</v>
      </c>
    </row>
    <row r="88" spans="1:14" ht="12.75">
      <c r="A88" s="197" t="s">
        <v>141</v>
      </c>
      <c r="B88" s="208"/>
      <c r="C88" s="224" t="s">
        <v>295</v>
      </c>
      <c r="D88" s="209"/>
      <c r="E88" s="208"/>
      <c r="F88" s="208"/>
      <c r="G88" s="210"/>
      <c r="H88" s="208">
        <v>1</v>
      </c>
      <c r="I88" s="208">
        <v>3.99</v>
      </c>
      <c r="J88" s="208">
        <f>H88*I88</f>
        <v>3.99</v>
      </c>
      <c r="K88" s="208">
        <v>9.99</v>
      </c>
      <c r="L88" s="205">
        <v>0</v>
      </c>
      <c r="M88" s="205">
        <f>SUM(J88:L88)</f>
        <v>13.98</v>
      </c>
      <c r="N88" s="205">
        <v>438.49</v>
      </c>
    </row>
    <row r="89" spans="1:14" ht="12.75">
      <c r="A89" s="197"/>
      <c r="B89" s="208"/>
      <c r="C89" s="224" t="s">
        <v>296</v>
      </c>
      <c r="D89" s="209"/>
      <c r="E89" s="208"/>
      <c r="F89" s="208"/>
      <c r="G89" s="210"/>
      <c r="H89" s="208">
        <v>1</v>
      </c>
      <c r="I89" s="208">
        <v>8.99</v>
      </c>
      <c r="J89" s="208">
        <f>H89*I89</f>
        <v>8.99</v>
      </c>
      <c r="K89" s="208">
        <v>8.2</v>
      </c>
      <c r="L89" s="205">
        <v>0</v>
      </c>
      <c r="M89" s="205">
        <f>SUM(J89:L89)</f>
        <v>17.189999999999998</v>
      </c>
      <c r="N89" s="205">
        <v>539.16</v>
      </c>
    </row>
    <row r="90" spans="1:14" ht="12.75">
      <c r="A90" s="208"/>
      <c r="B90" s="208"/>
      <c r="C90" s="208"/>
      <c r="D90" s="226"/>
      <c r="E90" s="208"/>
      <c r="F90" s="208"/>
      <c r="G90" s="208"/>
      <c r="H90" s="208"/>
      <c r="I90" s="208"/>
      <c r="J90" s="211">
        <f>SUM(J88:J89)</f>
        <v>12.98</v>
      </c>
      <c r="K90" s="211">
        <f>SUM(K88:K89)</f>
        <v>18.189999999999998</v>
      </c>
      <c r="L90" s="211">
        <f>SUM(L88:L89)</f>
        <v>0</v>
      </c>
      <c r="M90" s="211">
        <f>SUM(M88:M89)</f>
        <v>31.169999999999998</v>
      </c>
      <c r="N90" s="211">
        <f>SUM(N88:N89)</f>
        <v>977.65</v>
      </c>
    </row>
    <row r="91" spans="1:14" ht="12.75">
      <c r="A91" s="208"/>
      <c r="B91" s="208"/>
      <c r="C91" s="208"/>
      <c r="D91" s="226"/>
      <c r="E91" s="208"/>
      <c r="F91" s="208"/>
      <c r="G91" s="208"/>
      <c r="H91" s="208"/>
      <c r="I91" s="208"/>
      <c r="J91" s="208"/>
      <c r="K91" s="208"/>
      <c r="L91" s="208"/>
      <c r="M91" s="213" t="s">
        <v>191</v>
      </c>
      <c r="N91" s="214">
        <v>1050</v>
      </c>
    </row>
    <row r="92" spans="1:14" ht="12.75">
      <c r="A92" s="208"/>
      <c r="B92" s="208"/>
      <c r="C92" s="208"/>
      <c r="D92" s="226"/>
      <c r="E92" s="208"/>
      <c r="F92" s="208"/>
      <c r="G92" s="208"/>
      <c r="H92" s="208"/>
      <c r="I92" s="208"/>
      <c r="J92" s="208"/>
      <c r="K92" s="208"/>
      <c r="L92" s="208"/>
      <c r="M92" s="213" t="s">
        <v>192</v>
      </c>
      <c r="N92" s="214">
        <f>N91-N90</f>
        <v>72.35000000000002</v>
      </c>
    </row>
    <row r="93" spans="1:14" ht="12.75">
      <c r="A93" s="191" t="s">
        <v>297</v>
      </c>
      <c r="B93" s="192" t="s">
        <v>166</v>
      </c>
      <c r="C93" s="192" t="s">
        <v>167</v>
      </c>
      <c r="D93" s="192" t="s">
        <v>168</v>
      </c>
      <c r="E93" s="192" t="s">
        <v>169</v>
      </c>
      <c r="F93" s="192" t="s">
        <v>170</v>
      </c>
      <c r="G93" s="193" t="s">
        <v>171</v>
      </c>
      <c r="H93" s="194" t="s">
        <v>172</v>
      </c>
      <c r="I93" s="194" t="s">
        <v>173</v>
      </c>
      <c r="J93" s="194" t="s">
        <v>174</v>
      </c>
      <c r="K93" s="194" t="s">
        <v>175</v>
      </c>
      <c r="L93" s="195" t="s">
        <v>176</v>
      </c>
      <c r="M93" s="195" t="s">
        <v>177</v>
      </c>
      <c r="N93" s="195" t="s">
        <v>4</v>
      </c>
    </row>
    <row r="94" spans="1:14" ht="12.75">
      <c r="A94" s="197" t="s">
        <v>152</v>
      </c>
      <c r="B94" s="208">
        <v>1</v>
      </c>
      <c r="C94" s="224" t="s">
        <v>298</v>
      </c>
      <c r="D94" s="209"/>
      <c r="E94" s="227" t="s">
        <v>299</v>
      </c>
      <c r="F94" s="208" t="s">
        <v>300</v>
      </c>
      <c r="G94" s="210" t="s">
        <v>203</v>
      </c>
      <c r="H94" s="208">
        <v>1</v>
      </c>
      <c r="I94" s="208">
        <v>83.3</v>
      </c>
      <c r="J94" s="208">
        <f>H94*I94</f>
        <v>83.3</v>
      </c>
      <c r="K94" s="208">
        <v>6.95</v>
      </c>
      <c r="L94" s="205">
        <v>0</v>
      </c>
      <c r="M94" s="205">
        <f>SUM(J94:L94)</f>
        <v>90.25</v>
      </c>
      <c r="N94" s="205">
        <v>2837.46</v>
      </c>
    </row>
    <row r="95" spans="1:14" ht="12.75">
      <c r="A95" s="197" t="s">
        <v>96</v>
      </c>
      <c r="B95" s="208">
        <v>1</v>
      </c>
      <c r="C95" s="223" t="s">
        <v>301</v>
      </c>
      <c r="D95" s="209"/>
      <c r="E95" s="208" t="s">
        <v>302</v>
      </c>
      <c r="F95" s="208" t="s">
        <v>303</v>
      </c>
      <c r="G95" s="210" t="s">
        <v>304</v>
      </c>
      <c r="H95" s="208">
        <v>1</v>
      </c>
      <c r="I95" s="208">
        <v>24.99</v>
      </c>
      <c r="J95" s="208">
        <f>H95*I95</f>
        <v>24.99</v>
      </c>
      <c r="K95" s="208"/>
      <c r="L95" s="205">
        <f>J95*0.0975</f>
        <v>2.436525</v>
      </c>
      <c r="M95" s="205">
        <f>SUM(J95:L95)</f>
        <v>27.426524999999998</v>
      </c>
      <c r="N95" s="205"/>
    </row>
    <row r="96" spans="1:14" ht="12.75">
      <c r="A96" s="197"/>
      <c r="B96" s="208">
        <v>2</v>
      </c>
      <c r="C96" s="224" t="s">
        <v>305</v>
      </c>
      <c r="D96" s="209"/>
      <c r="E96" s="208" t="s">
        <v>306</v>
      </c>
      <c r="F96" s="208" t="s">
        <v>307</v>
      </c>
      <c r="G96" s="210" t="s">
        <v>308</v>
      </c>
      <c r="H96" s="208">
        <v>1</v>
      </c>
      <c r="I96" s="208">
        <v>29.99</v>
      </c>
      <c r="J96" s="208">
        <f>H96*I96</f>
        <v>29.99</v>
      </c>
      <c r="K96" s="208"/>
      <c r="L96" s="205">
        <f>J96*0.0975</f>
        <v>2.924025</v>
      </c>
      <c r="M96" s="205">
        <f>SUM(J96:L96)</f>
        <v>32.914024999999995</v>
      </c>
      <c r="N96" s="205"/>
    </row>
    <row r="97" spans="1:14" ht="12.75">
      <c r="A97" s="197"/>
      <c r="B97" s="208">
        <v>3</v>
      </c>
      <c r="C97" s="223" t="s">
        <v>309</v>
      </c>
      <c r="D97" s="209"/>
      <c r="E97" s="208" t="s">
        <v>229</v>
      </c>
      <c r="F97" s="208" t="s">
        <v>307</v>
      </c>
      <c r="G97" s="210" t="s">
        <v>231</v>
      </c>
      <c r="H97" s="208">
        <v>1</v>
      </c>
      <c r="I97" s="208">
        <v>5.99</v>
      </c>
      <c r="J97" s="208">
        <f>H97*I97</f>
        <v>5.99</v>
      </c>
      <c r="K97" s="208">
        <v>5.75</v>
      </c>
      <c r="L97" s="205">
        <f>J97*0.0975</f>
        <v>0.584025</v>
      </c>
      <c r="M97" s="205">
        <f>SUM(J97:L97)</f>
        <v>12.324025</v>
      </c>
      <c r="N97" s="205">
        <v>2284.43</v>
      </c>
    </row>
    <row r="98" spans="1:14" ht="12.75">
      <c r="A98" s="208"/>
      <c r="B98" s="208"/>
      <c r="C98" s="209"/>
      <c r="D98" s="209"/>
      <c r="E98" s="208"/>
      <c r="F98" s="208"/>
      <c r="G98" s="210"/>
      <c r="H98" s="208"/>
      <c r="I98" s="208"/>
      <c r="J98" s="211">
        <f>SUM(J94:J97)</f>
        <v>144.26999999999998</v>
      </c>
      <c r="K98" s="211">
        <f>SUM(K94:K97)</f>
        <v>12.7</v>
      </c>
      <c r="L98" s="211">
        <f>SUM(L94:L97)</f>
        <v>5.944575</v>
      </c>
      <c r="M98" s="211">
        <f>SUM(M94:M97)</f>
        <v>162.914575</v>
      </c>
      <c r="N98" s="211">
        <f>SUM(N94:N97)</f>
        <v>5121.889999999999</v>
      </c>
    </row>
    <row r="99" spans="1:14" ht="12.75">
      <c r="A99" s="208"/>
      <c r="B99" s="208"/>
      <c r="C99" s="209"/>
      <c r="D99" s="209"/>
      <c r="E99" s="208"/>
      <c r="F99" s="208"/>
      <c r="G99" s="210"/>
      <c r="H99" s="208"/>
      <c r="I99" s="208"/>
      <c r="J99" s="208"/>
      <c r="K99" s="208"/>
      <c r="L99" s="208"/>
      <c r="M99" s="213" t="s">
        <v>191</v>
      </c>
      <c r="N99" s="214">
        <v>5500</v>
      </c>
    </row>
    <row r="100" spans="1:14" ht="12.75">
      <c r="A100" s="208"/>
      <c r="B100" s="208"/>
      <c r="C100" s="209"/>
      <c r="D100" s="209"/>
      <c r="E100" s="208"/>
      <c r="F100" s="208"/>
      <c r="G100" s="210"/>
      <c r="H100" s="208"/>
      <c r="I100" s="208"/>
      <c r="J100" s="208"/>
      <c r="K100" s="208"/>
      <c r="L100" s="208"/>
      <c r="M100" s="213" t="s">
        <v>192</v>
      </c>
      <c r="N100" s="214">
        <f>N99-N98</f>
        <v>378.1100000000006</v>
      </c>
    </row>
    <row r="101" spans="1:14" ht="12.75">
      <c r="A101" s="191" t="s">
        <v>310</v>
      </c>
      <c r="B101" s="192" t="s">
        <v>166</v>
      </c>
      <c r="C101" s="192" t="s">
        <v>167</v>
      </c>
      <c r="D101" s="192" t="s">
        <v>168</v>
      </c>
      <c r="E101" s="192" t="s">
        <v>169</v>
      </c>
      <c r="F101" s="192" t="s">
        <v>170</v>
      </c>
      <c r="G101" s="193" t="s">
        <v>171</v>
      </c>
      <c r="H101" s="194" t="s">
        <v>172</v>
      </c>
      <c r="I101" s="194" t="s">
        <v>173</v>
      </c>
      <c r="J101" s="194" t="s">
        <v>174</v>
      </c>
      <c r="K101" s="194" t="s">
        <v>175</v>
      </c>
      <c r="L101" s="195" t="s">
        <v>176</v>
      </c>
      <c r="M101" s="195" t="s">
        <v>177</v>
      </c>
      <c r="N101" s="195" t="s">
        <v>4</v>
      </c>
    </row>
    <row r="102" spans="1:14" ht="12.75">
      <c r="A102" s="197" t="s">
        <v>96</v>
      </c>
      <c r="B102" s="208">
        <v>1</v>
      </c>
      <c r="C102" s="223" t="s">
        <v>311</v>
      </c>
      <c r="D102" s="209" t="s">
        <v>312</v>
      </c>
      <c r="E102" s="208" t="s">
        <v>313</v>
      </c>
      <c r="F102" s="208" t="s">
        <v>314</v>
      </c>
      <c r="G102" s="210" t="s">
        <v>315</v>
      </c>
      <c r="H102" s="208">
        <v>1</v>
      </c>
      <c r="I102" s="208">
        <v>59.5</v>
      </c>
      <c r="J102" s="208">
        <f>H102*I102</f>
        <v>59.5</v>
      </c>
      <c r="K102" s="208">
        <v>5.6</v>
      </c>
      <c r="L102" s="205">
        <f>J102*0.0975</f>
        <v>5.8012500000000005</v>
      </c>
      <c r="M102" s="205">
        <f>SUM(J102:L102)</f>
        <v>70.90125</v>
      </c>
      <c r="N102" s="205">
        <v>2229.09</v>
      </c>
    </row>
    <row r="103" spans="1:14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11">
        <f>SUM(J101:J102)</f>
        <v>59.5</v>
      </c>
      <c r="K103" s="211">
        <f>SUM(K101:K102)</f>
        <v>5.6</v>
      </c>
      <c r="L103" s="211">
        <f>SUM(L101:L102)</f>
        <v>5.8012500000000005</v>
      </c>
      <c r="M103" s="211">
        <f>SUM(M101:M102)</f>
        <v>70.90125</v>
      </c>
      <c r="N103" s="211">
        <f>SUM(N101:N102)</f>
        <v>2229.09</v>
      </c>
    </row>
    <row r="104" spans="1:14" ht="12.75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13" t="s">
        <v>191</v>
      </c>
      <c r="N104" s="214">
        <v>2376</v>
      </c>
    </row>
    <row r="105" spans="1:14" ht="12.75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13" t="s">
        <v>192</v>
      </c>
      <c r="N105" s="214">
        <f>N104-N103</f>
        <v>146.90999999999985</v>
      </c>
    </row>
    <row r="106" spans="1:14" ht="12.75">
      <c r="A106" s="191" t="s">
        <v>316</v>
      </c>
      <c r="B106" s="192" t="s">
        <v>166</v>
      </c>
      <c r="C106" s="192" t="s">
        <v>167</v>
      </c>
      <c r="D106" s="192" t="s">
        <v>168</v>
      </c>
      <c r="E106" s="192" t="s">
        <v>169</v>
      </c>
      <c r="F106" s="192" t="s">
        <v>170</v>
      </c>
      <c r="G106" s="193" t="s">
        <v>171</v>
      </c>
      <c r="H106" s="194" t="s">
        <v>172</v>
      </c>
      <c r="I106" s="194" t="s">
        <v>173</v>
      </c>
      <c r="J106" s="194" t="s">
        <v>174</v>
      </c>
      <c r="K106" s="194" t="s">
        <v>175</v>
      </c>
      <c r="L106" s="195" t="s">
        <v>176</v>
      </c>
      <c r="M106" s="195" t="s">
        <v>177</v>
      </c>
      <c r="N106" s="195" t="s">
        <v>4</v>
      </c>
    </row>
    <row r="107" spans="1:14" ht="12.75">
      <c r="A107" s="197" t="s">
        <v>96</v>
      </c>
      <c r="B107" s="208">
        <v>1</v>
      </c>
      <c r="C107" s="223" t="s">
        <v>311</v>
      </c>
      <c r="D107" s="209" t="s">
        <v>312</v>
      </c>
      <c r="E107" s="208" t="s">
        <v>313</v>
      </c>
      <c r="F107" s="208" t="s">
        <v>314</v>
      </c>
      <c r="G107" s="210" t="s">
        <v>317</v>
      </c>
      <c r="H107" s="208">
        <v>1</v>
      </c>
      <c r="I107" s="208">
        <v>59.5</v>
      </c>
      <c r="J107" s="208">
        <f>H107*I107</f>
        <v>59.5</v>
      </c>
      <c r="K107" s="208">
        <v>5.6</v>
      </c>
      <c r="L107" s="205">
        <f>J107*0.0975</f>
        <v>5.8012500000000005</v>
      </c>
      <c r="M107" s="205">
        <f>SUM(J107:L107)</f>
        <v>70.90125</v>
      </c>
      <c r="N107" s="205">
        <v>2229.09</v>
      </c>
    </row>
    <row r="108" spans="1:14" ht="12.75">
      <c r="A108" s="208"/>
      <c r="B108" s="208"/>
      <c r="C108" s="208"/>
      <c r="D108" s="208"/>
      <c r="E108" s="208"/>
      <c r="F108" s="208"/>
      <c r="G108" s="208"/>
      <c r="H108" s="208"/>
      <c r="I108" s="208"/>
      <c r="J108" s="211">
        <f>SUM(J106:J107)</f>
        <v>59.5</v>
      </c>
      <c r="K108" s="211">
        <f>SUM(K106:K107)</f>
        <v>5.6</v>
      </c>
      <c r="L108" s="211">
        <f>SUM(L106:L107)</f>
        <v>5.8012500000000005</v>
      </c>
      <c r="M108" s="211">
        <f>SUM(M106:M107)</f>
        <v>70.90125</v>
      </c>
      <c r="N108" s="211">
        <f>SUM(N106:N107)</f>
        <v>2229.09</v>
      </c>
    </row>
    <row r="109" spans="1:14" ht="12.75">
      <c r="A109" s="208"/>
      <c r="B109" s="208"/>
      <c r="C109" s="209"/>
      <c r="D109" s="209"/>
      <c r="E109" s="208"/>
      <c r="F109" s="208"/>
      <c r="G109" s="210"/>
      <c r="H109" s="208"/>
      <c r="I109" s="208"/>
      <c r="J109" s="208"/>
      <c r="K109" s="208"/>
      <c r="L109" s="208"/>
      <c r="M109" s="213" t="s">
        <v>191</v>
      </c>
      <c r="N109" s="214">
        <v>2400</v>
      </c>
    </row>
    <row r="110" spans="1:14" ht="12.75">
      <c r="A110" s="208"/>
      <c r="B110" s="208"/>
      <c r="C110" s="208"/>
      <c r="D110" s="209"/>
      <c r="E110" s="208"/>
      <c r="F110" s="208"/>
      <c r="G110" s="208"/>
      <c r="H110" s="208"/>
      <c r="I110" s="208"/>
      <c r="J110" s="208"/>
      <c r="K110" s="208"/>
      <c r="L110" s="208"/>
      <c r="M110" s="213" t="s">
        <v>192</v>
      </c>
      <c r="N110" s="214">
        <f>N109-N108</f>
        <v>170.90999999999985</v>
      </c>
    </row>
    <row r="111" spans="1:14" ht="12.75">
      <c r="A111" s="191" t="s">
        <v>318</v>
      </c>
      <c r="B111" s="192" t="s">
        <v>166</v>
      </c>
      <c r="C111" s="192" t="s">
        <v>167</v>
      </c>
      <c r="D111" s="192" t="s">
        <v>168</v>
      </c>
      <c r="E111" s="192" t="s">
        <v>169</v>
      </c>
      <c r="F111" s="192" t="s">
        <v>170</v>
      </c>
      <c r="G111" s="193" t="s">
        <v>171</v>
      </c>
      <c r="H111" s="194" t="s">
        <v>172</v>
      </c>
      <c r="I111" s="194" t="s">
        <v>173</v>
      </c>
      <c r="J111" s="194" t="s">
        <v>174</v>
      </c>
      <c r="K111" s="194" t="s">
        <v>175</v>
      </c>
      <c r="L111" s="195" t="s">
        <v>176</v>
      </c>
      <c r="M111" s="195" t="s">
        <v>177</v>
      </c>
      <c r="N111" s="195" t="s">
        <v>4</v>
      </c>
    </row>
    <row r="112" spans="1:14" ht="12.75">
      <c r="A112" s="197" t="s">
        <v>319</v>
      </c>
      <c r="B112" s="198">
        <v>1</v>
      </c>
      <c r="C112" s="228" t="s">
        <v>320</v>
      </c>
      <c r="D112" s="200"/>
      <c r="E112" s="201" t="s">
        <v>321</v>
      </c>
      <c r="F112" s="201" t="s">
        <v>322</v>
      </c>
      <c r="G112" s="203" t="s">
        <v>317</v>
      </c>
      <c r="H112" s="204">
        <v>1</v>
      </c>
      <c r="I112" s="204">
        <v>30</v>
      </c>
      <c r="J112" s="204">
        <f>H112*I112</f>
        <v>30</v>
      </c>
      <c r="K112" s="205"/>
      <c r="L112" s="205">
        <f>J112*0.0975</f>
        <v>2.9250000000000003</v>
      </c>
      <c r="M112" s="205">
        <f>SUM(J112:L112)</f>
        <v>32.925</v>
      </c>
      <c r="N112" s="205"/>
    </row>
    <row r="113" spans="1:14" ht="12.75">
      <c r="A113" s="208"/>
      <c r="B113" s="200">
        <v>2</v>
      </c>
      <c r="C113" s="228" t="s">
        <v>323</v>
      </c>
      <c r="D113" s="200"/>
      <c r="E113" s="201" t="s">
        <v>324</v>
      </c>
      <c r="F113" s="201" t="s">
        <v>325</v>
      </c>
      <c r="G113" s="203" t="s">
        <v>317</v>
      </c>
      <c r="H113" s="204">
        <v>1</v>
      </c>
      <c r="I113" s="204">
        <v>29.5</v>
      </c>
      <c r="J113" s="204">
        <f>H113*I113</f>
        <v>29.5</v>
      </c>
      <c r="K113" s="205"/>
      <c r="L113" s="205">
        <f>J113*0.0975</f>
        <v>2.87625</v>
      </c>
      <c r="M113" s="205">
        <f>SUM(J113:L113)</f>
        <v>32.37625</v>
      </c>
      <c r="N113" s="205"/>
    </row>
    <row r="114" spans="1:14" ht="12.75">
      <c r="A114" s="208"/>
      <c r="B114" s="198">
        <v>3</v>
      </c>
      <c r="C114" s="229" t="s">
        <v>326</v>
      </c>
      <c r="D114" s="200"/>
      <c r="E114" s="201" t="s">
        <v>327</v>
      </c>
      <c r="F114" s="201" t="s">
        <v>328</v>
      </c>
      <c r="G114" s="203" t="s">
        <v>329</v>
      </c>
      <c r="H114" s="204">
        <v>1</v>
      </c>
      <c r="I114" s="204">
        <v>1.47</v>
      </c>
      <c r="J114" s="204">
        <f>H114*I114</f>
        <v>1.47</v>
      </c>
      <c r="K114" s="205"/>
      <c r="L114" s="205">
        <f>J114*0.0975</f>
        <v>0.143325</v>
      </c>
      <c r="M114" s="205">
        <f>SUM(J114:L114)</f>
        <v>1.613325</v>
      </c>
      <c r="N114" s="205"/>
    </row>
    <row r="115" spans="1:14" ht="12.75">
      <c r="A115" s="208"/>
      <c r="B115" s="200">
        <v>4</v>
      </c>
      <c r="C115" s="228" t="s">
        <v>330</v>
      </c>
      <c r="D115" s="200"/>
      <c r="E115" s="201" t="s">
        <v>331</v>
      </c>
      <c r="F115" s="201" t="s">
        <v>332</v>
      </c>
      <c r="G115" s="203"/>
      <c r="H115" s="204">
        <v>1</v>
      </c>
      <c r="I115" s="204">
        <v>3.5</v>
      </c>
      <c r="J115" s="204">
        <f>H115*I115</f>
        <v>3.5</v>
      </c>
      <c r="K115" s="205"/>
      <c r="L115" s="205">
        <f>J115*0.0975</f>
        <v>0.34125</v>
      </c>
      <c r="M115" s="205">
        <f>SUM(J115:L115)</f>
        <v>3.84125</v>
      </c>
      <c r="N115" s="205"/>
    </row>
    <row r="116" spans="1:14" ht="12.75">
      <c r="A116" s="208"/>
      <c r="B116" s="198">
        <v>5</v>
      </c>
      <c r="C116" s="228" t="s">
        <v>333</v>
      </c>
      <c r="D116" s="200"/>
      <c r="E116" s="201" t="s">
        <v>334</v>
      </c>
      <c r="F116" s="201" t="s">
        <v>335</v>
      </c>
      <c r="G116" s="203" t="s">
        <v>336</v>
      </c>
      <c r="H116" s="204">
        <v>1</v>
      </c>
      <c r="I116" s="204">
        <v>12.99</v>
      </c>
      <c r="J116" s="204">
        <f>H116*I116</f>
        <v>12.99</v>
      </c>
      <c r="K116" s="205">
        <v>7</v>
      </c>
      <c r="L116" s="205">
        <f>J116*0.0975</f>
        <v>1.2665250000000001</v>
      </c>
      <c r="M116" s="205">
        <f>SUM(J116:L116)</f>
        <v>21.256525</v>
      </c>
      <c r="N116" s="205"/>
    </row>
    <row r="117" spans="1:14" ht="12.75">
      <c r="A117" s="208"/>
      <c r="B117" s="208"/>
      <c r="C117" s="208"/>
      <c r="D117" s="208"/>
      <c r="E117" s="208"/>
      <c r="F117" s="208"/>
      <c r="G117" s="208"/>
      <c r="H117" s="208"/>
      <c r="I117" s="208"/>
      <c r="J117" s="211">
        <f>SUM(J112:J116)</f>
        <v>77.46000000000001</v>
      </c>
      <c r="K117" s="211">
        <f>SUM(K112:K116)</f>
        <v>7</v>
      </c>
      <c r="L117" s="211">
        <f>SUM(L112:L116)</f>
        <v>7.552350000000001</v>
      </c>
      <c r="M117" s="211">
        <f>SUM(M112:M116)</f>
        <v>92.01235</v>
      </c>
      <c r="N117" s="211">
        <v>2881.02</v>
      </c>
    </row>
    <row r="118" spans="1:14" ht="12.75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13" t="s">
        <v>191</v>
      </c>
      <c r="N118" s="214">
        <v>2950</v>
      </c>
    </row>
    <row r="119" spans="13:14" s="137" customFormat="1" ht="12.75">
      <c r="M119" s="230" t="s">
        <v>192</v>
      </c>
      <c r="N119" s="231">
        <f>N118-N117</f>
        <v>68.98000000000002</v>
      </c>
    </row>
    <row r="120" spans="1:14" s="137" customFormat="1" ht="12.75">
      <c r="A120" s="232" t="s">
        <v>337</v>
      </c>
      <c r="B120" s="233" t="s">
        <v>166</v>
      </c>
      <c r="C120" s="233" t="s">
        <v>167</v>
      </c>
      <c r="D120" s="233" t="s">
        <v>168</v>
      </c>
      <c r="E120" s="233" t="s">
        <v>169</v>
      </c>
      <c r="F120" s="233" t="s">
        <v>170</v>
      </c>
      <c r="G120" s="234" t="s">
        <v>171</v>
      </c>
      <c r="H120" s="235" t="s">
        <v>172</v>
      </c>
      <c r="I120" s="235" t="s">
        <v>173</v>
      </c>
      <c r="J120" s="235" t="s">
        <v>174</v>
      </c>
      <c r="K120" s="235" t="s">
        <v>175</v>
      </c>
      <c r="L120" s="236" t="s">
        <v>176</v>
      </c>
      <c r="M120" s="236" t="s">
        <v>177</v>
      </c>
      <c r="N120" s="236" t="s">
        <v>4</v>
      </c>
    </row>
    <row r="121" spans="1:14" s="137" customFormat="1" ht="12.75">
      <c r="A121" s="237" t="s">
        <v>147</v>
      </c>
      <c r="B121" s="238">
        <v>1</v>
      </c>
      <c r="C121" s="228" t="s">
        <v>338</v>
      </c>
      <c r="D121" s="239" t="s">
        <v>339</v>
      </c>
      <c r="E121" s="240" t="s">
        <v>340</v>
      </c>
      <c r="F121" s="240"/>
      <c r="G121" s="241"/>
      <c r="H121" s="242">
        <v>1</v>
      </c>
      <c r="I121" s="242">
        <v>19.99</v>
      </c>
      <c r="J121" s="243">
        <f>H121*I121</f>
        <v>19.99</v>
      </c>
      <c r="K121" s="243">
        <v>0</v>
      </c>
      <c r="L121" s="244">
        <v>0</v>
      </c>
      <c r="M121" s="244">
        <f>SUM(J121:L121)</f>
        <v>19.99</v>
      </c>
      <c r="N121" s="244">
        <v>625.97</v>
      </c>
    </row>
    <row r="122" spans="3:14" s="137" customFormat="1" ht="12.75">
      <c r="C122" s="245"/>
      <c r="D122" s="245"/>
      <c r="G122" s="246"/>
      <c r="J122" s="247">
        <f>SUM(J120:J121)</f>
        <v>19.99</v>
      </c>
      <c r="K122" s="247">
        <f>SUM(K120:K121)</f>
        <v>0</v>
      </c>
      <c r="L122" s="247">
        <f>SUM(L120:L121)</f>
        <v>0</v>
      </c>
      <c r="M122" s="247">
        <f>SUM(M120:M121)</f>
        <v>19.99</v>
      </c>
      <c r="N122" s="247">
        <f>SUM(N120:N121)</f>
        <v>625.97</v>
      </c>
    </row>
    <row r="123" spans="3:14" s="137" customFormat="1" ht="12.75">
      <c r="C123" s="245"/>
      <c r="D123" s="245"/>
      <c r="G123" s="246"/>
      <c r="M123" s="230" t="s">
        <v>191</v>
      </c>
      <c r="N123" s="231">
        <v>620</v>
      </c>
    </row>
    <row r="124" spans="3:14" s="137" customFormat="1" ht="12.75">
      <c r="C124" s="245"/>
      <c r="D124" s="245"/>
      <c r="G124" s="246"/>
      <c r="M124" s="230" t="s">
        <v>192</v>
      </c>
      <c r="N124" s="231">
        <f>N123-N122</f>
        <v>-5.970000000000027</v>
      </c>
    </row>
    <row r="125" spans="1:14" s="137" customFormat="1" ht="12.75">
      <c r="A125" s="232" t="s">
        <v>341</v>
      </c>
      <c r="B125" s="233" t="s">
        <v>166</v>
      </c>
      <c r="C125" s="233" t="s">
        <v>167</v>
      </c>
      <c r="D125" s="233" t="s">
        <v>168</v>
      </c>
      <c r="E125" s="233" t="s">
        <v>169</v>
      </c>
      <c r="F125" s="233" t="s">
        <v>170</v>
      </c>
      <c r="G125" s="234" t="s">
        <v>171</v>
      </c>
      <c r="H125" s="235" t="s">
        <v>172</v>
      </c>
      <c r="I125" s="235" t="s">
        <v>173</v>
      </c>
      <c r="J125" s="235" t="s">
        <v>174</v>
      </c>
      <c r="K125" s="236" t="s">
        <v>175</v>
      </c>
      <c r="L125" s="236" t="s">
        <v>176</v>
      </c>
      <c r="M125" s="236" t="s">
        <v>177</v>
      </c>
      <c r="N125" s="236" t="s">
        <v>4</v>
      </c>
    </row>
    <row r="126" spans="1:14" s="137" customFormat="1" ht="12.75">
      <c r="A126" s="237" t="s">
        <v>152</v>
      </c>
      <c r="B126" s="238">
        <v>1</v>
      </c>
      <c r="C126" s="228" t="s">
        <v>342</v>
      </c>
      <c r="D126" s="239" t="s">
        <v>343</v>
      </c>
      <c r="E126" s="219" t="s">
        <v>344</v>
      </c>
      <c r="F126" s="240" t="s">
        <v>345</v>
      </c>
      <c r="G126" s="241" t="s">
        <v>346</v>
      </c>
      <c r="H126" s="242">
        <v>1</v>
      </c>
      <c r="I126" s="242">
        <v>18</v>
      </c>
      <c r="J126" s="248">
        <f>H126*I126</f>
        <v>18</v>
      </c>
      <c r="K126" s="248">
        <v>2.32</v>
      </c>
      <c r="L126" s="244">
        <v>0</v>
      </c>
      <c r="M126" s="244">
        <f>SUM(J126:L126)</f>
        <v>20.32</v>
      </c>
      <c r="N126" s="244">
        <v>626.87</v>
      </c>
    </row>
    <row r="127" spans="1:14" s="137" customFormat="1" ht="12.75">
      <c r="A127" s="237"/>
      <c r="B127" s="238">
        <v>2</v>
      </c>
      <c r="C127" s="228" t="s">
        <v>347</v>
      </c>
      <c r="D127" s="239" t="s">
        <v>348</v>
      </c>
      <c r="E127" s="219" t="s">
        <v>349</v>
      </c>
      <c r="F127" s="240" t="s">
        <v>350</v>
      </c>
      <c r="G127" s="241" t="s">
        <v>351</v>
      </c>
      <c r="H127" s="242">
        <v>1</v>
      </c>
      <c r="I127" s="242">
        <v>31.6</v>
      </c>
      <c r="J127" s="248">
        <f>H127*I127</f>
        <v>31.6</v>
      </c>
      <c r="K127" s="248">
        <v>2.32</v>
      </c>
      <c r="L127" s="244">
        <v>0</v>
      </c>
      <c r="M127" s="244">
        <f>SUM(J127:L127)</f>
        <v>33.92</v>
      </c>
      <c r="N127" s="244">
        <v>1046.43</v>
      </c>
    </row>
    <row r="128" spans="3:14" s="137" customFormat="1" ht="12.75">
      <c r="C128" s="245"/>
      <c r="D128" s="245"/>
      <c r="G128" s="246"/>
      <c r="J128" s="247">
        <f>SUM(J126:J127)</f>
        <v>49.6</v>
      </c>
      <c r="K128" s="247">
        <f>SUM(K126:K127)</f>
        <v>4.64</v>
      </c>
      <c r="L128" s="247">
        <f>SUM(L126:L127)</f>
        <v>0</v>
      </c>
      <c r="M128" s="247">
        <f>SUM(M126:M127)</f>
        <v>54.24</v>
      </c>
      <c r="N128" s="247">
        <f>SUM(N126:N127)</f>
        <v>1673.3000000000002</v>
      </c>
    </row>
    <row r="129" spans="3:14" s="137" customFormat="1" ht="12.75">
      <c r="C129" s="245"/>
      <c r="D129" s="245"/>
      <c r="G129" s="246"/>
      <c r="J129" s="247"/>
      <c r="K129" s="247"/>
      <c r="M129" s="230" t="s">
        <v>191</v>
      </c>
      <c r="N129" s="231">
        <v>1850</v>
      </c>
    </row>
    <row r="130" spans="3:14" s="137" customFormat="1" ht="12.75">
      <c r="C130" s="245"/>
      <c r="D130" s="245"/>
      <c r="G130" s="246"/>
      <c r="J130" s="247"/>
      <c r="K130" s="247"/>
      <c r="M130" s="230" t="s">
        <v>192</v>
      </c>
      <c r="N130" s="231">
        <f>N129-N128</f>
        <v>176.69999999999982</v>
      </c>
    </row>
    <row r="131" spans="1:14" s="137" customFormat="1" ht="12.75">
      <c r="A131" s="232" t="s">
        <v>352</v>
      </c>
      <c r="B131" s="233" t="s">
        <v>166</v>
      </c>
      <c r="C131" s="233" t="s">
        <v>167</v>
      </c>
      <c r="D131" s="233" t="s">
        <v>168</v>
      </c>
      <c r="E131" s="233" t="s">
        <v>169</v>
      </c>
      <c r="F131" s="233" t="s">
        <v>170</v>
      </c>
      <c r="G131" s="234" t="s">
        <v>171</v>
      </c>
      <c r="H131" s="235" t="s">
        <v>172</v>
      </c>
      <c r="I131" s="235" t="s">
        <v>173</v>
      </c>
      <c r="J131" s="235" t="s">
        <v>174</v>
      </c>
      <c r="K131" s="236" t="s">
        <v>175</v>
      </c>
      <c r="L131" s="236" t="s">
        <v>176</v>
      </c>
      <c r="M131" s="236" t="s">
        <v>177</v>
      </c>
      <c r="N131" s="236" t="s">
        <v>4</v>
      </c>
    </row>
    <row r="132" spans="1:14" s="137" customFormat="1" ht="12.75">
      <c r="A132" s="237" t="s">
        <v>152</v>
      </c>
      <c r="B132" s="238">
        <v>1</v>
      </c>
      <c r="C132" s="249" t="s">
        <v>353</v>
      </c>
      <c r="D132" s="239" t="s">
        <v>354</v>
      </c>
      <c r="E132" s="240" t="s">
        <v>355</v>
      </c>
      <c r="F132" s="240" t="s">
        <v>356</v>
      </c>
      <c r="G132" s="241" t="s">
        <v>357</v>
      </c>
      <c r="H132" s="242">
        <v>1</v>
      </c>
      <c r="I132" s="242">
        <v>32.72</v>
      </c>
      <c r="J132" s="248">
        <f>H132*I132</f>
        <v>32.72</v>
      </c>
      <c r="K132" s="248">
        <v>2.32</v>
      </c>
      <c r="L132" s="244">
        <v>0</v>
      </c>
      <c r="M132" s="244">
        <f>SUM(J132:L132)</f>
        <v>35.04</v>
      </c>
      <c r="N132" s="244">
        <v>1080.98</v>
      </c>
    </row>
    <row r="133" spans="3:14" s="137" customFormat="1" ht="12.75">
      <c r="C133" s="245"/>
      <c r="D133" s="245"/>
      <c r="G133" s="246"/>
      <c r="J133" s="247">
        <f>SUM(J131:J132)</f>
        <v>32.72</v>
      </c>
      <c r="K133" s="247">
        <f>SUM(K131:K132)</f>
        <v>2.32</v>
      </c>
      <c r="L133" s="247">
        <f>SUM(L131:L132)</f>
        <v>0</v>
      </c>
      <c r="M133" s="247">
        <f>SUM(M131:M132)</f>
        <v>35.04</v>
      </c>
      <c r="N133" s="247">
        <f>SUM(N131:N132)</f>
        <v>1080.98</v>
      </c>
    </row>
    <row r="134" spans="3:14" s="137" customFormat="1" ht="12.75">
      <c r="C134" s="245"/>
      <c r="D134" s="245"/>
      <c r="G134" s="246"/>
      <c r="M134" s="230" t="s">
        <v>191</v>
      </c>
      <c r="N134" s="231">
        <v>1270</v>
      </c>
    </row>
    <row r="135" spans="3:14" s="137" customFormat="1" ht="12.75">
      <c r="C135" s="245"/>
      <c r="D135" s="245"/>
      <c r="G135" s="246"/>
      <c r="M135" s="230" t="s">
        <v>192</v>
      </c>
      <c r="N135" s="231">
        <f>N134-N133</f>
        <v>189.01999999999998</v>
      </c>
    </row>
    <row r="136" spans="1:14" s="137" customFormat="1" ht="12.75">
      <c r="A136" s="232" t="s">
        <v>358</v>
      </c>
      <c r="B136" s="233" t="s">
        <v>166</v>
      </c>
      <c r="C136" s="233" t="s">
        <v>167</v>
      </c>
      <c r="D136" s="233" t="s">
        <v>168</v>
      </c>
      <c r="E136" s="233" t="s">
        <v>169</v>
      </c>
      <c r="F136" s="233" t="s">
        <v>170</v>
      </c>
      <c r="G136" s="234" t="s">
        <v>171</v>
      </c>
      <c r="H136" s="235" t="s">
        <v>172</v>
      </c>
      <c r="I136" s="235" t="s">
        <v>173</v>
      </c>
      <c r="J136" s="235" t="s">
        <v>174</v>
      </c>
      <c r="K136" s="236" t="s">
        <v>175</v>
      </c>
      <c r="L136" s="236" t="s">
        <v>176</v>
      </c>
      <c r="M136" s="236" t="s">
        <v>177</v>
      </c>
      <c r="N136" s="236" t="s">
        <v>4</v>
      </c>
    </row>
    <row r="137" spans="1:14" s="137" customFormat="1" ht="12.75">
      <c r="A137" s="237" t="s">
        <v>147</v>
      </c>
      <c r="B137" s="238">
        <v>1</v>
      </c>
      <c r="C137" s="228" t="s">
        <v>359</v>
      </c>
      <c r="D137" s="239" t="s">
        <v>360</v>
      </c>
      <c r="E137" s="240" t="s">
        <v>361</v>
      </c>
      <c r="F137" s="240" t="s">
        <v>307</v>
      </c>
      <c r="G137" s="241" t="s">
        <v>207</v>
      </c>
      <c r="H137" s="242">
        <v>1</v>
      </c>
      <c r="I137" s="242">
        <v>27.95</v>
      </c>
      <c r="J137" s="248">
        <f>H137*I137</f>
        <v>27.95</v>
      </c>
      <c r="K137" s="248">
        <v>3.95</v>
      </c>
      <c r="L137" s="244">
        <v>2.73</v>
      </c>
      <c r="M137" s="244">
        <f>SUM(J137:L137)</f>
        <v>34.629999999999995</v>
      </c>
      <c r="N137" s="244">
        <v>1057.91</v>
      </c>
    </row>
    <row r="138" spans="3:14" s="137" customFormat="1" ht="12.75">
      <c r="C138" s="245"/>
      <c r="D138" s="245"/>
      <c r="G138" s="246"/>
      <c r="J138" s="247">
        <f>SUM(J136:J137)</f>
        <v>27.95</v>
      </c>
      <c r="K138" s="247">
        <f>SUM(K136:K137)</f>
        <v>3.95</v>
      </c>
      <c r="L138" s="247">
        <f>SUM(L136:L137)</f>
        <v>2.73</v>
      </c>
      <c r="M138" s="247">
        <f>SUM(M136:M137)</f>
        <v>34.629999999999995</v>
      </c>
      <c r="N138" s="247">
        <f>SUM(N136:N137)</f>
        <v>1057.91</v>
      </c>
    </row>
    <row r="139" spans="1:14" s="208" customFormat="1" ht="12.75">
      <c r="A139" s="137"/>
      <c r="B139" s="137"/>
      <c r="C139" s="245"/>
      <c r="D139" s="245"/>
      <c r="E139" s="137"/>
      <c r="F139" s="137"/>
      <c r="G139" s="246"/>
      <c r="H139" s="137"/>
      <c r="I139" s="137"/>
      <c r="J139" s="137"/>
      <c r="K139" s="137"/>
      <c r="L139" s="137"/>
      <c r="M139" s="230" t="s">
        <v>191</v>
      </c>
      <c r="N139" s="231">
        <f>1021+1954</f>
        <v>2975</v>
      </c>
    </row>
    <row r="140" spans="1:14" s="208" customFormat="1" ht="12.75">
      <c r="A140" s="137"/>
      <c r="B140" s="137"/>
      <c r="C140" s="245"/>
      <c r="D140" s="245"/>
      <c r="E140" s="137"/>
      <c r="F140" s="137"/>
      <c r="G140" s="246"/>
      <c r="H140" s="137"/>
      <c r="I140" s="137"/>
      <c r="J140" s="137"/>
      <c r="K140" s="137"/>
      <c r="L140" s="137"/>
      <c r="M140" s="230" t="s">
        <v>192</v>
      </c>
      <c r="N140" s="231">
        <f>N139-N138</f>
        <v>1917.09</v>
      </c>
    </row>
    <row r="141" spans="1:14" ht="12.75">
      <c r="A141" s="232" t="s">
        <v>316</v>
      </c>
      <c r="B141" s="233" t="s">
        <v>166</v>
      </c>
      <c r="C141" s="233" t="s">
        <v>167</v>
      </c>
      <c r="D141" s="233" t="s">
        <v>168</v>
      </c>
      <c r="E141" s="233" t="s">
        <v>169</v>
      </c>
      <c r="F141" s="233" t="s">
        <v>170</v>
      </c>
      <c r="G141" s="234" t="s">
        <v>171</v>
      </c>
      <c r="H141" s="235" t="s">
        <v>172</v>
      </c>
      <c r="I141" s="235" t="s">
        <v>173</v>
      </c>
      <c r="J141" s="235" t="s">
        <v>174</v>
      </c>
      <c r="K141" s="236" t="s">
        <v>175</v>
      </c>
      <c r="L141" s="236" t="s">
        <v>176</v>
      </c>
      <c r="M141" s="236" t="s">
        <v>177</v>
      </c>
      <c r="N141" s="236" t="s">
        <v>4</v>
      </c>
    </row>
    <row r="142" spans="1:14" ht="12.75">
      <c r="A142" s="237" t="s">
        <v>141</v>
      </c>
      <c r="B142" s="137">
        <v>1</v>
      </c>
      <c r="C142" s="224" t="s">
        <v>362</v>
      </c>
      <c r="D142" s="245"/>
      <c r="E142" s="137"/>
      <c r="F142" s="137"/>
      <c r="G142" s="246"/>
      <c r="H142" s="137">
        <v>1</v>
      </c>
      <c r="I142" s="137">
        <v>15.99</v>
      </c>
      <c r="J142" s="137">
        <f>H142*I142</f>
        <v>15.99</v>
      </c>
      <c r="K142" s="137">
        <v>0</v>
      </c>
      <c r="L142" s="244">
        <v>0</v>
      </c>
      <c r="M142" s="244">
        <f>SUM(J142:L142)</f>
        <v>15.99</v>
      </c>
      <c r="N142" s="244">
        <v>813.48</v>
      </c>
    </row>
    <row r="143" spans="1:14" ht="12.75">
      <c r="A143" s="137"/>
      <c r="B143" s="137"/>
      <c r="C143" s="245"/>
      <c r="D143" s="245"/>
      <c r="E143" s="137"/>
      <c r="F143" s="137"/>
      <c r="G143" s="246"/>
      <c r="H143" s="137"/>
      <c r="I143" s="137"/>
      <c r="J143" s="247">
        <f>SUM(J141:J142)</f>
        <v>15.99</v>
      </c>
      <c r="K143" s="247">
        <f>SUM(K141:K142)</f>
        <v>0</v>
      </c>
      <c r="L143" s="247">
        <f>SUM(L141:L142)</f>
        <v>0</v>
      </c>
      <c r="M143" s="247">
        <f>SUM(M141:M142)</f>
        <v>15.99</v>
      </c>
      <c r="N143" s="247">
        <f>SUM(N141:N142)</f>
        <v>813.48</v>
      </c>
    </row>
    <row r="144" spans="1:14" ht="12.75">
      <c r="A144" s="137"/>
      <c r="B144" s="137"/>
      <c r="C144" s="245"/>
      <c r="D144" s="245"/>
      <c r="E144" s="137"/>
      <c r="F144" s="137"/>
      <c r="G144" s="246"/>
      <c r="H144" s="137"/>
      <c r="I144" s="137"/>
      <c r="J144" s="137"/>
      <c r="K144" s="137"/>
      <c r="L144" s="137"/>
      <c r="M144" s="230" t="s">
        <v>191</v>
      </c>
      <c r="N144" s="231">
        <v>832</v>
      </c>
    </row>
    <row r="145" spans="1:14" ht="12.75">
      <c r="A145" s="137"/>
      <c r="B145" s="137"/>
      <c r="C145" s="245"/>
      <c r="D145" s="245"/>
      <c r="E145" s="137"/>
      <c r="F145" s="137"/>
      <c r="G145" s="246"/>
      <c r="H145" s="137"/>
      <c r="I145" s="137"/>
      <c r="J145" s="137"/>
      <c r="K145" s="137"/>
      <c r="L145" s="137"/>
      <c r="M145" s="230" t="s">
        <v>192</v>
      </c>
      <c r="N145" s="231">
        <f>N144-N143</f>
        <v>18.519999999999982</v>
      </c>
    </row>
    <row r="146" spans="1:14" ht="12.75">
      <c r="A146" s="232" t="s">
        <v>363</v>
      </c>
      <c r="B146" s="233" t="s">
        <v>166</v>
      </c>
      <c r="C146" s="233" t="s">
        <v>167</v>
      </c>
      <c r="D146" s="233" t="s">
        <v>168</v>
      </c>
      <c r="E146" s="233" t="s">
        <v>169</v>
      </c>
      <c r="F146" s="233" t="s">
        <v>170</v>
      </c>
      <c r="G146" s="234" t="s">
        <v>171</v>
      </c>
      <c r="H146" s="235" t="s">
        <v>172</v>
      </c>
      <c r="I146" s="235" t="s">
        <v>173</v>
      </c>
      <c r="J146" s="235" t="s">
        <v>174</v>
      </c>
      <c r="K146" s="236" t="s">
        <v>175</v>
      </c>
      <c r="L146" s="236" t="s">
        <v>176</v>
      </c>
      <c r="M146" s="236" t="s">
        <v>177</v>
      </c>
      <c r="N146" s="236" t="s">
        <v>4</v>
      </c>
    </row>
    <row r="147" spans="1:14" ht="12.75">
      <c r="A147" s="197" t="s">
        <v>152</v>
      </c>
      <c r="B147" s="198">
        <v>1</v>
      </c>
      <c r="C147" s="200" t="s">
        <v>364</v>
      </c>
      <c r="D147" s="200"/>
      <c r="E147" s="219" t="s">
        <v>365</v>
      </c>
      <c r="F147" s="201" t="s">
        <v>366</v>
      </c>
      <c r="G147" s="203">
        <v>6</v>
      </c>
      <c r="H147" s="204">
        <v>1</v>
      </c>
      <c r="I147" s="204">
        <v>31.77</v>
      </c>
      <c r="J147" s="250">
        <f>I147*H147</f>
        <v>31.77</v>
      </c>
      <c r="K147" s="250"/>
      <c r="L147" s="205"/>
      <c r="M147" s="205">
        <f>SUM(J147:L147)</f>
        <v>31.77</v>
      </c>
      <c r="N147" s="205"/>
    </row>
    <row r="148" spans="1:14" ht="12.75">
      <c r="A148" s="197"/>
      <c r="B148" s="198">
        <v>2</v>
      </c>
      <c r="C148" s="200" t="s">
        <v>367</v>
      </c>
      <c r="D148" s="200"/>
      <c r="E148" s="219" t="s">
        <v>368</v>
      </c>
      <c r="F148" s="201" t="s">
        <v>369</v>
      </c>
      <c r="G148" s="203" t="s">
        <v>357</v>
      </c>
      <c r="H148" s="204">
        <v>1</v>
      </c>
      <c r="I148" s="204">
        <v>27.31</v>
      </c>
      <c r="J148" s="250">
        <f>I148*H148</f>
        <v>27.31</v>
      </c>
      <c r="K148" s="250"/>
      <c r="L148" s="205"/>
      <c r="M148" s="205">
        <f>SUM(J148:L148)</f>
        <v>27.31</v>
      </c>
      <c r="N148" s="205"/>
    </row>
    <row r="149" spans="1:14" ht="12.75">
      <c r="A149" s="197"/>
      <c r="B149" s="198">
        <v>3</v>
      </c>
      <c r="C149" s="200" t="s">
        <v>370</v>
      </c>
      <c r="D149" s="200"/>
      <c r="E149" s="219" t="s">
        <v>371</v>
      </c>
      <c r="F149" s="201" t="s">
        <v>372</v>
      </c>
      <c r="G149" s="203" t="s">
        <v>373</v>
      </c>
      <c r="H149" s="204">
        <v>1</v>
      </c>
      <c r="I149" s="204">
        <v>8</v>
      </c>
      <c r="J149" s="250">
        <f>I149*H149</f>
        <v>8</v>
      </c>
      <c r="K149" s="250"/>
      <c r="L149" s="205"/>
      <c r="M149" s="205">
        <f>SUM(J149:L149)</f>
        <v>8</v>
      </c>
      <c r="N149" s="205"/>
    </row>
    <row r="150" spans="1:14" ht="12.75">
      <c r="A150" s="197"/>
      <c r="B150" s="198">
        <v>4</v>
      </c>
      <c r="C150" s="200" t="s">
        <v>374</v>
      </c>
      <c r="D150" s="200"/>
      <c r="E150" s="219" t="s">
        <v>375</v>
      </c>
      <c r="F150" s="201" t="s">
        <v>376</v>
      </c>
      <c r="G150" s="203" t="s">
        <v>357</v>
      </c>
      <c r="H150" s="204">
        <v>1</v>
      </c>
      <c r="I150" s="204">
        <v>19.8</v>
      </c>
      <c r="J150" s="250">
        <f>I150*H150</f>
        <v>19.8</v>
      </c>
      <c r="K150" s="250"/>
      <c r="L150" s="205"/>
      <c r="M150" s="205">
        <f>SUM(J150:L150)</f>
        <v>19.8</v>
      </c>
      <c r="N150" s="205"/>
    </row>
    <row r="151" spans="1:14" ht="12.75">
      <c r="A151" s="197"/>
      <c r="B151" s="198">
        <v>5</v>
      </c>
      <c r="C151" s="200" t="s">
        <v>377</v>
      </c>
      <c r="D151" s="200"/>
      <c r="E151" s="219" t="s">
        <v>378</v>
      </c>
      <c r="F151" s="201" t="s">
        <v>379</v>
      </c>
      <c r="G151" s="203" t="s">
        <v>373</v>
      </c>
      <c r="H151" s="204">
        <v>1</v>
      </c>
      <c r="I151" s="204">
        <v>10.4</v>
      </c>
      <c r="J151" s="250">
        <f>I151*H151</f>
        <v>10.4</v>
      </c>
      <c r="K151" s="250">
        <v>6.95</v>
      </c>
      <c r="L151" s="205"/>
      <c r="M151" s="205">
        <f>SUM(J151:L151)</f>
        <v>17.35</v>
      </c>
      <c r="N151" s="205"/>
    </row>
    <row r="152" spans="1:14" ht="12.75">
      <c r="A152" s="208"/>
      <c r="B152" s="208"/>
      <c r="C152" s="209"/>
      <c r="D152" s="209"/>
      <c r="E152" s="208"/>
      <c r="F152" s="208"/>
      <c r="G152" s="210"/>
      <c r="H152" s="251"/>
      <c r="I152" s="208"/>
      <c r="J152" s="211">
        <f>SUM(J147:J151)</f>
        <v>97.28</v>
      </c>
      <c r="K152" s="211">
        <f>SUM(K147:K151)</f>
        <v>6.95</v>
      </c>
      <c r="L152" s="211">
        <f>SUM(L147:L151)</f>
        <v>0</v>
      </c>
      <c r="M152" s="211">
        <f>SUM(M147:M151)</f>
        <v>104.23</v>
      </c>
      <c r="N152" s="211">
        <v>3210.7</v>
      </c>
    </row>
    <row r="153" spans="1:14" ht="12.75">
      <c r="A153" s="208"/>
      <c r="B153" s="208"/>
      <c r="C153" s="209"/>
      <c r="D153" s="209"/>
      <c r="E153" s="208"/>
      <c r="F153" s="208"/>
      <c r="G153" s="210"/>
      <c r="H153" s="208"/>
      <c r="I153" s="208"/>
      <c r="J153" s="208"/>
      <c r="K153" s="208"/>
      <c r="L153" s="208"/>
      <c r="M153" s="213" t="s">
        <v>191</v>
      </c>
      <c r="N153" s="214">
        <v>3449</v>
      </c>
    </row>
    <row r="154" spans="1:14" ht="12.75">
      <c r="A154" s="208"/>
      <c r="B154" s="208"/>
      <c r="C154" s="209"/>
      <c r="D154" s="209"/>
      <c r="E154" s="208"/>
      <c r="F154" s="208"/>
      <c r="G154" s="210"/>
      <c r="H154" s="208"/>
      <c r="I154" s="208"/>
      <c r="J154" s="208"/>
      <c r="K154" s="208"/>
      <c r="L154" s="208"/>
      <c r="M154" s="213" t="s">
        <v>192</v>
      </c>
      <c r="N154" s="214">
        <f>N153-N152</f>
        <v>238.30000000000018</v>
      </c>
    </row>
    <row r="155" spans="1:14" s="137" customFormat="1" ht="12.75">
      <c r="A155" s="232" t="s">
        <v>380</v>
      </c>
      <c r="B155" s="233" t="s">
        <v>166</v>
      </c>
      <c r="C155" s="233" t="s">
        <v>167</v>
      </c>
      <c r="D155" s="233" t="s">
        <v>168</v>
      </c>
      <c r="E155" s="233" t="s">
        <v>169</v>
      </c>
      <c r="F155" s="233" t="s">
        <v>170</v>
      </c>
      <c r="G155" s="234" t="s">
        <v>171</v>
      </c>
      <c r="H155" s="235" t="s">
        <v>172</v>
      </c>
      <c r="I155" s="235" t="s">
        <v>173</v>
      </c>
      <c r="J155" s="235" t="s">
        <v>174</v>
      </c>
      <c r="K155" s="236" t="s">
        <v>175</v>
      </c>
      <c r="L155" s="236" t="s">
        <v>176</v>
      </c>
      <c r="M155" s="236" t="s">
        <v>177</v>
      </c>
      <c r="N155" s="236" t="s">
        <v>4</v>
      </c>
    </row>
    <row r="156" spans="1:14" s="137" customFormat="1" ht="12.75">
      <c r="A156" s="237" t="s">
        <v>141</v>
      </c>
      <c r="B156" s="238">
        <v>1</v>
      </c>
      <c r="C156" s="228" t="s">
        <v>381</v>
      </c>
      <c r="D156" s="239"/>
      <c r="E156" s="240"/>
      <c r="F156" s="240"/>
      <c r="G156" s="241"/>
      <c r="H156" s="242">
        <v>1</v>
      </c>
      <c r="I156" s="242">
        <v>19.99</v>
      </c>
      <c r="J156" s="248">
        <f>H156*I156</f>
        <v>19.99</v>
      </c>
      <c r="K156" s="248">
        <v>4</v>
      </c>
      <c r="L156" s="244">
        <v>2.34</v>
      </c>
      <c r="M156" s="244">
        <f>SUM(J156:L156)</f>
        <v>26.33</v>
      </c>
      <c r="N156" s="244">
        <v>828.14</v>
      </c>
    </row>
    <row r="157" spans="3:14" s="137" customFormat="1" ht="12.75">
      <c r="C157" s="245"/>
      <c r="D157" s="245"/>
      <c r="G157" s="246"/>
      <c r="J157" s="247">
        <f>SUM(J156:J156)</f>
        <v>19.99</v>
      </c>
      <c r="K157" s="247">
        <f>SUM(K156:K156)</f>
        <v>4</v>
      </c>
      <c r="L157" s="247">
        <f>SUM(L156:L156)</f>
        <v>2.34</v>
      </c>
      <c r="M157" s="247">
        <f>SUM(M156:M156)</f>
        <v>26.33</v>
      </c>
      <c r="N157" s="247">
        <f>SUM(N155:N156)</f>
        <v>828.14</v>
      </c>
    </row>
    <row r="158" spans="3:14" s="137" customFormat="1" ht="12.75">
      <c r="C158" s="245"/>
      <c r="D158" s="245"/>
      <c r="G158" s="246"/>
      <c r="M158" s="230" t="s">
        <v>191</v>
      </c>
      <c r="N158" s="231">
        <f>768+75</f>
        <v>843</v>
      </c>
    </row>
    <row r="159" spans="3:14" s="137" customFormat="1" ht="12.75">
      <c r="C159" s="245"/>
      <c r="D159" s="245"/>
      <c r="G159" s="246"/>
      <c r="M159" s="230" t="s">
        <v>192</v>
      </c>
      <c r="N159" s="231">
        <f>N158-N157</f>
        <v>14.860000000000014</v>
      </c>
    </row>
    <row r="160" spans="1:14" s="137" customFormat="1" ht="12.75">
      <c r="A160" s="232" t="s">
        <v>382</v>
      </c>
      <c r="B160" s="233" t="s">
        <v>166</v>
      </c>
      <c r="C160" s="233" t="s">
        <v>167</v>
      </c>
      <c r="D160" s="233" t="s">
        <v>168</v>
      </c>
      <c r="E160" s="233" t="s">
        <v>169</v>
      </c>
      <c r="F160" s="233" t="s">
        <v>170</v>
      </c>
      <c r="G160" s="234" t="s">
        <v>171</v>
      </c>
      <c r="H160" s="235" t="s">
        <v>172</v>
      </c>
      <c r="I160" s="235" t="s">
        <v>173</v>
      </c>
      <c r="J160" s="235" t="s">
        <v>174</v>
      </c>
      <c r="K160" s="236" t="s">
        <v>175</v>
      </c>
      <c r="L160" s="236" t="s">
        <v>176</v>
      </c>
      <c r="M160" s="236" t="s">
        <v>177</v>
      </c>
      <c r="N160" s="236" t="s">
        <v>4</v>
      </c>
    </row>
    <row r="161" spans="1:14" s="137" customFormat="1" ht="12.75">
      <c r="A161" s="237" t="s">
        <v>152</v>
      </c>
      <c r="B161" s="238">
        <v>1</v>
      </c>
      <c r="C161" s="228" t="s">
        <v>383</v>
      </c>
      <c r="D161" s="239"/>
      <c r="E161" s="217" t="s">
        <v>384</v>
      </c>
      <c r="F161" s="240" t="s">
        <v>196</v>
      </c>
      <c r="G161" s="241" t="s">
        <v>385</v>
      </c>
      <c r="H161" s="242">
        <v>2</v>
      </c>
      <c r="I161" s="242">
        <v>62.3</v>
      </c>
      <c r="J161" s="248">
        <f>H161*I161</f>
        <v>124.6</v>
      </c>
      <c r="K161" s="248">
        <v>6.95</v>
      </c>
      <c r="L161" s="244">
        <v>0</v>
      </c>
      <c r="M161" s="244">
        <f>SUM(J161:L161)</f>
        <v>131.54999999999998</v>
      </c>
      <c r="N161" s="244">
        <v>4119.09</v>
      </c>
    </row>
    <row r="162" spans="3:14" s="137" customFormat="1" ht="12.75">
      <c r="C162" s="245"/>
      <c r="D162" s="245"/>
      <c r="G162" s="246"/>
      <c r="J162" s="247">
        <f>SUM(J160:J161)</f>
        <v>124.6</v>
      </c>
      <c r="K162" s="247">
        <f>SUM(K160:K161)</f>
        <v>6.95</v>
      </c>
      <c r="L162" s="247">
        <f>SUM(L160:L161)</f>
        <v>0</v>
      </c>
      <c r="M162" s="247">
        <f>SUM(M160:M161)</f>
        <v>131.54999999999998</v>
      </c>
      <c r="N162" s="247">
        <f>SUM(N160:N161)</f>
        <v>4119.09</v>
      </c>
    </row>
    <row r="163" spans="3:14" s="137" customFormat="1" ht="12.75">
      <c r="C163" s="245"/>
      <c r="D163" s="245"/>
      <c r="G163" s="246"/>
      <c r="M163" s="230" t="s">
        <v>191</v>
      </c>
      <c r="N163" s="231">
        <v>5000</v>
      </c>
    </row>
    <row r="164" spans="3:14" s="137" customFormat="1" ht="12.75">
      <c r="C164" s="245"/>
      <c r="D164" s="245"/>
      <c r="G164" s="246"/>
      <c r="M164" s="230" t="s">
        <v>192</v>
      </c>
      <c r="N164" s="231">
        <f>N163-N162</f>
        <v>880.9099999999999</v>
      </c>
    </row>
    <row r="165" spans="1:15" ht="12.75">
      <c r="A165" s="232" t="s">
        <v>316</v>
      </c>
      <c r="B165" s="233" t="s">
        <v>166</v>
      </c>
      <c r="C165" s="233" t="s">
        <v>167</v>
      </c>
      <c r="D165" s="233" t="s">
        <v>168</v>
      </c>
      <c r="E165" s="233" t="s">
        <v>169</v>
      </c>
      <c r="F165" s="233" t="s">
        <v>170</v>
      </c>
      <c r="G165" s="234" t="s">
        <v>171</v>
      </c>
      <c r="H165" s="235" t="s">
        <v>172</v>
      </c>
      <c r="I165" s="235" t="s">
        <v>173</v>
      </c>
      <c r="J165" s="235" t="s">
        <v>174</v>
      </c>
      <c r="K165" s="236" t="s">
        <v>175</v>
      </c>
      <c r="L165" s="236" t="s">
        <v>176</v>
      </c>
      <c r="M165" s="236" t="s">
        <v>177</v>
      </c>
      <c r="N165" s="236" t="s">
        <v>4</v>
      </c>
      <c r="O165" s="137"/>
    </row>
    <row r="166" spans="1:15" ht="12.75">
      <c r="A166" s="237" t="s">
        <v>386</v>
      </c>
      <c r="B166" s="238">
        <v>1</v>
      </c>
      <c r="C166" s="229" t="s">
        <v>387</v>
      </c>
      <c r="D166" s="239" t="s">
        <v>388</v>
      </c>
      <c r="E166" s="240" t="s">
        <v>389</v>
      </c>
      <c r="F166" s="240" t="s">
        <v>390</v>
      </c>
      <c r="G166" s="241" t="s">
        <v>391</v>
      </c>
      <c r="H166" s="242">
        <v>1</v>
      </c>
      <c r="I166" s="242">
        <v>79.99</v>
      </c>
      <c r="J166" s="248">
        <f>H166*I166</f>
        <v>79.99</v>
      </c>
      <c r="K166" s="252">
        <f>16.95/2</f>
        <v>8.475</v>
      </c>
      <c r="L166" s="244">
        <v>0</v>
      </c>
      <c r="M166" s="244">
        <f>SUM(J166:L166)</f>
        <v>88.46499999999999</v>
      </c>
      <c r="N166" s="244">
        <f>M166*32</f>
        <v>2830.8799999999997</v>
      </c>
      <c r="O166" s="137"/>
    </row>
    <row r="167" spans="1:15" ht="12.75">
      <c r="A167" s="137"/>
      <c r="B167" s="137"/>
      <c r="C167" s="245"/>
      <c r="D167" s="245"/>
      <c r="E167" s="137"/>
      <c r="F167" s="137"/>
      <c r="G167" s="246"/>
      <c r="H167" s="137"/>
      <c r="I167" s="137"/>
      <c r="J167" s="247">
        <f>SUM(J165:J166)</f>
        <v>79.99</v>
      </c>
      <c r="K167" s="247">
        <f>SUM(K165:K166)</f>
        <v>8.475</v>
      </c>
      <c r="L167" s="247">
        <f>SUM(L165:L166)</f>
        <v>0</v>
      </c>
      <c r="M167" s="247">
        <f>SUM(M165:M166)</f>
        <v>88.46499999999999</v>
      </c>
      <c r="N167" s="247">
        <f>SUM(N165:N166)</f>
        <v>2830.8799999999997</v>
      </c>
      <c r="O167" s="137"/>
    </row>
    <row r="168" spans="1:15" ht="12.75">
      <c r="A168" s="137"/>
      <c r="B168" s="137"/>
      <c r="C168" s="245"/>
      <c r="D168" s="245"/>
      <c r="E168" s="137"/>
      <c r="F168" s="137"/>
      <c r="G168" s="246"/>
      <c r="H168" s="137"/>
      <c r="I168" s="137"/>
      <c r="J168" s="137"/>
      <c r="K168" s="137"/>
      <c r="L168" s="137"/>
      <c r="M168" s="230" t="s">
        <v>191</v>
      </c>
      <c r="N168" s="231">
        <v>3200</v>
      </c>
      <c r="O168" s="137"/>
    </row>
    <row r="169" spans="1:15" ht="12.75">
      <c r="A169" s="208"/>
      <c r="B169" s="208"/>
      <c r="C169" s="209"/>
      <c r="D169" s="209"/>
      <c r="E169" s="208"/>
      <c r="F169" s="208"/>
      <c r="G169" s="210"/>
      <c r="H169" s="208"/>
      <c r="I169" s="208"/>
      <c r="J169" s="208"/>
      <c r="K169" s="208"/>
      <c r="L169" s="208"/>
      <c r="M169" s="213" t="s">
        <v>192</v>
      </c>
      <c r="N169" s="214">
        <f>N168-N167</f>
        <v>369.12000000000035</v>
      </c>
      <c r="O169" s="208"/>
    </row>
    <row r="170" spans="1:15" ht="12.75">
      <c r="A170" s="191" t="s">
        <v>392</v>
      </c>
      <c r="B170" s="192" t="s">
        <v>166</v>
      </c>
      <c r="C170" s="192" t="s">
        <v>167</v>
      </c>
      <c r="D170" s="192" t="s">
        <v>168</v>
      </c>
      <c r="E170" s="192" t="s">
        <v>169</v>
      </c>
      <c r="F170" s="192" t="s">
        <v>170</v>
      </c>
      <c r="G170" s="193" t="s">
        <v>171</v>
      </c>
      <c r="H170" s="194" t="s">
        <v>172</v>
      </c>
      <c r="I170" s="194" t="s">
        <v>173</v>
      </c>
      <c r="J170" s="194" t="s">
        <v>174</v>
      </c>
      <c r="K170" s="195" t="s">
        <v>175</v>
      </c>
      <c r="L170" s="195" t="s">
        <v>176</v>
      </c>
      <c r="M170" s="195" t="s">
        <v>177</v>
      </c>
      <c r="N170" s="195" t="s">
        <v>4</v>
      </c>
      <c r="O170" s="208"/>
    </row>
    <row r="171" spans="1:16" ht="12.75">
      <c r="A171" s="197" t="s">
        <v>386</v>
      </c>
      <c r="B171" s="198">
        <v>1</v>
      </c>
      <c r="C171" s="249" t="s">
        <v>393</v>
      </c>
      <c r="D171" s="200" t="s">
        <v>394</v>
      </c>
      <c r="E171" s="201" t="s">
        <v>395</v>
      </c>
      <c r="F171" s="201" t="s">
        <v>396</v>
      </c>
      <c r="G171" s="203">
        <v>10.5</v>
      </c>
      <c r="H171" s="204">
        <v>1</v>
      </c>
      <c r="I171" s="204">
        <v>89.99</v>
      </c>
      <c r="J171" s="250">
        <f>H171*I171</f>
        <v>89.99</v>
      </c>
      <c r="K171" s="250">
        <f>16.95/2</f>
        <v>8.475</v>
      </c>
      <c r="L171" s="205">
        <v>0</v>
      </c>
      <c r="M171" s="205">
        <f>SUM(J171:L171)</f>
        <v>98.46499999999999</v>
      </c>
      <c r="N171" s="205">
        <v>3136.4</v>
      </c>
      <c r="O171" s="253"/>
      <c r="P171" s="113"/>
    </row>
    <row r="172" spans="1:15" ht="12.75">
      <c r="A172" s="208"/>
      <c r="B172" s="208"/>
      <c r="C172" s="209"/>
      <c r="D172" s="209"/>
      <c r="E172" s="208"/>
      <c r="F172" s="208"/>
      <c r="G172" s="210"/>
      <c r="H172" s="208"/>
      <c r="I172" s="208"/>
      <c r="J172" s="211">
        <f>SUM(J170:J171)</f>
        <v>89.99</v>
      </c>
      <c r="K172" s="211">
        <f>SUM(K170:K171)</f>
        <v>8.475</v>
      </c>
      <c r="L172" s="211">
        <f>SUM(L170:L171)</f>
        <v>0</v>
      </c>
      <c r="M172" s="211">
        <f>SUM(M170:M171)</f>
        <v>98.46499999999999</v>
      </c>
      <c r="N172" s="211">
        <f>SUM(N170:N171)</f>
        <v>3136.4</v>
      </c>
      <c r="O172" s="208"/>
    </row>
    <row r="173" spans="1:15" ht="12.75">
      <c r="A173" s="208"/>
      <c r="B173" s="208"/>
      <c r="C173" s="209"/>
      <c r="D173" s="209"/>
      <c r="E173" s="208"/>
      <c r="F173" s="208"/>
      <c r="G173" s="210"/>
      <c r="H173" s="208"/>
      <c r="I173" s="208"/>
      <c r="J173" s="208"/>
      <c r="K173" s="208"/>
      <c r="L173" s="208"/>
      <c r="M173" s="213" t="s">
        <v>191</v>
      </c>
      <c r="N173" s="214">
        <v>3500</v>
      </c>
      <c r="O173" s="208"/>
    </row>
    <row r="174" spans="1:15" ht="12.75">
      <c r="A174" s="208"/>
      <c r="B174" s="208"/>
      <c r="C174" s="209"/>
      <c r="D174" s="209"/>
      <c r="E174" s="208"/>
      <c r="F174" s="208"/>
      <c r="G174" s="210"/>
      <c r="H174" s="208"/>
      <c r="I174" s="208"/>
      <c r="J174" s="208"/>
      <c r="K174" s="208"/>
      <c r="L174" s="208"/>
      <c r="M174" s="213" t="s">
        <v>192</v>
      </c>
      <c r="N174" s="214">
        <f>N173-N172</f>
        <v>363.5999999999999</v>
      </c>
      <c r="O174" s="208"/>
    </row>
    <row r="175" spans="1:15" ht="12.75">
      <c r="A175" s="191" t="s">
        <v>397</v>
      </c>
      <c r="B175" s="192" t="s">
        <v>166</v>
      </c>
      <c r="C175" s="192" t="s">
        <v>167</v>
      </c>
      <c r="D175" s="192" t="s">
        <v>168</v>
      </c>
      <c r="E175" s="192" t="s">
        <v>169</v>
      </c>
      <c r="F175" s="192" t="s">
        <v>170</v>
      </c>
      <c r="G175" s="193" t="s">
        <v>171</v>
      </c>
      <c r="H175" s="194" t="s">
        <v>172</v>
      </c>
      <c r="I175" s="194" t="s">
        <v>173</v>
      </c>
      <c r="J175" s="194" t="s">
        <v>174</v>
      </c>
      <c r="K175" s="195" t="s">
        <v>175</v>
      </c>
      <c r="L175" s="195" t="s">
        <v>176</v>
      </c>
      <c r="M175" s="195" t="s">
        <v>177</v>
      </c>
      <c r="N175" s="195" t="s">
        <v>4</v>
      </c>
      <c r="O175" s="208"/>
    </row>
    <row r="176" spans="1:18" ht="12.75">
      <c r="A176" s="197" t="s">
        <v>147</v>
      </c>
      <c r="B176" s="198">
        <v>1</v>
      </c>
      <c r="C176" s="254" t="s">
        <v>398</v>
      </c>
      <c r="D176" s="200"/>
      <c r="E176" s="255"/>
      <c r="F176" s="201"/>
      <c r="G176" s="203"/>
      <c r="H176" s="204">
        <v>1</v>
      </c>
      <c r="I176" s="204">
        <v>15.42</v>
      </c>
      <c r="J176" s="250">
        <f>H176*I176</f>
        <v>15.42</v>
      </c>
      <c r="K176" s="256">
        <v>0</v>
      </c>
      <c r="L176" s="205">
        <v>0</v>
      </c>
      <c r="M176" s="205">
        <f>SUM(J176:L176)</f>
        <v>15.42</v>
      </c>
      <c r="N176" s="205"/>
      <c r="O176" s="208"/>
      <c r="Q176" s="113"/>
      <c r="R176" s="113"/>
    </row>
    <row r="177" spans="1:18" ht="12.75">
      <c r="A177" s="197"/>
      <c r="B177" s="198">
        <v>2</v>
      </c>
      <c r="C177" s="228" t="s">
        <v>399</v>
      </c>
      <c r="D177" s="200"/>
      <c r="E177" s="255"/>
      <c r="F177" s="201"/>
      <c r="G177" s="203"/>
      <c r="H177" s="204">
        <v>1</v>
      </c>
      <c r="I177" s="204">
        <v>9.06</v>
      </c>
      <c r="J177" s="250">
        <f>H177*I177</f>
        <v>9.06</v>
      </c>
      <c r="K177" s="256">
        <v>0</v>
      </c>
      <c r="L177" s="205">
        <v>0</v>
      </c>
      <c r="M177" s="205">
        <f>SUM(J177:L177)</f>
        <v>9.06</v>
      </c>
      <c r="N177" s="205"/>
      <c r="O177" s="208"/>
      <c r="Q177" s="113"/>
      <c r="R177" s="113"/>
    </row>
    <row r="178" spans="1:18" ht="12.75">
      <c r="A178" s="197"/>
      <c r="B178" s="198">
        <v>3</v>
      </c>
      <c r="C178" s="228" t="s">
        <v>400</v>
      </c>
      <c r="D178" s="200"/>
      <c r="E178" s="255"/>
      <c r="F178" s="201"/>
      <c r="G178" s="203"/>
      <c r="H178" s="204">
        <v>1</v>
      </c>
      <c r="I178" s="204">
        <v>14.63</v>
      </c>
      <c r="J178" s="250">
        <f>H178*I178</f>
        <v>14.63</v>
      </c>
      <c r="K178" s="256">
        <v>0</v>
      </c>
      <c r="L178" s="205">
        <v>0</v>
      </c>
      <c r="M178" s="205">
        <f>SUM(J178:L178)</f>
        <v>14.63</v>
      </c>
      <c r="N178" s="205"/>
      <c r="O178" s="208"/>
      <c r="Q178" s="113"/>
      <c r="R178" s="113"/>
    </row>
    <row r="179" spans="1:18" ht="12.75">
      <c r="A179" s="197"/>
      <c r="B179" s="198">
        <v>4</v>
      </c>
      <c r="C179" s="249" t="s">
        <v>401</v>
      </c>
      <c r="D179" s="200"/>
      <c r="E179" s="255"/>
      <c r="F179" s="201"/>
      <c r="G179" s="203"/>
      <c r="H179" s="204">
        <v>1</v>
      </c>
      <c r="I179" s="204">
        <v>10.2</v>
      </c>
      <c r="J179" s="250">
        <f>H179*I179</f>
        <v>10.2</v>
      </c>
      <c r="K179" s="256">
        <v>0</v>
      </c>
      <c r="L179" s="205">
        <v>0</v>
      </c>
      <c r="M179" s="205">
        <f>SUM(J179:L179)</f>
        <v>10.2</v>
      </c>
      <c r="N179" s="205"/>
      <c r="O179" s="208"/>
      <c r="Q179" s="113"/>
      <c r="R179" s="113"/>
    </row>
    <row r="180" spans="1:18" ht="12.75">
      <c r="A180" s="197"/>
      <c r="B180" s="198">
        <v>5</v>
      </c>
      <c r="C180" s="228" t="s">
        <v>402</v>
      </c>
      <c r="D180" s="200"/>
      <c r="E180" s="255"/>
      <c r="F180" s="201"/>
      <c r="G180" s="203"/>
      <c r="H180" s="204">
        <v>1</v>
      </c>
      <c r="I180" s="204">
        <v>13.76</v>
      </c>
      <c r="J180" s="250">
        <f>H180*I180</f>
        <v>13.76</v>
      </c>
      <c r="K180" s="256">
        <v>0</v>
      </c>
      <c r="L180" s="205">
        <v>0</v>
      </c>
      <c r="M180" s="205">
        <f>SUM(J180:L180)</f>
        <v>13.76</v>
      </c>
      <c r="N180" s="205"/>
      <c r="O180" s="208"/>
      <c r="Q180" s="113"/>
      <c r="R180" s="113"/>
    </row>
    <row r="181" spans="1:18" ht="12.75">
      <c r="A181" s="197"/>
      <c r="B181" s="198">
        <v>6</v>
      </c>
      <c r="C181" s="249" t="s">
        <v>403</v>
      </c>
      <c r="D181" s="200"/>
      <c r="E181" s="255"/>
      <c r="F181" s="201"/>
      <c r="G181" s="203"/>
      <c r="H181" s="204">
        <v>1</v>
      </c>
      <c r="I181" s="204">
        <v>24.89</v>
      </c>
      <c r="J181" s="250">
        <f>H181*I181</f>
        <v>24.89</v>
      </c>
      <c r="K181" s="256">
        <v>0</v>
      </c>
      <c r="L181" s="205">
        <v>0</v>
      </c>
      <c r="M181" s="205">
        <f>SUM(J181:L181)</f>
        <v>24.89</v>
      </c>
      <c r="N181" s="205"/>
      <c r="O181" s="208"/>
      <c r="Q181" s="113"/>
      <c r="R181" s="113"/>
    </row>
    <row r="182" spans="1:18" ht="12.75">
      <c r="A182" s="197"/>
      <c r="B182" s="198">
        <v>7</v>
      </c>
      <c r="C182" s="228" t="s">
        <v>404</v>
      </c>
      <c r="D182" s="200"/>
      <c r="E182" s="255"/>
      <c r="F182" s="201"/>
      <c r="G182" s="203"/>
      <c r="H182" s="204">
        <v>1</v>
      </c>
      <c r="I182" s="204">
        <v>7.26</v>
      </c>
      <c r="J182" s="250">
        <f>H182*I182</f>
        <v>7.26</v>
      </c>
      <c r="K182" s="256">
        <v>4.99</v>
      </c>
      <c r="L182" s="205">
        <v>0</v>
      </c>
      <c r="M182" s="205">
        <f>SUM(J182:L182)</f>
        <v>12.25</v>
      </c>
      <c r="N182" s="205"/>
      <c r="O182" s="208"/>
      <c r="Q182" s="113"/>
      <c r="R182" s="113"/>
    </row>
    <row r="183" spans="1:15" ht="12.75">
      <c r="A183" s="208"/>
      <c r="B183" s="208"/>
      <c r="C183" s="209"/>
      <c r="D183" s="209"/>
      <c r="E183" s="208"/>
      <c r="F183" s="208"/>
      <c r="G183" s="210"/>
      <c r="H183" s="208"/>
      <c r="I183" s="208"/>
      <c r="J183" s="211">
        <f>SUM(J176:J182)</f>
        <v>95.22</v>
      </c>
      <c r="K183" s="211">
        <f>SUM(K176:K182)</f>
        <v>4.99</v>
      </c>
      <c r="L183" s="211">
        <f>SUM(L176:L182)</f>
        <v>0</v>
      </c>
      <c r="M183" s="211">
        <f>SUM(M176:M182)</f>
        <v>100.21</v>
      </c>
      <c r="N183" s="211">
        <v>3132.87</v>
      </c>
      <c r="O183" s="208"/>
    </row>
    <row r="184" spans="1:15" ht="12.75">
      <c r="A184" s="208"/>
      <c r="B184" s="208"/>
      <c r="C184" s="209"/>
      <c r="D184" s="209"/>
      <c r="E184" s="208"/>
      <c r="F184" s="208"/>
      <c r="G184" s="210"/>
      <c r="H184" s="208"/>
      <c r="I184" s="208"/>
      <c r="J184" s="208"/>
      <c r="K184" s="208"/>
      <c r="L184" s="208"/>
      <c r="M184" s="213" t="s">
        <v>191</v>
      </c>
      <c r="N184" s="214">
        <v>3160.75</v>
      </c>
      <c r="O184" s="208"/>
    </row>
    <row r="185" spans="1:15" ht="12.75">
      <c r="A185" s="208"/>
      <c r="B185" s="208"/>
      <c r="C185" s="209"/>
      <c r="D185" s="209"/>
      <c r="E185" s="208"/>
      <c r="F185" s="208"/>
      <c r="G185" s="210"/>
      <c r="H185" s="208"/>
      <c r="I185" s="208"/>
      <c r="J185" s="208"/>
      <c r="K185" s="208"/>
      <c r="L185" s="208"/>
      <c r="M185" s="213" t="s">
        <v>192</v>
      </c>
      <c r="N185" s="214">
        <f>N184-N183</f>
        <v>27.88000000000011</v>
      </c>
      <c r="O185" s="208"/>
    </row>
    <row r="186" spans="1:15" ht="12.75">
      <c r="A186" s="191" t="s">
        <v>405</v>
      </c>
      <c r="B186" s="192" t="s">
        <v>166</v>
      </c>
      <c r="C186" s="192" t="s">
        <v>167</v>
      </c>
      <c r="D186" s="192" t="s">
        <v>168</v>
      </c>
      <c r="E186" s="192" t="s">
        <v>169</v>
      </c>
      <c r="F186" s="192" t="s">
        <v>170</v>
      </c>
      <c r="G186" s="193" t="s">
        <v>171</v>
      </c>
      <c r="H186" s="194" t="s">
        <v>172</v>
      </c>
      <c r="I186" s="194" t="s">
        <v>173</v>
      </c>
      <c r="J186" s="194" t="s">
        <v>174</v>
      </c>
      <c r="K186" s="195" t="s">
        <v>175</v>
      </c>
      <c r="L186" s="195" t="s">
        <v>176</v>
      </c>
      <c r="M186" s="195" t="s">
        <v>177</v>
      </c>
      <c r="N186" s="195" t="s">
        <v>4</v>
      </c>
      <c r="O186" s="208"/>
    </row>
    <row r="187" spans="1:15" ht="12.75">
      <c r="A187" s="197" t="s">
        <v>128</v>
      </c>
      <c r="B187" s="198">
        <v>1</v>
      </c>
      <c r="C187" s="249" t="s">
        <v>406</v>
      </c>
      <c r="D187" s="200"/>
      <c r="E187" s="201" t="s">
        <v>407</v>
      </c>
      <c r="F187" s="201"/>
      <c r="G187" s="203"/>
      <c r="H187" s="204">
        <v>2</v>
      </c>
      <c r="I187" s="204">
        <v>9.75</v>
      </c>
      <c r="J187" s="250">
        <f>H187*I187</f>
        <v>19.5</v>
      </c>
      <c r="K187" s="250">
        <v>0</v>
      </c>
      <c r="L187" s="205">
        <v>0</v>
      </c>
      <c r="M187" s="205">
        <f>SUM(J187:L187)</f>
        <v>19.5</v>
      </c>
      <c r="N187" s="205">
        <v>611.62</v>
      </c>
      <c r="O187" s="208"/>
    </row>
    <row r="188" spans="1:15" ht="12.75">
      <c r="A188" s="197"/>
      <c r="B188" s="198">
        <v>2</v>
      </c>
      <c r="C188" s="249" t="s">
        <v>408</v>
      </c>
      <c r="D188" s="200"/>
      <c r="E188" s="201" t="s">
        <v>409</v>
      </c>
      <c r="F188" s="201"/>
      <c r="G188" s="203"/>
      <c r="H188" s="204">
        <v>1</v>
      </c>
      <c r="I188" s="204">
        <v>3.02</v>
      </c>
      <c r="J188" s="250">
        <f>H188*I188</f>
        <v>3.02</v>
      </c>
      <c r="K188" s="250">
        <v>2.97</v>
      </c>
      <c r="L188" s="205">
        <v>0</v>
      </c>
      <c r="M188" s="205">
        <f>SUM(J188:L188)</f>
        <v>5.99</v>
      </c>
      <c r="N188" s="205">
        <v>187.87</v>
      </c>
      <c r="O188" s="208"/>
    </row>
    <row r="189" spans="1:15" ht="12.75">
      <c r="A189" s="197"/>
      <c r="B189" s="198">
        <v>3</v>
      </c>
      <c r="C189" s="249" t="s">
        <v>410</v>
      </c>
      <c r="D189" s="200"/>
      <c r="E189" s="201" t="s">
        <v>411</v>
      </c>
      <c r="F189" s="201" t="s">
        <v>390</v>
      </c>
      <c r="G189" s="203" t="s">
        <v>412</v>
      </c>
      <c r="H189" s="204">
        <v>1</v>
      </c>
      <c r="I189" s="204">
        <v>29</v>
      </c>
      <c r="J189" s="250">
        <f>H189*I189</f>
        <v>29</v>
      </c>
      <c r="K189" s="250">
        <v>0</v>
      </c>
      <c r="L189" s="205">
        <v>0</v>
      </c>
      <c r="M189" s="205">
        <f>SUM(J189:L189)</f>
        <v>29</v>
      </c>
      <c r="N189" s="205">
        <v>909.59</v>
      </c>
      <c r="O189" s="208"/>
    </row>
    <row r="190" spans="1:15" ht="12.75">
      <c r="A190" s="197"/>
      <c r="B190" s="208"/>
      <c r="C190" s="209"/>
      <c r="D190" s="209"/>
      <c r="E190" s="208"/>
      <c r="F190" s="208"/>
      <c r="G190" s="210"/>
      <c r="H190" s="208"/>
      <c r="I190" s="208"/>
      <c r="J190" s="211">
        <f>SUM(J187:J189)</f>
        <v>51.52</v>
      </c>
      <c r="K190" s="211">
        <f>SUM(K187:K189)</f>
        <v>2.97</v>
      </c>
      <c r="L190" s="211">
        <f>SUM(L187:L189)</f>
        <v>0</v>
      </c>
      <c r="M190" s="211">
        <f>SUM(M187:M189)</f>
        <v>54.49</v>
      </c>
      <c r="N190" s="211">
        <f>SUM(N187:N189)</f>
        <v>1709.08</v>
      </c>
      <c r="O190" s="208"/>
    </row>
    <row r="191" spans="1:15" ht="12.75">
      <c r="A191" s="208"/>
      <c r="B191" s="208"/>
      <c r="C191" s="209"/>
      <c r="D191" s="209"/>
      <c r="E191" s="208"/>
      <c r="F191" s="208"/>
      <c r="G191" s="210"/>
      <c r="H191" s="208"/>
      <c r="I191" s="208"/>
      <c r="J191" s="208"/>
      <c r="K191" s="208"/>
      <c r="L191" s="208"/>
      <c r="M191" s="213" t="s">
        <v>191</v>
      </c>
      <c r="N191" s="214">
        <v>1750</v>
      </c>
      <c r="O191" s="208"/>
    </row>
    <row r="192" spans="1:15" ht="12.75">
      <c r="A192" s="208"/>
      <c r="B192" s="208"/>
      <c r="C192" s="209"/>
      <c r="D192" s="209"/>
      <c r="E192" s="208"/>
      <c r="F192" s="208"/>
      <c r="G192" s="210"/>
      <c r="H192" s="208"/>
      <c r="I192" s="208"/>
      <c r="J192" s="208"/>
      <c r="K192" s="208"/>
      <c r="L192" s="208"/>
      <c r="M192" s="213" t="s">
        <v>192</v>
      </c>
      <c r="N192" s="214">
        <f>N191-N190</f>
        <v>40.92000000000007</v>
      </c>
      <c r="O192" s="208"/>
    </row>
    <row r="193" spans="1:15" ht="13.5" customHeight="1">
      <c r="A193" s="191" t="s">
        <v>279</v>
      </c>
      <c r="B193" s="192" t="s">
        <v>166</v>
      </c>
      <c r="C193" s="192" t="s">
        <v>167</v>
      </c>
      <c r="D193" s="192" t="s">
        <v>168</v>
      </c>
      <c r="E193" s="192" t="s">
        <v>169</v>
      </c>
      <c r="F193" s="192" t="s">
        <v>170</v>
      </c>
      <c r="G193" s="193" t="s">
        <v>171</v>
      </c>
      <c r="H193" s="194" t="s">
        <v>172</v>
      </c>
      <c r="I193" s="194" t="s">
        <v>173</v>
      </c>
      <c r="J193" s="194" t="s">
        <v>174</v>
      </c>
      <c r="K193" s="195" t="s">
        <v>175</v>
      </c>
      <c r="L193" s="195" t="s">
        <v>176</v>
      </c>
      <c r="M193" s="195" t="s">
        <v>177</v>
      </c>
      <c r="N193" s="195" t="s">
        <v>4</v>
      </c>
      <c r="O193" s="208"/>
    </row>
    <row r="194" spans="1:15" ht="12.75">
      <c r="A194" s="197" t="s">
        <v>141</v>
      </c>
      <c r="B194" s="198">
        <v>1</v>
      </c>
      <c r="C194" s="249"/>
      <c r="D194" s="200"/>
      <c r="E194" s="217" t="s">
        <v>413</v>
      </c>
      <c r="F194" s="201"/>
      <c r="G194" s="203"/>
      <c r="H194" s="204">
        <v>1</v>
      </c>
      <c r="I194" s="204">
        <v>9.01</v>
      </c>
      <c r="J194" s="250">
        <f>H194*I194</f>
        <v>9.01</v>
      </c>
      <c r="K194" s="250"/>
      <c r="L194" s="205">
        <v>0</v>
      </c>
      <c r="M194" s="205">
        <f>SUM(J194:L194)</f>
        <v>9.01</v>
      </c>
      <c r="N194" s="205"/>
      <c r="O194" s="208"/>
    </row>
    <row r="195" spans="1:15" ht="12.75">
      <c r="A195" s="197"/>
      <c r="B195" s="198">
        <v>2</v>
      </c>
      <c r="C195" s="249"/>
      <c r="D195" s="200"/>
      <c r="E195" s="217" t="s">
        <v>414</v>
      </c>
      <c r="F195" s="201"/>
      <c r="G195" s="203"/>
      <c r="H195" s="204">
        <v>1</v>
      </c>
      <c r="I195" s="204">
        <v>5.01</v>
      </c>
      <c r="J195" s="250">
        <f>H195*I195</f>
        <v>5.01</v>
      </c>
      <c r="K195" s="250">
        <v>15</v>
      </c>
      <c r="L195" s="205">
        <v>0</v>
      </c>
      <c r="M195" s="205">
        <f>SUM(J195:L195)</f>
        <v>20.009999999999998</v>
      </c>
      <c r="N195" s="205">
        <v>920.49</v>
      </c>
      <c r="O195" s="208"/>
    </row>
    <row r="196" spans="1:15" ht="12.75">
      <c r="A196" s="197"/>
      <c r="B196" s="198">
        <v>3</v>
      </c>
      <c r="C196" s="249"/>
      <c r="D196" s="200"/>
      <c r="E196" s="217" t="s">
        <v>415</v>
      </c>
      <c r="F196" s="201"/>
      <c r="G196" s="203"/>
      <c r="H196" s="204">
        <v>1</v>
      </c>
      <c r="I196" s="204">
        <v>0.99</v>
      </c>
      <c r="J196" s="250">
        <f>H196*I196</f>
        <v>0.99</v>
      </c>
      <c r="K196" s="250">
        <v>4.95</v>
      </c>
      <c r="L196" s="205">
        <v>0</v>
      </c>
      <c r="M196" s="205">
        <f>SUM(J196:L196)</f>
        <v>5.94</v>
      </c>
      <c r="N196" s="205">
        <v>187.59</v>
      </c>
      <c r="O196" s="208"/>
    </row>
    <row r="197" spans="1:15" ht="12.75">
      <c r="A197" s="197"/>
      <c r="B197" s="198">
        <v>4</v>
      </c>
      <c r="C197" s="249"/>
      <c r="D197" s="200"/>
      <c r="E197" s="217" t="s">
        <v>416</v>
      </c>
      <c r="F197" s="201"/>
      <c r="G197" s="203"/>
      <c r="H197" s="204">
        <v>1</v>
      </c>
      <c r="I197" s="204">
        <v>4.2</v>
      </c>
      <c r="J197" s="250">
        <f>H197*I197</f>
        <v>4.2</v>
      </c>
      <c r="K197" s="250"/>
      <c r="L197" s="205">
        <v>0</v>
      </c>
      <c r="M197" s="205">
        <f>SUM(J197:L197)</f>
        <v>4.2</v>
      </c>
      <c r="N197" s="205"/>
      <c r="O197" s="208"/>
    </row>
    <row r="198" spans="1:15" ht="12.75">
      <c r="A198" s="197"/>
      <c r="B198" s="198">
        <v>5</v>
      </c>
      <c r="C198" s="249"/>
      <c r="D198" s="200"/>
      <c r="E198" s="217" t="s">
        <v>417</v>
      </c>
      <c r="F198" s="201"/>
      <c r="G198" s="203"/>
      <c r="H198" s="204">
        <v>1</v>
      </c>
      <c r="I198" s="204">
        <v>4.99</v>
      </c>
      <c r="J198" s="250">
        <f>H198*I198</f>
        <v>4.99</v>
      </c>
      <c r="K198" s="250">
        <v>5</v>
      </c>
      <c r="L198" s="205">
        <v>0.8</v>
      </c>
      <c r="M198" s="205">
        <f>SUM(J198:L198)</f>
        <v>10.79</v>
      </c>
      <c r="N198" s="205">
        <v>475.46</v>
      </c>
      <c r="O198" s="208"/>
    </row>
    <row r="199" spans="1:15" ht="12.75">
      <c r="A199" s="208"/>
      <c r="B199" s="208"/>
      <c r="C199" s="208"/>
      <c r="D199" s="208"/>
      <c r="E199" s="208"/>
      <c r="F199" s="208"/>
      <c r="G199" s="210"/>
      <c r="H199" s="208"/>
      <c r="I199" s="208"/>
      <c r="J199" s="211">
        <f>SUM(J194:J198)</f>
        <v>24.2</v>
      </c>
      <c r="K199" s="211">
        <f>SUM(K194:K198)</f>
        <v>24.95</v>
      </c>
      <c r="L199" s="211">
        <f>SUM(L194:L198)</f>
        <v>0.8</v>
      </c>
      <c r="M199" s="211">
        <f>SUM(M194:M198)</f>
        <v>49.949999999999996</v>
      </c>
      <c r="N199" s="211">
        <f>SUM(N194:N198)</f>
        <v>1583.54</v>
      </c>
      <c r="O199" s="208"/>
    </row>
    <row r="200" spans="1:15" ht="12.75">
      <c r="A200" s="208"/>
      <c r="B200" s="208"/>
      <c r="C200" s="208"/>
      <c r="D200" s="208"/>
      <c r="E200" s="208"/>
      <c r="F200" s="208"/>
      <c r="G200" s="210"/>
      <c r="H200" s="208"/>
      <c r="I200" s="208"/>
      <c r="J200" s="208"/>
      <c r="K200" s="208"/>
      <c r="L200" s="208"/>
      <c r="M200" s="213" t="s">
        <v>191</v>
      </c>
      <c r="N200" s="214">
        <f>800+500</f>
        <v>1300</v>
      </c>
      <c r="O200" s="208"/>
    </row>
    <row r="201" spans="1:15" ht="12.75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13" t="s">
        <v>192</v>
      </c>
      <c r="N201" s="214">
        <f>N200-N199</f>
        <v>-283.53999999999996</v>
      </c>
      <c r="O201" s="208"/>
    </row>
    <row r="202" spans="1:15" s="257" customFormat="1" ht="12.75">
      <c r="A202" s="191" t="s">
        <v>127</v>
      </c>
      <c r="B202" s="192" t="s">
        <v>166</v>
      </c>
      <c r="C202" s="192" t="s">
        <v>167</v>
      </c>
      <c r="D202" s="192" t="s">
        <v>168</v>
      </c>
      <c r="E202" s="192" t="s">
        <v>169</v>
      </c>
      <c r="F202" s="192" t="s">
        <v>170</v>
      </c>
      <c r="G202" s="193" t="s">
        <v>171</v>
      </c>
      <c r="H202" s="194" t="s">
        <v>172</v>
      </c>
      <c r="I202" s="194" t="s">
        <v>173</v>
      </c>
      <c r="J202" s="194" t="s">
        <v>174</v>
      </c>
      <c r="K202" s="195" t="s">
        <v>175</v>
      </c>
      <c r="L202" s="195" t="s">
        <v>176</v>
      </c>
      <c r="M202" s="195" t="s">
        <v>177</v>
      </c>
      <c r="N202" s="195" t="s">
        <v>4</v>
      </c>
      <c r="O202" s="208"/>
    </row>
    <row r="203" spans="1:15" s="257" customFormat="1" ht="12.75">
      <c r="A203" s="197" t="s">
        <v>128</v>
      </c>
      <c r="B203" s="198">
        <v>1</v>
      </c>
      <c r="C203" s="249"/>
      <c r="D203" s="200"/>
      <c r="E203" s="258" t="s">
        <v>418</v>
      </c>
      <c r="F203" s="201"/>
      <c r="G203" s="203"/>
      <c r="H203" s="204">
        <v>2</v>
      </c>
      <c r="I203" s="204">
        <v>139</v>
      </c>
      <c r="J203" s="250">
        <f>H203*I203</f>
        <v>278</v>
      </c>
      <c r="K203" s="250">
        <v>0</v>
      </c>
      <c r="L203" s="205">
        <v>0</v>
      </c>
      <c r="M203" s="205">
        <f>SUM(J203:L203)</f>
        <v>278</v>
      </c>
      <c r="N203" s="205"/>
      <c r="O203" s="208"/>
    </row>
    <row r="204" spans="1:15" s="257" customFormat="1" ht="12.75">
      <c r="A204" s="208"/>
      <c r="B204" s="198">
        <v>2</v>
      </c>
      <c r="C204" s="249"/>
      <c r="D204" s="200"/>
      <c r="E204" s="258" t="s">
        <v>419</v>
      </c>
      <c r="F204" s="201" t="s">
        <v>420</v>
      </c>
      <c r="G204" s="203"/>
      <c r="H204" s="204">
        <v>2</v>
      </c>
      <c r="I204" s="204">
        <v>34.99</v>
      </c>
      <c r="J204" s="250">
        <f>H204*I204</f>
        <v>69.98</v>
      </c>
      <c r="K204" s="250">
        <v>0</v>
      </c>
      <c r="L204" s="205">
        <v>0</v>
      </c>
      <c r="M204" s="205">
        <f>SUM(J204:L204)</f>
        <v>69.98</v>
      </c>
      <c r="N204" s="205"/>
      <c r="O204" s="208"/>
    </row>
    <row r="205" spans="1:15" s="257" customFormat="1" ht="12.75">
      <c r="A205" s="197"/>
      <c r="B205" s="208"/>
      <c r="C205" s="209"/>
      <c r="D205" s="209"/>
      <c r="E205" s="208"/>
      <c r="F205" s="208"/>
      <c r="G205" s="210"/>
      <c r="H205" s="208"/>
      <c r="I205" s="208"/>
      <c r="J205" s="211">
        <f>SUM(J203:J204)</f>
        <v>347.98</v>
      </c>
      <c r="K205" s="211">
        <f>SUM(K203:K204)</f>
        <v>0</v>
      </c>
      <c r="L205" s="211">
        <f>SUM(L203:L204)</f>
        <v>0</v>
      </c>
      <c r="M205" s="211">
        <f>SUM(M203:M204)</f>
        <v>347.98</v>
      </c>
      <c r="N205" s="211">
        <v>10843.4</v>
      </c>
      <c r="O205" s="208"/>
    </row>
    <row r="206" spans="1:15" s="257" customFormat="1" ht="12.75">
      <c r="A206" s="208"/>
      <c r="B206" s="208"/>
      <c r="C206" s="209"/>
      <c r="D206" s="209"/>
      <c r="E206" s="208"/>
      <c r="F206" s="208"/>
      <c r="G206" s="210"/>
      <c r="H206" s="208"/>
      <c r="I206" s="208"/>
      <c r="J206" s="208"/>
      <c r="K206" s="208"/>
      <c r="L206" s="208"/>
      <c r="M206" s="213" t="s">
        <v>191</v>
      </c>
      <c r="N206" s="214">
        <v>11136</v>
      </c>
      <c r="O206" s="208"/>
    </row>
    <row r="207" spans="1:15" s="257" customFormat="1" ht="12.75">
      <c r="A207" s="208"/>
      <c r="B207" s="208"/>
      <c r="C207" s="209"/>
      <c r="D207" s="209"/>
      <c r="E207" s="208"/>
      <c r="F207" s="208"/>
      <c r="G207" s="210"/>
      <c r="H207" s="208"/>
      <c r="I207" s="208"/>
      <c r="J207" s="208"/>
      <c r="K207" s="208"/>
      <c r="L207" s="208"/>
      <c r="M207" s="213" t="s">
        <v>192</v>
      </c>
      <c r="N207" s="214">
        <f>N206-N205</f>
        <v>292.60000000000036</v>
      </c>
      <c r="O207" s="208"/>
    </row>
    <row r="208" spans="1:15" ht="13.5" customHeight="1">
      <c r="A208" s="191" t="s">
        <v>421</v>
      </c>
      <c r="B208" s="192" t="s">
        <v>166</v>
      </c>
      <c r="C208" s="192" t="s">
        <v>167</v>
      </c>
      <c r="D208" s="192" t="s">
        <v>168</v>
      </c>
      <c r="E208" s="192" t="s">
        <v>169</v>
      </c>
      <c r="F208" s="192" t="s">
        <v>170</v>
      </c>
      <c r="G208" s="193" t="s">
        <v>171</v>
      </c>
      <c r="H208" s="194" t="s">
        <v>172</v>
      </c>
      <c r="I208" s="194" t="s">
        <v>173</v>
      </c>
      <c r="J208" s="194" t="s">
        <v>174</v>
      </c>
      <c r="K208" s="195" t="s">
        <v>175</v>
      </c>
      <c r="L208" s="195" t="s">
        <v>176</v>
      </c>
      <c r="M208" s="195" t="s">
        <v>177</v>
      </c>
      <c r="N208" s="195" t="s">
        <v>4</v>
      </c>
      <c r="O208" s="208"/>
    </row>
    <row r="209" spans="1:18" ht="12.75">
      <c r="A209" s="237" t="s">
        <v>141</v>
      </c>
      <c r="B209" s="238">
        <v>1</v>
      </c>
      <c r="C209" s="249" t="s">
        <v>422</v>
      </c>
      <c r="D209" s="239"/>
      <c r="E209" s="240" t="s">
        <v>423</v>
      </c>
      <c r="F209" s="240"/>
      <c r="G209" s="241"/>
      <c r="H209" s="242">
        <v>1</v>
      </c>
      <c r="I209" s="242">
        <v>89.99</v>
      </c>
      <c r="J209" s="248">
        <f>H209*I209</f>
        <v>89.99</v>
      </c>
      <c r="K209" s="248">
        <v>5.7</v>
      </c>
      <c r="L209" s="244">
        <v>0</v>
      </c>
      <c r="M209" s="244">
        <f>SUM(J209:L209)</f>
        <v>95.69</v>
      </c>
      <c r="N209" s="244">
        <v>3020.84</v>
      </c>
      <c r="O209" s="137"/>
      <c r="Q209" s="113"/>
      <c r="R209" s="113"/>
    </row>
    <row r="210" spans="1:18" ht="12.75">
      <c r="A210" s="237"/>
      <c r="B210" s="238">
        <v>2</v>
      </c>
      <c r="C210" s="249" t="s">
        <v>424</v>
      </c>
      <c r="D210" s="239"/>
      <c r="E210" s="240" t="s">
        <v>425</v>
      </c>
      <c r="F210" s="240"/>
      <c r="G210" s="241"/>
      <c r="H210" s="242">
        <v>1</v>
      </c>
      <c r="I210" s="242">
        <v>94.49</v>
      </c>
      <c r="J210" s="248">
        <f>H210*I210</f>
        <v>94.49</v>
      </c>
      <c r="K210" s="248">
        <v>0</v>
      </c>
      <c r="L210" s="244">
        <v>0</v>
      </c>
      <c r="M210" s="244">
        <f>SUM(J210:L210)</f>
        <v>94.49</v>
      </c>
      <c r="N210" s="244">
        <v>2939.58</v>
      </c>
      <c r="O210" s="137"/>
      <c r="Q210" s="113"/>
      <c r="R210" s="113"/>
    </row>
    <row r="211" spans="1:18" ht="12.75">
      <c r="A211" s="237"/>
      <c r="B211" s="238">
        <v>3</v>
      </c>
      <c r="C211" s="249" t="s">
        <v>426</v>
      </c>
      <c r="D211" s="239"/>
      <c r="E211" s="240" t="s">
        <v>427</v>
      </c>
      <c r="F211" s="240" t="s">
        <v>196</v>
      </c>
      <c r="G211" s="241" t="s">
        <v>317</v>
      </c>
      <c r="H211" s="242">
        <v>2</v>
      </c>
      <c r="I211" s="242">
        <v>14.99</v>
      </c>
      <c r="J211" s="248">
        <f>H211*I211</f>
        <v>29.98</v>
      </c>
      <c r="K211" s="248">
        <v>7.9</v>
      </c>
      <c r="L211" s="244">
        <v>0</v>
      </c>
      <c r="M211" s="244">
        <f>SUM(J211:L211)</f>
        <v>37.88</v>
      </c>
      <c r="N211" s="244">
        <v>1213.18</v>
      </c>
      <c r="O211" s="137"/>
      <c r="Q211" s="113"/>
      <c r="R211" s="113"/>
    </row>
    <row r="212" spans="1:15" ht="12.75">
      <c r="A212" s="237"/>
      <c r="B212" s="137"/>
      <c r="C212" s="245"/>
      <c r="D212" s="245"/>
      <c r="E212" s="137"/>
      <c r="F212" s="137"/>
      <c r="G212" s="246"/>
      <c r="H212" s="137"/>
      <c r="I212" s="137"/>
      <c r="J212" s="247">
        <f>SUM(J209:J211)</f>
        <v>214.45999999999998</v>
      </c>
      <c r="K212" s="247">
        <f>SUM(K209:K211)</f>
        <v>13.600000000000001</v>
      </c>
      <c r="L212" s="247">
        <f>SUM(L209:L211)</f>
        <v>0</v>
      </c>
      <c r="M212" s="247">
        <f>SUM(M209:M211)</f>
        <v>228.06</v>
      </c>
      <c r="N212" s="247">
        <f>SUM(N209:N211)</f>
        <v>7173.6</v>
      </c>
      <c r="O212" s="137"/>
    </row>
    <row r="213" spans="1:15" ht="12.75">
      <c r="A213" s="137"/>
      <c r="B213" s="137"/>
      <c r="C213" s="245"/>
      <c r="D213" s="245"/>
      <c r="E213" s="137"/>
      <c r="F213" s="137"/>
      <c r="G213" s="246"/>
      <c r="H213" s="137"/>
      <c r="I213" s="137"/>
      <c r="J213" s="137"/>
      <c r="K213" s="137"/>
      <c r="L213" s="137"/>
      <c r="M213" s="230" t="s">
        <v>191</v>
      </c>
      <c r="N213" s="231">
        <v>8000</v>
      </c>
      <c r="O213" s="137"/>
    </row>
    <row r="214" spans="1:15" ht="12.75">
      <c r="A214" s="137"/>
      <c r="B214" s="137"/>
      <c r="C214" s="245"/>
      <c r="D214" s="245"/>
      <c r="E214" s="137"/>
      <c r="F214" s="137"/>
      <c r="G214" s="246"/>
      <c r="H214" s="137"/>
      <c r="I214" s="137"/>
      <c r="J214" s="137"/>
      <c r="K214" s="137"/>
      <c r="L214" s="137"/>
      <c r="M214" s="230" t="s">
        <v>192</v>
      </c>
      <c r="N214" s="231">
        <f>N213-N212</f>
        <v>826.3999999999996</v>
      </c>
      <c r="O214" s="137"/>
    </row>
    <row r="215" spans="1:15" ht="12.75">
      <c r="A215" s="232" t="s">
        <v>428</v>
      </c>
      <c r="B215" s="233" t="s">
        <v>166</v>
      </c>
      <c r="C215" s="233" t="s">
        <v>167</v>
      </c>
      <c r="D215" s="233" t="s">
        <v>168</v>
      </c>
      <c r="E215" s="233" t="s">
        <v>429</v>
      </c>
      <c r="F215" s="233" t="s">
        <v>170</v>
      </c>
      <c r="G215" s="234" t="s">
        <v>171</v>
      </c>
      <c r="H215" s="235" t="s">
        <v>172</v>
      </c>
      <c r="I215" s="235" t="s">
        <v>173</v>
      </c>
      <c r="J215" s="235" t="s">
        <v>174</v>
      </c>
      <c r="K215" s="236" t="s">
        <v>175</v>
      </c>
      <c r="L215" s="236" t="s">
        <v>176</v>
      </c>
      <c r="M215" s="236" t="s">
        <v>177</v>
      </c>
      <c r="N215" s="236" t="s">
        <v>4</v>
      </c>
      <c r="O215" s="137"/>
    </row>
    <row r="216" spans="1:18" ht="12.75">
      <c r="A216" s="237" t="s">
        <v>152</v>
      </c>
      <c r="B216" s="238">
        <v>1</v>
      </c>
      <c r="C216" s="249" t="s">
        <v>430</v>
      </c>
      <c r="D216" s="239" t="s">
        <v>431</v>
      </c>
      <c r="E216" s="259" t="s">
        <v>432</v>
      </c>
      <c r="F216" s="240" t="s">
        <v>433</v>
      </c>
      <c r="G216" s="241" t="s">
        <v>434</v>
      </c>
      <c r="H216" s="242">
        <v>1</v>
      </c>
      <c r="I216" s="242">
        <v>53.1</v>
      </c>
      <c r="J216" s="248">
        <f>H216*I216</f>
        <v>53.1</v>
      </c>
      <c r="K216" s="252">
        <f>6.95/3</f>
        <v>2.316666666666667</v>
      </c>
      <c r="L216" s="244">
        <v>0</v>
      </c>
      <c r="M216" s="244">
        <f>SUM(J216:L216)</f>
        <v>55.41666666666667</v>
      </c>
      <c r="N216" s="244">
        <v>1724.01</v>
      </c>
      <c r="O216" s="137"/>
      <c r="Q216" s="113"/>
      <c r="R216" s="113"/>
    </row>
    <row r="217" spans="1:15" ht="12.75">
      <c r="A217" s="137"/>
      <c r="B217" s="137"/>
      <c r="C217" s="245"/>
      <c r="D217" s="245"/>
      <c r="E217" s="137"/>
      <c r="F217" s="137"/>
      <c r="G217" s="137"/>
      <c r="H217" s="137"/>
      <c r="I217" s="137"/>
      <c r="J217" s="247">
        <f>SUM(J216:J216)</f>
        <v>53.1</v>
      </c>
      <c r="K217" s="247">
        <f>SUM(K216:K216)</f>
        <v>2.316666666666667</v>
      </c>
      <c r="L217" s="247">
        <f>SUM(L216:L216)</f>
        <v>0</v>
      </c>
      <c r="M217" s="247">
        <f>SUM(M216:M216)</f>
        <v>55.41666666666667</v>
      </c>
      <c r="N217" s="247">
        <f>SUM(N216:N216)</f>
        <v>1724.01</v>
      </c>
      <c r="O217" s="137"/>
    </row>
    <row r="218" spans="1:15" ht="12.75">
      <c r="A218" s="137"/>
      <c r="B218" s="137"/>
      <c r="C218" s="245"/>
      <c r="D218" s="245"/>
      <c r="E218" s="137"/>
      <c r="F218" s="137"/>
      <c r="G218" s="137"/>
      <c r="H218" s="137"/>
      <c r="I218" s="137"/>
      <c r="J218" s="260"/>
      <c r="K218" s="260"/>
      <c r="L218" s="247"/>
      <c r="M218" s="230" t="s">
        <v>191</v>
      </c>
      <c r="N218" s="231">
        <v>2000</v>
      </c>
      <c r="O218" s="137"/>
    </row>
    <row r="219" spans="1:15" ht="12.75">
      <c r="A219" s="137"/>
      <c r="B219" s="137"/>
      <c r="C219" s="245"/>
      <c r="D219" s="245"/>
      <c r="E219" s="137"/>
      <c r="F219" s="137"/>
      <c r="G219" s="137"/>
      <c r="H219" s="137"/>
      <c r="I219" s="137"/>
      <c r="J219" s="137"/>
      <c r="K219" s="137"/>
      <c r="L219" s="137"/>
      <c r="M219" s="230" t="s">
        <v>192</v>
      </c>
      <c r="N219" s="231">
        <f>N218-N217</f>
        <v>275.99</v>
      </c>
      <c r="O219" s="137"/>
    </row>
    <row r="220" spans="1:15" ht="12.75">
      <c r="A220" s="232" t="s">
        <v>435</v>
      </c>
      <c r="B220" s="233" t="s">
        <v>166</v>
      </c>
      <c r="C220" s="233" t="s">
        <v>167</v>
      </c>
      <c r="D220" s="233" t="s">
        <v>168</v>
      </c>
      <c r="E220" s="233" t="s">
        <v>429</v>
      </c>
      <c r="F220" s="233" t="s">
        <v>170</v>
      </c>
      <c r="G220" s="234" t="s">
        <v>171</v>
      </c>
      <c r="H220" s="235" t="s">
        <v>172</v>
      </c>
      <c r="I220" s="235" t="s">
        <v>173</v>
      </c>
      <c r="J220" s="235" t="s">
        <v>174</v>
      </c>
      <c r="K220" s="236" t="s">
        <v>175</v>
      </c>
      <c r="L220" s="236" t="s">
        <v>176</v>
      </c>
      <c r="M220" s="236" t="s">
        <v>177</v>
      </c>
      <c r="N220" s="261" t="s">
        <v>4</v>
      </c>
      <c r="O220" s="137"/>
    </row>
    <row r="221" spans="1:18" ht="12.75">
      <c r="A221" s="237" t="s">
        <v>152</v>
      </c>
      <c r="B221" s="238">
        <v>1</v>
      </c>
      <c r="C221" s="249" t="s">
        <v>436</v>
      </c>
      <c r="D221" s="239" t="s">
        <v>437</v>
      </c>
      <c r="E221" s="259" t="s">
        <v>438</v>
      </c>
      <c r="F221" s="240" t="s">
        <v>439</v>
      </c>
      <c r="G221" s="241">
        <v>6</v>
      </c>
      <c r="H221" s="242">
        <v>1</v>
      </c>
      <c r="I221" s="242">
        <v>31.14</v>
      </c>
      <c r="J221" s="248">
        <f>H221*I221</f>
        <v>31.14</v>
      </c>
      <c r="K221" s="252">
        <f>6.95/3</f>
        <v>2.316666666666667</v>
      </c>
      <c r="L221" s="244">
        <v>0</v>
      </c>
      <c r="M221" s="244">
        <f>SUM(J221:L221)</f>
        <v>33.45666666666667</v>
      </c>
      <c r="N221" s="244"/>
      <c r="O221" s="137"/>
      <c r="Q221" s="113"/>
      <c r="R221" s="113"/>
    </row>
    <row r="222" spans="1:18" ht="12.75">
      <c r="A222" s="237"/>
      <c r="B222" s="238">
        <v>2</v>
      </c>
      <c r="C222" s="249" t="s">
        <v>440</v>
      </c>
      <c r="D222" s="239" t="s">
        <v>441</v>
      </c>
      <c r="E222" s="219" t="s">
        <v>442</v>
      </c>
      <c r="F222" s="240" t="s">
        <v>196</v>
      </c>
      <c r="G222" s="241">
        <v>6</v>
      </c>
      <c r="H222" s="242">
        <v>1</v>
      </c>
      <c r="I222" s="242">
        <v>26.18</v>
      </c>
      <c r="J222" s="248">
        <f>H222*I222</f>
        <v>26.18</v>
      </c>
      <c r="K222" s="252">
        <f>6.95/3</f>
        <v>2.316666666666667</v>
      </c>
      <c r="L222" s="244">
        <v>0</v>
      </c>
      <c r="M222" s="244">
        <f>SUM(J222:L222)</f>
        <v>28.496666666666666</v>
      </c>
      <c r="N222" s="244">
        <v>1927.37</v>
      </c>
      <c r="O222" s="137"/>
      <c r="Q222" s="113"/>
      <c r="R222" s="113"/>
    </row>
    <row r="223" spans="1:18" ht="12.75">
      <c r="A223" s="237" t="s">
        <v>443</v>
      </c>
      <c r="B223" s="238">
        <v>1</v>
      </c>
      <c r="C223" s="249" t="s">
        <v>444</v>
      </c>
      <c r="D223" s="239"/>
      <c r="E223" s="259" t="s">
        <v>445</v>
      </c>
      <c r="F223" s="240" t="s">
        <v>446</v>
      </c>
      <c r="G223" s="241"/>
      <c r="H223" s="242">
        <v>1</v>
      </c>
      <c r="I223" s="242">
        <v>47.04</v>
      </c>
      <c r="J223" s="248">
        <f>H223*I223</f>
        <v>47.04</v>
      </c>
      <c r="K223" s="252">
        <v>6.95</v>
      </c>
      <c r="L223" s="244">
        <v>0</v>
      </c>
      <c r="M223" s="244">
        <f>SUM(J223:L223)</f>
        <v>53.99</v>
      </c>
      <c r="N223" s="244">
        <v>1724.98</v>
      </c>
      <c r="O223" s="137"/>
      <c r="Q223" s="113"/>
      <c r="R223" s="113"/>
    </row>
    <row r="224" spans="1:20" ht="12.75">
      <c r="A224" s="137"/>
      <c r="B224" s="137"/>
      <c r="C224" s="245"/>
      <c r="D224" s="245"/>
      <c r="E224" s="137"/>
      <c r="F224" s="137"/>
      <c r="G224" s="137"/>
      <c r="H224" s="137"/>
      <c r="I224" s="137"/>
      <c r="J224" s="247">
        <f>SUM(J221:J223)</f>
        <v>104.36</v>
      </c>
      <c r="K224" s="247">
        <f>SUM(K221:K223)</f>
        <v>11.583333333333334</v>
      </c>
      <c r="L224" s="247">
        <f>SUM(L221:L223)</f>
        <v>0</v>
      </c>
      <c r="M224" s="247">
        <f>SUM(M221:M223)</f>
        <v>115.94333333333333</v>
      </c>
      <c r="N224" s="247">
        <f>SUM(N221:N223)</f>
        <v>3652.35</v>
      </c>
      <c r="O224" s="137"/>
      <c r="R224" s="113"/>
      <c r="T224" s="113"/>
    </row>
    <row r="225" spans="1:15" ht="12.75">
      <c r="A225" s="137"/>
      <c r="B225" s="137"/>
      <c r="C225" s="245"/>
      <c r="D225" s="245"/>
      <c r="E225" s="137"/>
      <c r="F225" s="137"/>
      <c r="G225" s="137"/>
      <c r="H225" s="137"/>
      <c r="I225" s="137"/>
      <c r="J225" s="260"/>
      <c r="K225" s="260"/>
      <c r="L225" s="247"/>
      <c r="M225" s="230" t="s">
        <v>191</v>
      </c>
      <c r="N225" s="231">
        <f>2000+2000</f>
        <v>4000</v>
      </c>
      <c r="O225" s="137"/>
    </row>
    <row r="226" spans="1:15" ht="12.75">
      <c r="A226" s="137"/>
      <c r="B226" s="137"/>
      <c r="C226" s="245"/>
      <c r="D226" s="245"/>
      <c r="E226" s="137"/>
      <c r="F226" s="137"/>
      <c r="G226" s="137"/>
      <c r="H226" s="137"/>
      <c r="I226" s="137"/>
      <c r="J226" s="137"/>
      <c r="K226" s="137"/>
      <c r="L226" s="137"/>
      <c r="M226" s="230" t="s">
        <v>192</v>
      </c>
      <c r="N226" s="231">
        <f>N225-N224</f>
        <v>347.6500000000001</v>
      </c>
      <c r="O226" s="137"/>
    </row>
    <row r="227" spans="1:15" ht="12.75">
      <c r="A227" s="262" t="s">
        <v>447</v>
      </c>
      <c r="B227" s="233" t="s">
        <v>166</v>
      </c>
      <c r="C227" s="233" t="s">
        <v>167</v>
      </c>
      <c r="D227" s="233" t="s">
        <v>168</v>
      </c>
      <c r="E227" s="233" t="s">
        <v>169</v>
      </c>
      <c r="F227" s="233" t="s">
        <v>170</v>
      </c>
      <c r="G227" s="234" t="s">
        <v>171</v>
      </c>
      <c r="H227" s="235" t="s">
        <v>172</v>
      </c>
      <c r="I227" s="235" t="s">
        <v>173</v>
      </c>
      <c r="J227" s="235" t="s">
        <v>174</v>
      </c>
      <c r="K227" s="236" t="s">
        <v>175</v>
      </c>
      <c r="L227" s="236" t="s">
        <v>176</v>
      </c>
      <c r="M227" s="236" t="s">
        <v>177</v>
      </c>
      <c r="N227" s="261" t="s">
        <v>4</v>
      </c>
      <c r="O227" s="137"/>
    </row>
    <row r="228" spans="1:15" ht="12.75">
      <c r="A228" s="237" t="s">
        <v>152</v>
      </c>
      <c r="B228" s="238">
        <v>1</v>
      </c>
      <c r="C228" s="254" t="s">
        <v>448</v>
      </c>
      <c r="D228" s="239" t="s">
        <v>449</v>
      </c>
      <c r="E228" s="217" t="s">
        <v>450</v>
      </c>
      <c r="F228" s="240" t="s">
        <v>451</v>
      </c>
      <c r="G228" s="241" t="s">
        <v>351</v>
      </c>
      <c r="H228" s="242">
        <v>2</v>
      </c>
      <c r="I228" s="242">
        <v>20.32</v>
      </c>
      <c r="J228" s="248">
        <f>H228*I228</f>
        <v>40.64</v>
      </c>
      <c r="K228" s="252"/>
      <c r="L228" s="244"/>
      <c r="M228" s="244">
        <f>SUM(J228:L228)</f>
        <v>40.64</v>
      </c>
      <c r="N228" s="244"/>
      <c r="O228" s="137"/>
    </row>
    <row r="229" spans="1:15" ht="12.75">
      <c r="A229" s="237"/>
      <c r="B229" s="238">
        <v>2</v>
      </c>
      <c r="C229" s="249" t="s">
        <v>452</v>
      </c>
      <c r="D229" s="239" t="s">
        <v>453</v>
      </c>
      <c r="E229" s="217" t="s">
        <v>454</v>
      </c>
      <c r="F229" s="240" t="s">
        <v>455</v>
      </c>
      <c r="G229" s="241" t="s">
        <v>207</v>
      </c>
      <c r="H229" s="242">
        <v>1</v>
      </c>
      <c r="I229" s="242">
        <v>29.4</v>
      </c>
      <c r="J229" s="248">
        <f>H229*I229</f>
        <v>29.4</v>
      </c>
      <c r="K229" s="252"/>
      <c r="L229" s="244"/>
      <c r="M229" s="244">
        <f>SUM(J229:L229)</f>
        <v>29.4</v>
      </c>
      <c r="N229" s="244"/>
      <c r="O229" s="137"/>
    </row>
    <row r="230" spans="1:15" ht="12.75">
      <c r="A230" s="237"/>
      <c r="B230" s="238">
        <v>3</v>
      </c>
      <c r="C230" s="249" t="s">
        <v>456</v>
      </c>
      <c r="D230" s="239" t="s">
        <v>457</v>
      </c>
      <c r="E230" s="217" t="s">
        <v>458</v>
      </c>
      <c r="F230" s="240" t="s">
        <v>459</v>
      </c>
      <c r="G230" s="241" t="s">
        <v>351</v>
      </c>
      <c r="H230" s="242">
        <v>1</v>
      </c>
      <c r="I230" s="242">
        <v>29.4</v>
      </c>
      <c r="J230" s="248">
        <f>H230*I230</f>
        <v>29.4</v>
      </c>
      <c r="K230" s="252"/>
      <c r="L230" s="244"/>
      <c r="M230" s="244">
        <f>SUM(J230:L230)</f>
        <v>29.4</v>
      </c>
      <c r="N230" s="244"/>
      <c r="O230" s="137"/>
    </row>
    <row r="231" spans="1:15" ht="12.75">
      <c r="A231" s="237"/>
      <c r="B231" s="238">
        <v>4</v>
      </c>
      <c r="C231" s="249" t="s">
        <v>460</v>
      </c>
      <c r="D231" s="239" t="s">
        <v>461</v>
      </c>
      <c r="E231" s="259" t="s">
        <v>462</v>
      </c>
      <c r="F231" s="240" t="s">
        <v>242</v>
      </c>
      <c r="G231" s="241" t="s">
        <v>351</v>
      </c>
      <c r="H231" s="242">
        <v>1</v>
      </c>
      <c r="I231" s="242">
        <v>24</v>
      </c>
      <c r="J231" s="248">
        <f>H231*I231</f>
        <v>24</v>
      </c>
      <c r="K231" s="252"/>
      <c r="L231" s="244"/>
      <c r="M231" s="244">
        <f>SUM(J231:L231)</f>
        <v>24</v>
      </c>
      <c r="N231" s="244"/>
      <c r="O231" s="137"/>
    </row>
    <row r="232" spans="1:15" ht="12.75">
      <c r="A232" s="237"/>
      <c r="B232" s="238">
        <v>5</v>
      </c>
      <c r="C232" s="228" t="s">
        <v>463</v>
      </c>
      <c r="D232" s="239" t="s">
        <v>464</v>
      </c>
      <c r="E232" s="259" t="s">
        <v>465</v>
      </c>
      <c r="F232" s="240" t="s">
        <v>390</v>
      </c>
      <c r="G232" s="241" t="s">
        <v>351</v>
      </c>
      <c r="H232" s="242">
        <v>1</v>
      </c>
      <c r="I232" s="242">
        <v>89</v>
      </c>
      <c r="J232" s="248">
        <f>H232*I232</f>
        <v>89</v>
      </c>
      <c r="K232" s="252"/>
      <c r="L232" s="244"/>
      <c r="M232" s="244">
        <f>SUM(J232:L232)</f>
        <v>89</v>
      </c>
      <c r="N232" s="244"/>
      <c r="O232" s="137"/>
    </row>
    <row r="233" spans="1:15" ht="12.75">
      <c r="A233" s="237"/>
      <c r="B233" s="238">
        <v>6</v>
      </c>
      <c r="C233" s="249" t="s">
        <v>466</v>
      </c>
      <c r="D233" s="239" t="s">
        <v>461</v>
      </c>
      <c r="E233" s="217" t="s">
        <v>462</v>
      </c>
      <c r="F233" s="240" t="s">
        <v>467</v>
      </c>
      <c r="G233" s="241" t="s">
        <v>207</v>
      </c>
      <c r="H233" s="242">
        <v>1</v>
      </c>
      <c r="I233" s="242">
        <v>24</v>
      </c>
      <c r="J233" s="248">
        <f>H233*I233</f>
        <v>24</v>
      </c>
      <c r="K233" s="252"/>
      <c r="L233" s="244"/>
      <c r="M233" s="244">
        <f>SUM(J233:L233)</f>
        <v>24</v>
      </c>
      <c r="N233" s="244"/>
      <c r="O233" s="137"/>
    </row>
    <row r="234" spans="1:15" ht="12.75">
      <c r="A234" s="237"/>
      <c r="B234" s="238">
        <v>7</v>
      </c>
      <c r="C234" s="249" t="s">
        <v>468</v>
      </c>
      <c r="D234" s="239" t="s">
        <v>469</v>
      </c>
      <c r="E234" s="259" t="s">
        <v>470</v>
      </c>
      <c r="F234" s="240" t="s">
        <v>471</v>
      </c>
      <c r="G234" s="241" t="s">
        <v>351</v>
      </c>
      <c r="H234" s="242">
        <v>1</v>
      </c>
      <c r="I234" s="242">
        <v>48.3</v>
      </c>
      <c r="J234" s="248">
        <f>H234*I234</f>
        <v>48.3</v>
      </c>
      <c r="K234" s="252">
        <v>6.95</v>
      </c>
      <c r="L234" s="244"/>
      <c r="M234" s="244">
        <f>SUM(J234:L234)</f>
        <v>55.25</v>
      </c>
      <c r="N234" s="244"/>
      <c r="O234" s="137"/>
    </row>
    <row r="235" spans="1:15" ht="12.75">
      <c r="A235" s="137"/>
      <c r="B235" s="137"/>
      <c r="C235" s="245"/>
      <c r="D235" s="245"/>
      <c r="E235" s="137"/>
      <c r="F235" s="137"/>
      <c r="G235" s="246"/>
      <c r="H235" s="137"/>
      <c r="I235" s="137"/>
      <c r="J235" s="247">
        <f>SUM(J228:J234)</f>
        <v>284.74</v>
      </c>
      <c r="K235" s="247">
        <f>SUM(K228:K234)</f>
        <v>6.95</v>
      </c>
      <c r="L235" s="247">
        <f>SUM(L228:L234)</f>
        <v>0</v>
      </c>
      <c r="M235" s="247">
        <f>SUM(M228:M234)</f>
        <v>291.69</v>
      </c>
      <c r="N235" s="247">
        <v>8659.88</v>
      </c>
      <c r="O235" s="137"/>
    </row>
    <row r="236" spans="1:15" ht="12.75">
      <c r="A236" s="137"/>
      <c r="B236" s="137"/>
      <c r="C236" s="245"/>
      <c r="D236" s="245"/>
      <c r="E236" s="137"/>
      <c r="F236" s="137"/>
      <c r="G236" s="246"/>
      <c r="H236" s="137"/>
      <c r="I236" s="137"/>
      <c r="J236" s="260"/>
      <c r="K236" s="260"/>
      <c r="L236" s="247"/>
      <c r="M236" s="230" t="s">
        <v>191</v>
      </c>
      <c r="N236" s="231">
        <f>4700+4800</f>
        <v>9500</v>
      </c>
      <c r="O236" s="137"/>
    </row>
    <row r="237" spans="1:15" ht="12.75">
      <c r="A237" s="137"/>
      <c r="B237" s="137"/>
      <c r="C237" s="245"/>
      <c r="D237" s="245"/>
      <c r="E237" s="137"/>
      <c r="F237" s="137"/>
      <c r="G237" s="246"/>
      <c r="H237" s="137"/>
      <c r="I237" s="137"/>
      <c r="J237" s="137"/>
      <c r="K237" s="137"/>
      <c r="L237" s="137"/>
      <c r="M237" s="230" t="s">
        <v>192</v>
      </c>
      <c r="N237" s="231">
        <f>N236-N235</f>
        <v>840.1200000000008</v>
      </c>
      <c r="O237" s="137"/>
    </row>
    <row r="238" spans="1:18" ht="12.75">
      <c r="A238" s="232" t="s">
        <v>472</v>
      </c>
      <c r="B238" s="233" t="s">
        <v>166</v>
      </c>
      <c r="C238" s="233" t="s">
        <v>167</v>
      </c>
      <c r="D238" s="233" t="s">
        <v>168</v>
      </c>
      <c r="E238" s="233" t="s">
        <v>429</v>
      </c>
      <c r="F238" s="233" t="s">
        <v>170</v>
      </c>
      <c r="G238" s="234" t="s">
        <v>171</v>
      </c>
      <c r="H238" s="235" t="s">
        <v>172</v>
      </c>
      <c r="I238" s="235" t="s">
        <v>173</v>
      </c>
      <c r="J238" s="235" t="s">
        <v>174</v>
      </c>
      <c r="K238" s="236" t="s">
        <v>175</v>
      </c>
      <c r="L238" s="236" t="s">
        <v>176</v>
      </c>
      <c r="M238" s="236" t="s">
        <v>177</v>
      </c>
      <c r="N238" s="261" t="s">
        <v>4</v>
      </c>
      <c r="O238" s="137"/>
      <c r="Q238" s="113"/>
      <c r="R238" s="113"/>
    </row>
    <row r="239" spans="1:18" ht="12.75">
      <c r="A239" s="237" t="s">
        <v>128</v>
      </c>
      <c r="B239" s="238">
        <v>1</v>
      </c>
      <c r="C239" s="249" t="s">
        <v>473</v>
      </c>
      <c r="D239" s="239"/>
      <c r="E239" s="259" t="s">
        <v>474</v>
      </c>
      <c r="F239" s="240" t="s">
        <v>475</v>
      </c>
      <c r="G239" s="241">
        <v>6</v>
      </c>
      <c r="H239" s="242">
        <v>1</v>
      </c>
      <c r="I239" s="242">
        <v>59.9</v>
      </c>
      <c r="J239" s="248">
        <f>H239*I239</f>
        <v>59.9</v>
      </c>
      <c r="K239" s="252">
        <v>0</v>
      </c>
      <c r="L239" s="244">
        <v>0</v>
      </c>
      <c r="M239" s="244">
        <f>SUM(J239:L239)</f>
        <v>59.9</v>
      </c>
      <c r="N239" s="244">
        <v>1890.99</v>
      </c>
      <c r="O239" s="137"/>
      <c r="Q239" s="113"/>
      <c r="R239" s="113"/>
    </row>
    <row r="240" spans="1:20" ht="12.75">
      <c r="A240" s="137"/>
      <c r="B240" s="137"/>
      <c r="C240" s="245"/>
      <c r="D240" s="245"/>
      <c r="E240" s="137"/>
      <c r="F240" s="137"/>
      <c r="G240" s="137"/>
      <c r="H240" s="137"/>
      <c r="I240" s="137"/>
      <c r="J240" s="247">
        <f>SUM(J239:J239)</f>
        <v>59.9</v>
      </c>
      <c r="K240" s="247">
        <f>SUM(K239:K239)</f>
        <v>0</v>
      </c>
      <c r="L240" s="247">
        <f>SUM(L239:L239)</f>
        <v>0</v>
      </c>
      <c r="M240" s="247">
        <f>SUM(M239:M239)</f>
        <v>59.9</v>
      </c>
      <c r="N240" s="247">
        <f>SUM(N239:N239)</f>
        <v>1890.99</v>
      </c>
      <c r="O240" s="137"/>
      <c r="S240" s="60"/>
      <c r="T240" s="60"/>
    </row>
    <row r="241" spans="1:32" ht="12.75">
      <c r="A241" s="137"/>
      <c r="B241" s="137"/>
      <c r="C241" s="245"/>
      <c r="D241" s="245"/>
      <c r="E241" s="137"/>
      <c r="F241" s="137"/>
      <c r="G241" s="137"/>
      <c r="H241" s="137"/>
      <c r="I241" s="137"/>
      <c r="J241" s="260"/>
      <c r="K241" s="260"/>
      <c r="L241" s="247"/>
      <c r="M241" s="230" t="s">
        <v>191</v>
      </c>
      <c r="N241" s="231">
        <v>2000</v>
      </c>
      <c r="O241" s="260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</row>
    <row r="242" spans="1:15" ht="12.75">
      <c r="A242" s="137"/>
      <c r="B242" s="137"/>
      <c r="C242" s="245"/>
      <c r="D242" s="245"/>
      <c r="E242" s="137"/>
      <c r="F242" s="137"/>
      <c r="G242" s="137"/>
      <c r="H242" s="137"/>
      <c r="I242" s="137"/>
      <c r="J242" s="137"/>
      <c r="K242" s="137"/>
      <c r="L242" s="137"/>
      <c r="M242" s="230" t="s">
        <v>192</v>
      </c>
      <c r="N242" s="231">
        <f>N241-N240</f>
        <v>109.00999999999999</v>
      </c>
      <c r="O242" s="137"/>
    </row>
    <row r="243" spans="1:15" ht="12.75">
      <c r="A243" s="232" t="s">
        <v>476</v>
      </c>
      <c r="B243" s="233" t="s">
        <v>166</v>
      </c>
      <c r="C243" s="233" t="s">
        <v>167</v>
      </c>
      <c r="D243" s="233" t="s">
        <v>168</v>
      </c>
      <c r="E243" s="233" t="s">
        <v>429</v>
      </c>
      <c r="F243" s="233" t="s">
        <v>170</v>
      </c>
      <c r="G243" s="234" t="s">
        <v>171</v>
      </c>
      <c r="H243" s="235" t="s">
        <v>172</v>
      </c>
      <c r="I243" s="235" t="s">
        <v>173</v>
      </c>
      <c r="J243" s="235" t="s">
        <v>174</v>
      </c>
      <c r="K243" s="236" t="s">
        <v>175</v>
      </c>
      <c r="L243" s="236" t="s">
        <v>176</v>
      </c>
      <c r="M243" s="236" t="s">
        <v>177</v>
      </c>
      <c r="N243" s="261" t="s">
        <v>4</v>
      </c>
      <c r="O243" s="137"/>
    </row>
    <row r="244" spans="1:15" ht="12.75">
      <c r="A244" s="237" t="s">
        <v>152</v>
      </c>
      <c r="B244" s="238">
        <v>1</v>
      </c>
      <c r="C244" s="249" t="s">
        <v>477</v>
      </c>
      <c r="D244" s="239" t="s">
        <v>478</v>
      </c>
      <c r="E244" s="219" t="s">
        <v>479</v>
      </c>
      <c r="F244" s="240" t="s">
        <v>480</v>
      </c>
      <c r="G244" s="241">
        <v>8</v>
      </c>
      <c r="H244" s="242">
        <v>1</v>
      </c>
      <c r="I244" s="242">
        <v>64</v>
      </c>
      <c r="J244" s="248">
        <f>H244*I244</f>
        <v>64</v>
      </c>
      <c r="K244" s="252">
        <f>6.95/5</f>
        <v>1.3900000000000001</v>
      </c>
      <c r="L244" s="244"/>
      <c r="M244" s="244">
        <f>SUM(J244:L244)</f>
        <v>65.39</v>
      </c>
      <c r="N244" s="244"/>
      <c r="O244" s="137"/>
    </row>
    <row r="245" spans="1:15" ht="12.75">
      <c r="A245" s="237"/>
      <c r="B245" s="238">
        <v>2</v>
      </c>
      <c r="C245" s="249" t="s">
        <v>481</v>
      </c>
      <c r="D245" s="239" t="s">
        <v>482</v>
      </c>
      <c r="E245" s="219" t="s">
        <v>483</v>
      </c>
      <c r="F245" s="240" t="s">
        <v>484</v>
      </c>
      <c r="G245" s="241">
        <v>8</v>
      </c>
      <c r="H245" s="242">
        <v>1</v>
      </c>
      <c r="I245" s="242">
        <v>50</v>
      </c>
      <c r="J245" s="248">
        <f>H245*I245</f>
        <v>50</v>
      </c>
      <c r="K245" s="252">
        <f>6.95/5</f>
        <v>1.3900000000000001</v>
      </c>
      <c r="L245" s="244"/>
      <c r="M245" s="244">
        <f>SUM(J245:L245)</f>
        <v>51.39</v>
      </c>
      <c r="N245" s="244"/>
      <c r="O245" s="137"/>
    </row>
    <row r="246" spans="1:15" ht="12.75">
      <c r="A246" s="137"/>
      <c r="B246" s="137"/>
      <c r="C246" s="245"/>
      <c r="D246" s="245"/>
      <c r="E246" s="137"/>
      <c r="F246" s="137"/>
      <c r="G246" s="137"/>
      <c r="H246" s="137"/>
      <c r="I246" s="137"/>
      <c r="J246" s="247">
        <f>SUM(J244:J245)</f>
        <v>114</v>
      </c>
      <c r="K246" s="247">
        <f>SUM(K244:K245)</f>
        <v>2.7800000000000002</v>
      </c>
      <c r="L246" s="247">
        <f>SUM(L244:L245)</f>
        <v>0</v>
      </c>
      <c r="M246" s="247">
        <f>SUM(M244:M245)</f>
        <v>116.78</v>
      </c>
      <c r="N246" s="247">
        <v>3680.67</v>
      </c>
      <c r="O246" s="137"/>
    </row>
    <row r="247" spans="1:15" ht="12.75">
      <c r="A247" s="137"/>
      <c r="B247" s="137"/>
      <c r="C247" s="245"/>
      <c r="D247" s="245"/>
      <c r="E247" s="137"/>
      <c r="F247" s="137"/>
      <c r="G247" s="137"/>
      <c r="H247" s="137"/>
      <c r="I247" s="137"/>
      <c r="J247" s="260"/>
      <c r="K247" s="260"/>
      <c r="L247" s="247"/>
      <c r="M247" s="230" t="s">
        <v>191</v>
      </c>
      <c r="N247" s="231">
        <v>3871</v>
      </c>
      <c r="O247" s="137"/>
    </row>
    <row r="248" spans="1:15" ht="12.75">
      <c r="A248" s="137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230" t="s">
        <v>192</v>
      </c>
      <c r="N248" s="231">
        <f>N247-N246</f>
        <v>190.32999999999993</v>
      </c>
      <c r="O248" s="137"/>
    </row>
    <row r="249" spans="1:15" ht="12.75">
      <c r="A249" s="263" t="s">
        <v>485</v>
      </c>
      <c r="B249" s="233" t="s">
        <v>166</v>
      </c>
      <c r="C249" s="233" t="s">
        <v>167</v>
      </c>
      <c r="D249" s="233" t="s">
        <v>168</v>
      </c>
      <c r="E249" s="233" t="s">
        <v>429</v>
      </c>
      <c r="F249" s="233" t="s">
        <v>170</v>
      </c>
      <c r="G249" s="234" t="s">
        <v>171</v>
      </c>
      <c r="H249" s="235" t="s">
        <v>172</v>
      </c>
      <c r="I249" s="235" t="s">
        <v>173</v>
      </c>
      <c r="J249" s="235" t="s">
        <v>174</v>
      </c>
      <c r="K249" s="236" t="s">
        <v>175</v>
      </c>
      <c r="L249" s="236" t="s">
        <v>176</v>
      </c>
      <c r="M249" s="236" t="s">
        <v>177</v>
      </c>
      <c r="N249" s="261" t="s">
        <v>4</v>
      </c>
      <c r="O249" s="137"/>
    </row>
    <row r="250" spans="1:15" ht="12.75">
      <c r="A250" s="237" t="s">
        <v>152</v>
      </c>
      <c r="B250" s="238">
        <v>1</v>
      </c>
      <c r="C250" s="249" t="s">
        <v>486</v>
      </c>
      <c r="D250" s="239" t="s">
        <v>487</v>
      </c>
      <c r="E250" s="259" t="s">
        <v>488</v>
      </c>
      <c r="F250" s="240" t="s">
        <v>489</v>
      </c>
      <c r="G250" s="241">
        <v>7.5</v>
      </c>
      <c r="H250" s="242">
        <v>1</v>
      </c>
      <c r="I250" s="242">
        <v>72.5</v>
      </c>
      <c r="J250" s="248">
        <f>H250*I250</f>
        <v>72.5</v>
      </c>
      <c r="K250" s="252">
        <v>6.95</v>
      </c>
      <c r="L250" s="244"/>
      <c r="M250" s="244">
        <f>SUM(J250:L250)</f>
        <v>79.45</v>
      </c>
      <c r="N250" s="244">
        <v>2520.32</v>
      </c>
      <c r="O250" s="137"/>
    </row>
    <row r="251" spans="1:15" ht="12.75">
      <c r="A251" s="137"/>
      <c r="B251" s="137"/>
      <c r="C251" s="245"/>
      <c r="D251" s="245"/>
      <c r="E251" s="137"/>
      <c r="F251" s="137"/>
      <c r="G251" s="137"/>
      <c r="H251" s="137"/>
      <c r="I251" s="137"/>
      <c r="J251" s="247">
        <f>SUM(J250:J250)</f>
        <v>72.5</v>
      </c>
      <c r="K251" s="247">
        <f>SUM(K250:K250)</f>
        <v>6.95</v>
      </c>
      <c r="L251" s="247">
        <f>SUM(L250:L250)</f>
        <v>0</v>
      </c>
      <c r="M251" s="247">
        <f>SUM(M250:M250)</f>
        <v>79.45</v>
      </c>
      <c r="N251" s="247">
        <f>SUM(N250:N250)</f>
        <v>2520.32</v>
      </c>
      <c r="O251" s="137"/>
    </row>
    <row r="252" spans="1:15" ht="12.75">
      <c r="A252" s="137"/>
      <c r="B252" s="137"/>
      <c r="C252" s="245"/>
      <c r="D252" s="245"/>
      <c r="E252" s="137"/>
      <c r="F252" s="137"/>
      <c r="G252" s="137"/>
      <c r="H252" s="137"/>
      <c r="I252" s="137"/>
      <c r="J252" s="260"/>
      <c r="K252" s="260"/>
      <c r="L252" s="247"/>
      <c r="M252" s="230" t="s">
        <v>191</v>
      </c>
      <c r="N252" s="231">
        <f>2320+52</f>
        <v>2372</v>
      </c>
      <c r="O252" s="137"/>
    </row>
    <row r="253" spans="1:15" ht="12.75">
      <c r="A253" s="137"/>
      <c r="B253" s="137"/>
      <c r="C253" s="245"/>
      <c r="D253" s="245"/>
      <c r="E253" s="137"/>
      <c r="F253" s="137"/>
      <c r="G253" s="137"/>
      <c r="H253" s="137"/>
      <c r="I253" s="137"/>
      <c r="J253" s="137"/>
      <c r="K253" s="137"/>
      <c r="L253" s="137"/>
      <c r="M253" s="230" t="s">
        <v>192</v>
      </c>
      <c r="N253" s="231">
        <f>N252-N251</f>
        <v>-148.32000000000016</v>
      </c>
      <c r="O253" s="137"/>
    </row>
    <row r="254" spans="1:15" ht="12.75">
      <c r="A254" s="232" t="s">
        <v>151</v>
      </c>
      <c r="B254" s="233" t="s">
        <v>166</v>
      </c>
      <c r="C254" s="233" t="s">
        <v>167</v>
      </c>
      <c r="D254" s="233" t="s">
        <v>168</v>
      </c>
      <c r="E254" s="233" t="s">
        <v>429</v>
      </c>
      <c r="F254" s="233" t="s">
        <v>170</v>
      </c>
      <c r="G254" s="234" t="s">
        <v>171</v>
      </c>
      <c r="H254" s="235" t="s">
        <v>172</v>
      </c>
      <c r="I254" s="235" t="s">
        <v>173</v>
      </c>
      <c r="J254" s="235" t="s">
        <v>174</v>
      </c>
      <c r="K254" s="236" t="s">
        <v>175</v>
      </c>
      <c r="L254" s="236" t="s">
        <v>176</v>
      </c>
      <c r="M254" s="236" t="s">
        <v>177</v>
      </c>
      <c r="N254" s="261" t="s">
        <v>4</v>
      </c>
      <c r="O254" s="137"/>
    </row>
    <row r="255" spans="1:15" ht="12.75">
      <c r="A255" s="237" t="s">
        <v>152</v>
      </c>
      <c r="B255" s="238">
        <v>1</v>
      </c>
      <c r="C255" s="249" t="s">
        <v>490</v>
      </c>
      <c r="D255" s="239" t="s">
        <v>491</v>
      </c>
      <c r="E255" s="259" t="s">
        <v>492</v>
      </c>
      <c r="F255" s="240" t="s">
        <v>493</v>
      </c>
      <c r="G255" s="241">
        <v>12</v>
      </c>
      <c r="H255" s="242">
        <v>1</v>
      </c>
      <c r="I255" s="242">
        <v>42</v>
      </c>
      <c r="J255" s="248">
        <f>H255*I255</f>
        <v>42</v>
      </c>
      <c r="K255" s="252">
        <f>6.95/5</f>
        <v>1.3900000000000001</v>
      </c>
      <c r="L255" s="244"/>
      <c r="M255" s="244">
        <f>SUM(J255:L255)</f>
        <v>43.39</v>
      </c>
      <c r="N255" s="244"/>
      <c r="O255" s="137"/>
    </row>
    <row r="256" spans="1:15" ht="12.75">
      <c r="A256" s="237"/>
      <c r="B256" s="238">
        <v>2</v>
      </c>
      <c r="C256" s="249" t="s">
        <v>494</v>
      </c>
      <c r="D256" s="239" t="s">
        <v>495</v>
      </c>
      <c r="E256" s="259" t="s">
        <v>496</v>
      </c>
      <c r="F256" s="240" t="s">
        <v>497</v>
      </c>
      <c r="G256" s="241">
        <v>12</v>
      </c>
      <c r="H256" s="242">
        <v>1</v>
      </c>
      <c r="I256" s="242">
        <v>40</v>
      </c>
      <c r="J256" s="248">
        <f>H256*I256</f>
        <v>40</v>
      </c>
      <c r="K256" s="252">
        <f>6.95/5</f>
        <v>1.3900000000000001</v>
      </c>
      <c r="L256" s="244"/>
      <c r="M256" s="244">
        <f>SUM(J256:L256)</f>
        <v>41.39</v>
      </c>
      <c r="N256" s="244"/>
      <c r="O256" s="137"/>
    </row>
    <row r="257" spans="1:15" ht="12.75">
      <c r="A257" s="237"/>
      <c r="B257" s="238">
        <v>3</v>
      </c>
      <c r="C257" s="249" t="s">
        <v>498</v>
      </c>
      <c r="D257" s="239" t="s">
        <v>499</v>
      </c>
      <c r="E257" s="217" t="s">
        <v>500</v>
      </c>
      <c r="F257" s="240" t="s">
        <v>501</v>
      </c>
      <c r="G257" s="241">
        <v>12</v>
      </c>
      <c r="H257" s="242">
        <v>1</v>
      </c>
      <c r="I257" s="242">
        <v>40</v>
      </c>
      <c r="J257" s="248">
        <f>H257*I257</f>
        <v>40</v>
      </c>
      <c r="K257" s="252">
        <f>6.95/5</f>
        <v>1.3900000000000001</v>
      </c>
      <c r="L257" s="244"/>
      <c r="M257" s="244">
        <f>SUM(J257:L257)</f>
        <v>41.39</v>
      </c>
      <c r="N257" s="244"/>
      <c r="O257" s="137"/>
    </row>
    <row r="258" spans="1:15" ht="12.75">
      <c r="A258" s="137"/>
      <c r="B258" s="137"/>
      <c r="C258" s="245"/>
      <c r="D258" s="245"/>
      <c r="E258" s="137"/>
      <c r="F258" s="137"/>
      <c r="G258" s="137"/>
      <c r="H258" s="137"/>
      <c r="I258" s="137"/>
      <c r="J258" s="247">
        <f>SUM(J255:J257)</f>
        <v>122</v>
      </c>
      <c r="K258" s="247">
        <f>SUM(K255:K257)</f>
        <v>4.17</v>
      </c>
      <c r="L258" s="247">
        <f>SUM(L255:L257)</f>
        <v>0</v>
      </c>
      <c r="M258" s="247">
        <f>SUM(M255:M257)</f>
        <v>126.17</v>
      </c>
      <c r="N258" s="247">
        <v>3976.63</v>
      </c>
      <c r="O258" s="137"/>
    </row>
    <row r="259" spans="1:15" ht="12.75">
      <c r="A259" s="137"/>
      <c r="B259" s="137"/>
      <c r="C259" s="245"/>
      <c r="D259" s="245"/>
      <c r="E259" s="137"/>
      <c r="F259" s="137"/>
      <c r="G259" s="137"/>
      <c r="H259" s="137"/>
      <c r="I259" s="137"/>
      <c r="J259" s="260"/>
      <c r="K259" s="260"/>
      <c r="L259" s="247"/>
      <c r="M259" s="230" t="s">
        <v>191</v>
      </c>
      <c r="N259" s="231">
        <f>4200+1500</f>
        <v>5700</v>
      </c>
      <c r="O259" s="137"/>
    </row>
    <row r="260" spans="1:15" ht="12.75">
      <c r="A260" s="137"/>
      <c r="B260" s="137"/>
      <c r="C260" s="245"/>
      <c r="D260" s="245"/>
      <c r="E260" s="137"/>
      <c r="F260" s="137"/>
      <c r="G260" s="137"/>
      <c r="H260" s="137"/>
      <c r="I260" s="137"/>
      <c r="J260" s="137"/>
      <c r="K260" s="137"/>
      <c r="L260" s="137"/>
      <c r="M260" s="230" t="s">
        <v>192</v>
      </c>
      <c r="N260" s="231">
        <f>N259-N258</f>
        <v>1723.37</v>
      </c>
      <c r="O260" s="137"/>
    </row>
    <row r="261" spans="1:15" ht="12.75">
      <c r="A261" s="232" t="s">
        <v>502</v>
      </c>
      <c r="B261" s="233" t="s">
        <v>166</v>
      </c>
      <c r="C261" s="233" t="s">
        <v>167</v>
      </c>
      <c r="D261" s="233" t="s">
        <v>168</v>
      </c>
      <c r="E261" s="233" t="s">
        <v>429</v>
      </c>
      <c r="F261" s="233" t="s">
        <v>170</v>
      </c>
      <c r="G261" s="234" t="s">
        <v>171</v>
      </c>
      <c r="H261" s="235" t="s">
        <v>172</v>
      </c>
      <c r="I261" s="235" t="s">
        <v>173</v>
      </c>
      <c r="J261" s="235" t="s">
        <v>174</v>
      </c>
      <c r="K261" s="236" t="s">
        <v>175</v>
      </c>
      <c r="L261" s="236" t="s">
        <v>176</v>
      </c>
      <c r="M261" s="236" t="s">
        <v>177</v>
      </c>
      <c r="N261" s="261" t="s">
        <v>4</v>
      </c>
      <c r="O261" s="137"/>
    </row>
    <row r="262" spans="1:15" ht="12.75">
      <c r="A262" s="237" t="s">
        <v>128</v>
      </c>
      <c r="B262" s="238">
        <v>1</v>
      </c>
      <c r="C262" s="249" t="s">
        <v>503</v>
      </c>
      <c r="D262" s="239"/>
      <c r="E262" s="259" t="s">
        <v>504</v>
      </c>
      <c r="F262" s="240" t="s">
        <v>505</v>
      </c>
      <c r="G262" s="241" t="s">
        <v>506</v>
      </c>
      <c r="H262" s="242">
        <v>1</v>
      </c>
      <c r="I262" s="242">
        <v>129.95</v>
      </c>
      <c r="J262" s="248">
        <f>H262*I262</f>
        <v>129.95</v>
      </c>
      <c r="K262" s="252">
        <v>0</v>
      </c>
      <c r="L262" s="244">
        <v>0</v>
      </c>
      <c r="M262" s="244">
        <f>SUM(J262:L262)</f>
        <v>129.95</v>
      </c>
      <c r="N262" s="244">
        <v>4115.65</v>
      </c>
      <c r="O262" s="137"/>
    </row>
    <row r="263" spans="1:15" ht="12.75">
      <c r="A263" s="237" t="s">
        <v>507</v>
      </c>
      <c r="B263" s="238">
        <v>2</v>
      </c>
      <c r="C263" s="249"/>
      <c r="D263" s="239"/>
      <c r="E263" s="259"/>
      <c r="F263" s="240" t="s">
        <v>508</v>
      </c>
      <c r="G263" s="241" t="s">
        <v>509</v>
      </c>
      <c r="H263" s="242">
        <v>1</v>
      </c>
      <c r="I263" s="242">
        <v>54.9</v>
      </c>
      <c r="J263" s="248">
        <f>H263*I263</f>
        <v>54.9</v>
      </c>
      <c r="K263" s="252">
        <v>6</v>
      </c>
      <c r="L263" s="244">
        <v>5.35</v>
      </c>
      <c r="M263" s="244">
        <f>SUM(J263:L263)</f>
        <v>66.25</v>
      </c>
      <c r="N263" s="244">
        <v>2133.91</v>
      </c>
      <c r="O263" s="137"/>
    </row>
    <row r="264" spans="1:15" ht="12.75">
      <c r="A264" s="137"/>
      <c r="B264" s="137"/>
      <c r="C264" s="245"/>
      <c r="D264" s="245"/>
      <c r="E264" s="137"/>
      <c r="F264" s="137"/>
      <c r="G264" s="137"/>
      <c r="H264" s="137"/>
      <c r="I264" s="137"/>
      <c r="J264" s="247">
        <f>SUM(J262:J263)</f>
        <v>184.85</v>
      </c>
      <c r="K264" s="247">
        <f>SUM(K262:K263)</f>
        <v>6</v>
      </c>
      <c r="L264" s="247">
        <f>SUM(L262:L263)</f>
        <v>5.35</v>
      </c>
      <c r="M264" s="247">
        <f>SUM(M262:M263)</f>
        <v>196.2</v>
      </c>
      <c r="N264" s="247">
        <f>SUM(N262:N263)</f>
        <v>6249.5599999999995</v>
      </c>
      <c r="O264" s="137"/>
    </row>
    <row r="265" spans="1:15" ht="12.75">
      <c r="A265" s="137"/>
      <c r="B265" s="137"/>
      <c r="C265" s="245"/>
      <c r="D265" s="245"/>
      <c r="E265" s="137"/>
      <c r="F265" s="137"/>
      <c r="G265" s="137"/>
      <c r="H265" s="137"/>
      <c r="I265" s="137"/>
      <c r="J265" s="260"/>
      <c r="K265" s="260"/>
      <c r="L265" s="247"/>
      <c r="M265" s="230" t="s">
        <v>191</v>
      </c>
      <c r="N265" s="231">
        <f>8500+539</f>
        <v>9039</v>
      </c>
      <c r="O265" s="137" t="s">
        <v>72</v>
      </c>
    </row>
    <row r="266" spans="1:15" ht="12.75">
      <c r="A266" s="137"/>
      <c r="B266" s="137"/>
      <c r="C266" s="245"/>
      <c r="D266" s="245"/>
      <c r="E266" s="137"/>
      <c r="F266" s="137"/>
      <c r="G266" s="137"/>
      <c r="H266" s="137"/>
      <c r="I266" s="137"/>
      <c r="J266" s="137"/>
      <c r="K266" s="137"/>
      <c r="L266" s="137"/>
      <c r="M266" s="230" t="s">
        <v>192</v>
      </c>
      <c r="N266" s="231">
        <f>N265-N264</f>
        <v>2789.4400000000005</v>
      </c>
      <c r="O266" s="137"/>
    </row>
    <row r="267" spans="1:14" ht="12.75">
      <c r="A267" s="191" t="s">
        <v>510</v>
      </c>
      <c r="B267" s="192" t="s">
        <v>511</v>
      </c>
      <c r="C267" s="192" t="s">
        <v>167</v>
      </c>
      <c r="D267" s="192" t="s">
        <v>168</v>
      </c>
      <c r="E267" s="192" t="s">
        <v>429</v>
      </c>
      <c r="F267" s="192" t="s">
        <v>170</v>
      </c>
      <c r="G267" s="193" t="s">
        <v>171</v>
      </c>
      <c r="H267" s="194" t="s">
        <v>172</v>
      </c>
      <c r="I267" s="194" t="s">
        <v>173</v>
      </c>
      <c r="J267" s="194" t="s">
        <v>174</v>
      </c>
      <c r="K267" s="195" t="s">
        <v>175</v>
      </c>
      <c r="L267" s="195" t="s">
        <v>176</v>
      </c>
      <c r="M267" s="195" t="s">
        <v>177</v>
      </c>
      <c r="N267" s="196" t="s">
        <v>4</v>
      </c>
    </row>
    <row r="268" spans="1:18" ht="12.75">
      <c r="A268" s="197" t="s">
        <v>443</v>
      </c>
      <c r="B268" s="198">
        <v>1</v>
      </c>
      <c r="C268" s="249" t="s">
        <v>512</v>
      </c>
      <c r="D268" s="200"/>
      <c r="E268" s="255"/>
      <c r="F268" s="201"/>
      <c r="G268" s="203"/>
      <c r="H268" s="204">
        <v>1</v>
      </c>
      <c r="I268" s="204">
        <v>42.49</v>
      </c>
      <c r="J268" s="250">
        <f>H268*I268</f>
        <v>42.49</v>
      </c>
      <c r="K268" s="256">
        <v>6.95</v>
      </c>
      <c r="L268" s="205">
        <v>0</v>
      </c>
      <c r="M268" s="205">
        <f>SUM(J268:L268)</f>
        <v>49.440000000000005</v>
      </c>
      <c r="N268" s="205">
        <v>1590.27</v>
      </c>
      <c r="Q268" s="113"/>
      <c r="R268" s="113"/>
    </row>
    <row r="269" spans="1:18" ht="12.75">
      <c r="A269" s="208"/>
      <c r="B269" s="208"/>
      <c r="C269" s="209"/>
      <c r="D269" s="209"/>
      <c r="E269" s="208"/>
      <c r="F269" s="208"/>
      <c r="G269" s="208"/>
      <c r="H269" s="208"/>
      <c r="I269" s="208"/>
      <c r="J269" s="211">
        <f>SUM(J268:J268)</f>
        <v>42.49</v>
      </c>
      <c r="K269" s="211">
        <f>SUM(K268:K268)</f>
        <v>6.95</v>
      </c>
      <c r="L269" s="211">
        <f>SUM(L268:L268)</f>
        <v>0</v>
      </c>
      <c r="M269" s="211">
        <f>SUM(M268:M268)</f>
        <v>49.440000000000005</v>
      </c>
      <c r="N269" s="211">
        <f>SUM(N268:N268)</f>
        <v>1590.27</v>
      </c>
      <c r="Q269" s="113"/>
      <c r="R269" s="113"/>
    </row>
    <row r="270" spans="1:14" ht="12.75">
      <c r="A270" s="208"/>
      <c r="B270" s="208"/>
      <c r="C270" s="209"/>
      <c r="D270" s="209"/>
      <c r="E270" s="208"/>
      <c r="F270" s="208"/>
      <c r="G270" s="208"/>
      <c r="H270" s="208"/>
      <c r="I270" s="208"/>
      <c r="J270" s="212"/>
      <c r="K270" s="212"/>
      <c r="L270" s="211"/>
      <c r="M270" s="213" t="s">
        <v>191</v>
      </c>
      <c r="N270" s="214">
        <v>2000</v>
      </c>
    </row>
    <row r="271" spans="1:14" ht="12.75">
      <c r="A271" s="208"/>
      <c r="B271" s="208"/>
      <c r="C271" s="209"/>
      <c r="D271" s="209"/>
      <c r="E271" s="208"/>
      <c r="F271" s="208"/>
      <c r="G271" s="208"/>
      <c r="H271" s="208"/>
      <c r="I271" s="208"/>
      <c r="J271" s="208"/>
      <c r="K271" s="208"/>
      <c r="L271" s="208"/>
      <c r="M271" s="213" t="s">
        <v>192</v>
      </c>
      <c r="N271" s="214">
        <f>N270-N269</f>
        <v>409.73</v>
      </c>
    </row>
    <row r="272" spans="1:14" ht="12.75">
      <c r="A272" s="215" t="s">
        <v>358</v>
      </c>
      <c r="B272" s="192" t="s">
        <v>166</v>
      </c>
      <c r="C272" s="192" t="s">
        <v>167</v>
      </c>
      <c r="D272" s="192" t="s">
        <v>168</v>
      </c>
      <c r="E272" s="192" t="s">
        <v>429</v>
      </c>
      <c r="F272" s="192" t="s">
        <v>170</v>
      </c>
      <c r="G272" s="193" t="s">
        <v>171</v>
      </c>
      <c r="H272" s="194" t="s">
        <v>172</v>
      </c>
      <c r="I272" s="194" t="s">
        <v>173</v>
      </c>
      <c r="J272" s="194" t="s">
        <v>174</v>
      </c>
      <c r="K272" s="195" t="s">
        <v>175</v>
      </c>
      <c r="L272" s="195" t="s">
        <v>176</v>
      </c>
      <c r="M272" s="195" t="s">
        <v>177</v>
      </c>
      <c r="N272" s="196" t="s">
        <v>4</v>
      </c>
    </row>
    <row r="273" spans="1:14" ht="12.75">
      <c r="A273" s="197" t="s">
        <v>96</v>
      </c>
      <c r="B273" s="198">
        <v>1</v>
      </c>
      <c r="C273" s="249" t="s">
        <v>513</v>
      </c>
      <c r="D273" s="200" t="s">
        <v>514</v>
      </c>
      <c r="E273" s="255" t="s">
        <v>515</v>
      </c>
      <c r="F273" s="201" t="s">
        <v>516</v>
      </c>
      <c r="G273" s="203" t="s">
        <v>231</v>
      </c>
      <c r="H273" s="204">
        <v>1</v>
      </c>
      <c r="I273" s="204">
        <v>112.13</v>
      </c>
      <c r="J273" s="250">
        <f>H273*I273</f>
        <v>112.13</v>
      </c>
      <c r="K273" s="256">
        <v>0</v>
      </c>
      <c r="L273" s="205">
        <f>J273*0.0975</f>
        <v>10.932675</v>
      </c>
      <c r="M273" s="205">
        <f>SUM(J273:L273)</f>
        <v>123.062675</v>
      </c>
      <c r="N273" s="205">
        <v>3998.32</v>
      </c>
    </row>
    <row r="274" spans="1:14" ht="12.75">
      <c r="A274" s="208"/>
      <c r="B274" s="208"/>
      <c r="C274" s="209"/>
      <c r="D274" s="209"/>
      <c r="E274" s="208"/>
      <c r="F274" s="208"/>
      <c r="G274" s="210"/>
      <c r="H274" s="208"/>
      <c r="I274" s="208"/>
      <c r="J274" s="211">
        <f>SUM(J273:J273)</f>
        <v>112.13</v>
      </c>
      <c r="K274" s="211">
        <f>SUM(K273:K273)</f>
        <v>0</v>
      </c>
      <c r="L274" s="211">
        <f>SUM(L273:L273)</f>
        <v>10.932675</v>
      </c>
      <c r="M274" s="211">
        <f>SUM(M273:M273)</f>
        <v>123.062675</v>
      </c>
      <c r="N274" s="211">
        <f>SUM(N273:N273)</f>
        <v>3998.32</v>
      </c>
    </row>
    <row r="275" spans="1:14" ht="12.75">
      <c r="A275" s="208"/>
      <c r="B275" s="208"/>
      <c r="C275" s="209"/>
      <c r="D275" s="209"/>
      <c r="E275" s="208"/>
      <c r="F275" s="208"/>
      <c r="G275" s="210"/>
      <c r="H275" s="208"/>
      <c r="I275" s="208"/>
      <c r="J275" s="212"/>
      <c r="K275" s="212"/>
      <c r="L275" s="211"/>
      <c r="M275" s="213" t="s">
        <v>191</v>
      </c>
      <c r="N275" s="214">
        <f>1653+1500+1100</f>
        <v>4253</v>
      </c>
    </row>
    <row r="276" spans="1:14" ht="12.75">
      <c r="A276" s="208"/>
      <c r="B276" s="208"/>
      <c r="C276" s="209"/>
      <c r="D276" s="209"/>
      <c r="E276" s="208"/>
      <c r="F276" s="208"/>
      <c r="G276" s="210"/>
      <c r="H276" s="208"/>
      <c r="I276" s="208"/>
      <c r="J276" s="208"/>
      <c r="K276" s="208"/>
      <c r="L276" s="208"/>
      <c r="M276" s="213" t="s">
        <v>192</v>
      </c>
      <c r="N276" s="214">
        <f>N275-N274</f>
        <v>254.67999999999984</v>
      </c>
    </row>
    <row r="277" spans="1:14" ht="12.75">
      <c r="A277" s="215" t="s">
        <v>20</v>
      </c>
      <c r="B277" s="192" t="s">
        <v>166</v>
      </c>
      <c r="C277" s="192" t="s">
        <v>167</v>
      </c>
      <c r="D277" s="192" t="s">
        <v>168</v>
      </c>
      <c r="E277" s="192" t="s">
        <v>429</v>
      </c>
      <c r="F277" s="192" t="s">
        <v>170</v>
      </c>
      <c r="G277" s="193" t="s">
        <v>171</v>
      </c>
      <c r="H277" s="194" t="s">
        <v>172</v>
      </c>
      <c r="I277" s="194" t="s">
        <v>173</v>
      </c>
      <c r="J277" s="194" t="s">
        <v>174</v>
      </c>
      <c r="K277" s="195" t="s">
        <v>175</v>
      </c>
      <c r="L277" s="195" t="s">
        <v>176</v>
      </c>
      <c r="M277" s="195" t="s">
        <v>177</v>
      </c>
      <c r="N277" s="196" t="s">
        <v>4</v>
      </c>
    </row>
    <row r="278" spans="1:14" ht="12.75">
      <c r="A278" s="197" t="s">
        <v>517</v>
      </c>
      <c r="B278" s="198">
        <v>1</v>
      </c>
      <c r="C278" s="249" t="s">
        <v>518</v>
      </c>
      <c r="D278" s="200">
        <v>140069923</v>
      </c>
      <c r="E278" s="255" t="s">
        <v>519</v>
      </c>
      <c r="F278" s="201" t="s">
        <v>520</v>
      </c>
      <c r="G278" s="203" t="s">
        <v>521</v>
      </c>
      <c r="H278" s="204">
        <v>1</v>
      </c>
      <c r="I278" s="204">
        <v>18.99</v>
      </c>
      <c r="J278" s="250">
        <f>H278*I278</f>
        <v>18.99</v>
      </c>
      <c r="K278" s="256"/>
      <c r="L278" s="205"/>
      <c r="M278" s="205">
        <f>SUM(J278:L278)</f>
        <v>18.99</v>
      </c>
      <c r="N278" s="205"/>
    </row>
    <row r="279" spans="1:14" ht="12.75">
      <c r="A279" s="197"/>
      <c r="B279" s="198">
        <v>2</v>
      </c>
      <c r="C279" s="249" t="s">
        <v>522</v>
      </c>
      <c r="D279" s="200">
        <v>140069871</v>
      </c>
      <c r="E279" s="255" t="s">
        <v>523</v>
      </c>
      <c r="F279" s="201" t="s">
        <v>524</v>
      </c>
      <c r="G279" s="203" t="s">
        <v>525</v>
      </c>
      <c r="H279" s="204">
        <v>1</v>
      </c>
      <c r="I279" s="204">
        <v>15.99</v>
      </c>
      <c r="J279" s="250">
        <f>H279*I279</f>
        <v>15.99</v>
      </c>
      <c r="K279" s="256"/>
      <c r="L279" s="205"/>
      <c r="M279" s="205">
        <f>SUM(J279:L279)</f>
        <v>15.99</v>
      </c>
      <c r="N279" s="205"/>
    </row>
    <row r="280" spans="1:14" ht="12.75">
      <c r="A280" s="197"/>
      <c r="B280" s="198">
        <v>3</v>
      </c>
      <c r="C280" s="249" t="s">
        <v>526</v>
      </c>
      <c r="D280" s="200">
        <v>140069930</v>
      </c>
      <c r="E280" s="255" t="s">
        <v>527</v>
      </c>
      <c r="F280" s="201" t="s">
        <v>528</v>
      </c>
      <c r="G280" s="203" t="s">
        <v>521</v>
      </c>
      <c r="H280" s="204">
        <v>1</v>
      </c>
      <c r="I280" s="204">
        <v>24.99</v>
      </c>
      <c r="J280" s="250">
        <f>H280*I280</f>
        <v>24.99</v>
      </c>
      <c r="K280" s="256"/>
      <c r="L280" s="205"/>
      <c r="M280" s="205">
        <f>SUM(J280:L280)</f>
        <v>24.99</v>
      </c>
      <c r="N280" s="205"/>
    </row>
    <row r="281" spans="1:14" ht="12.75">
      <c r="A281" s="197"/>
      <c r="B281" s="198">
        <v>4</v>
      </c>
      <c r="C281" s="249" t="s">
        <v>529</v>
      </c>
      <c r="D281" s="200">
        <v>140072016</v>
      </c>
      <c r="E281" s="255" t="s">
        <v>530</v>
      </c>
      <c r="F281" s="201" t="s">
        <v>524</v>
      </c>
      <c r="G281" s="203" t="s">
        <v>521</v>
      </c>
      <c r="H281" s="204">
        <v>1</v>
      </c>
      <c r="I281" s="204">
        <v>7.99</v>
      </c>
      <c r="J281" s="250">
        <f>H281*I281</f>
        <v>7.99</v>
      </c>
      <c r="K281" s="256"/>
      <c r="L281" s="205"/>
      <c r="M281" s="205">
        <f>SUM(J281:L281)</f>
        <v>7.99</v>
      </c>
      <c r="N281" s="205"/>
    </row>
    <row r="282" spans="1:14" ht="12.75">
      <c r="A282" s="197"/>
      <c r="B282" s="198">
        <v>5</v>
      </c>
      <c r="C282" s="249" t="s">
        <v>531</v>
      </c>
      <c r="D282" s="200">
        <v>140070923</v>
      </c>
      <c r="E282" s="255" t="s">
        <v>532</v>
      </c>
      <c r="F282" s="201" t="s">
        <v>533</v>
      </c>
      <c r="G282" s="203" t="s">
        <v>521</v>
      </c>
      <c r="H282" s="204">
        <v>1</v>
      </c>
      <c r="I282" s="204">
        <v>7.99</v>
      </c>
      <c r="J282" s="250">
        <f>H282*I282</f>
        <v>7.99</v>
      </c>
      <c r="K282" s="256">
        <v>5</v>
      </c>
      <c r="L282" s="205">
        <v>7.6</v>
      </c>
      <c r="M282" s="205">
        <f>SUM(J282:L282)</f>
        <v>20.59</v>
      </c>
      <c r="N282" s="205"/>
    </row>
    <row r="283" spans="1:14" ht="12.75">
      <c r="A283" s="208"/>
      <c r="B283" s="208"/>
      <c r="C283" s="209"/>
      <c r="D283" s="209"/>
      <c r="E283" s="208"/>
      <c r="F283" s="208"/>
      <c r="G283" s="264"/>
      <c r="H283" s="208"/>
      <c r="I283" s="208"/>
      <c r="J283" s="211">
        <f>SUM(J278:J282)</f>
        <v>75.95</v>
      </c>
      <c r="K283" s="211">
        <f>SUM(K278:K282)</f>
        <v>5</v>
      </c>
      <c r="L283" s="211">
        <f>SUM(L278:L282)</f>
        <v>7.6</v>
      </c>
      <c r="M283" s="211">
        <f>SUM(M278:M282)</f>
        <v>88.55</v>
      </c>
      <c r="N283" s="211">
        <v>2804.47</v>
      </c>
    </row>
    <row r="284" spans="1:14" ht="12.75">
      <c r="A284" s="208"/>
      <c r="B284" s="208"/>
      <c r="C284" s="209"/>
      <c r="D284" s="209"/>
      <c r="E284" s="208"/>
      <c r="F284" s="208"/>
      <c r="G284" s="264"/>
      <c r="H284" s="208"/>
      <c r="I284" s="208"/>
      <c r="J284" s="212"/>
      <c r="K284" s="212"/>
      <c r="L284" s="211"/>
      <c r="M284" s="213" t="s">
        <v>191</v>
      </c>
      <c r="N284" s="214">
        <f>83+3000</f>
        <v>3083</v>
      </c>
    </row>
    <row r="285" spans="1:14" ht="12.75">
      <c r="A285" s="208"/>
      <c r="B285" s="208"/>
      <c r="C285" s="209"/>
      <c r="D285" s="209"/>
      <c r="E285" s="208"/>
      <c r="F285" s="208"/>
      <c r="G285" s="264"/>
      <c r="H285" s="208"/>
      <c r="I285" s="208"/>
      <c r="J285" s="208"/>
      <c r="K285" s="208"/>
      <c r="L285" s="208"/>
      <c r="M285" s="213" t="s">
        <v>192</v>
      </c>
      <c r="N285" s="214">
        <f>N284-N283</f>
        <v>278.5300000000002</v>
      </c>
    </row>
    <row r="286" spans="1:14" ht="12.75">
      <c r="A286" s="215" t="s">
        <v>534</v>
      </c>
      <c r="B286" s="192" t="s">
        <v>166</v>
      </c>
      <c r="C286" s="192" t="s">
        <v>535</v>
      </c>
      <c r="D286" s="192" t="s">
        <v>168</v>
      </c>
      <c r="E286" s="192" t="s">
        <v>429</v>
      </c>
      <c r="F286" s="192" t="s">
        <v>170</v>
      </c>
      <c r="G286" s="193" t="s">
        <v>171</v>
      </c>
      <c r="H286" s="194" t="s">
        <v>172</v>
      </c>
      <c r="I286" s="194" t="s">
        <v>173</v>
      </c>
      <c r="J286" s="194" t="s">
        <v>174</v>
      </c>
      <c r="K286" s="195" t="s">
        <v>175</v>
      </c>
      <c r="L286" s="195" t="s">
        <v>176</v>
      </c>
      <c r="M286" s="195" t="s">
        <v>177</v>
      </c>
      <c r="N286" s="196" t="s">
        <v>4</v>
      </c>
    </row>
    <row r="287" spans="1:14" ht="12.75">
      <c r="A287" s="197" t="s">
        <v>128</v>
      </c>
      <c r="B287" s="198">
        <v>1</v>
      </c>
      <c r="C287" s="249" t="s">
        <v>536</v>
      </c>
      <c r="D287" s="200"/>
      <c r="E287" s="255" t="s">
        <v>537</v>
      </c>
      <c r="F287" s="201"/>
      <c r="G287" s="203"/>
      <c r="H287" s="204">
        <v>1</v>
      </c>
      <c r="I287" s="204">
        <v>7.81</v>
      </c>
      <c r="J287" s="250">
        <f>H287*I287</f>
        <v>7.81</v>
      </c>
      <c r="K287" s="256">
        <v>3.95</v>
      </c>
      <c r="L287" s="205">
        <v>0</v>
      </c>
      <c r="M287" s="205">
        <f>SUM(J287:L287)</f>
        <v>11.76</v>
      </c>
      <c r="N287" s="205">
        <v>370.65</v>
      </c>
    </row>
    <row r="288" spans="1:14" ht="12.75">
      <c r="A288" s="197"/>
      <c r="B288" s="198">
        <v>2</v>
      </c>
      <c r="C288" s="249" t="s">
        <v>538</v>
      </c>
      <c r="D288" s="200"/>
      <c r="E288" s="255" t="s">
        <v>539</v>
      </c>
      <c r="F288" s="201"/>
      <c r="G288" s="203"/>
      <c r="H288" s="204">
        <v>1</v>
      </c>
      <c r="I288" s="204">
        <v>10.04</v>
      </c>
      <c r="J288" s="250">
        <f>H288*I288</f>
        <v>10.04</v>
      </c>
      <c r="K288" s="256">
        <v>0</v>
      </c>
      <c r="L288" s="205">
        <v>0</v>
      </c>
      <c r="M288" s="205">
        <f>SUM(J288:L288)</f>
        <v>10.04</v>
      </c>
      <c r="N288" s="205">
        <v>316.44</v>
      </c>
    </row>
    <row r="289" spans="1:14" ht="12.75">
      <c r="A289" s="208"/>
      <c r="B289" s="208"/>
      <c r="C289" s="209"/>
      <c r="D289" s="209"/>
      <c r="E289" s="208"/>
      <c r="F289" s="208"/>
      <c r="G289" s="264"/>
      <c r="H289" s="208"/>
      <c r="I289" s="208"/>
      <c r="J289" s="211">
        <f>SUM(J287:J288)</f>
        <v>17.849999999999998</v>
      </c>
      <c r="K289" s="211">
        <f>SUM(K287:K288)</f>
        <v>3.95</v>
      </c>
      <c r="L289" s="211">
        <f>SUM(L287:L288)</f>
        <v>0</v>
      </c>
      <c r="M289" s="211">
        <f>SUM(M287:M288)</f>
        <v>21.799999999999997</v>
      </c>
      <c r="N289" s="211">
        <f>SUM(N287:N288)</f>
        <v>687.0899999999999</v>
      </c>
    </row>
    <row r="290" spans="1:14" ht="12.75">
      <c r="A290" s="208"/>
      <c r="B290" s="208"/>
      <c r="C290" s="209"/>
      <c r="D290" s="209"/>
      <c r="E290" s="208"/>
      <c r="F290" s="208"/>
      <c r="G290" s="264"/>
      <c r="H290" s="208"/>
      <c r="I290" s="208"/>
      <c r="J290" s="212"/>
      <c r="K290" s="212"/>
      <c r="L290" s="211"/>
      <c r="M290" s="213" t="s">
        <v>191</v>
      </c>
      <c r="N290" s="214">
        <v>780</v>
      </c>
    </row>
    <row r="291" spans="1:14" ht="12.75">
      <c r="A291" s="208"/>
      <c r="B291" s="208"/>
      <c r="C291" s="209"/>
      <c r="D291" s="209"/>
      <c r="E291" s="208"/>
      <c r="F291" s="208"/>
      <c r="G291" s="264"/>
      <c r="H291" s="208"/>
      <c r="I291" s="208"/>
      <c r="J291" s="208"/>
      <c r="K291" s="208"/>
      <c r="L291" s="208"/>
      <c r="M291" s="213" t="s">
        <v>192</v>
      </c>
      <c r="N291" s="214">
        <f>N290-N289</f>
        <v>92.91000000000008</v>
      </c>
    </row>
    <row r="292" spans="1:14" ht="12.75">
      <c r="A292" s="215" t="s">
        <v>277</v>
      </c>
      <c r="B292" s="192" t="s">
        <v>166</v>
      </c>
      <c r="C292" s="192" t="s">
        <v>167</v>
      </c>
      <c r="D292" s="192" t="s">
        <v>168</v>
      </c>
      <c r="E292" s="192" t="s">
        <v>429</v>
      </c>
      <c r="F292" s="192" t="s">
        <v>170</v>
      </c>
      <c r="G292" s="193" t="s">
        <v>171</v>
      </c>
      <c r="H292" s="194" t="s">
        <v>172</v>
      </c>
      <c r="I292" s="194" t="s">
        <v>173</v>
      </c>
      <c r="J292" s="194" t="s">
        <v>174</v>
      </c>
      <c r="K292" s="195" t="s">
        <v>175</v>
      </c>
      <c r="L292" s="195" t="s">
        <v>176</v>
      </c>
      <c r="M292" s="195" t="s">
        <v>177</v>
      </c>
      <c r="N292" s="196" t="s">
        <v>4</v>
      </c>
    </row>
    <row r="293" spans="1:18" ht="12.75">
      <c r="A293" s="197" t="s">
        <v>540</v>
      </c>
      <c r="B293" s="198">
        <v>1</v>
      </c>
      <c r="C293" s="249" t="s">
        <v>541</v>
      </c>
      <c r="D293" s="200"/>
      <c r="E293" s="255"/>
      <c r="F293" s="201"/>
      <c r="G293" s="203"/>
      <c r="H293" s="204">
        <v>1</v>
      </c>
      <c r="I293" s="204">
        <v>31</v>
      </c>
      <c r="J293" s="250">
        <f>H293*I293</f>
        <v>31</v>
      </c>
      <c r="K293" s="256">
        <v>6.55</v>
      </c>
      <c r="L293" s="205">
        <f>J293*0.0975</f>
        <v>3.0225</v>
      </c>
      <c r="M293" s="205">
        <f>SUM(J293:L293)</f>
        <v>40.5725</v>
      </c>
      <c r="N293" s="205">
        <v>1202.52</v>
      </c>
      <c r="Q293" s="113"/>
      <c r="R293" s="113"/>
    </row>
    <row r="294" spans="1:14" ht="12.75">
      <c r="A294" s="208"/>
      <c r="B294" s="208"/>
      <c r="C294" s="209"/>
      <c r="D294" s="209"/>
      <c r="E294" s="208"/>
      <c r="F294" s="208"/>
      <c r="G294" s="210"/>
      <c r="H294" s="208"/>
      <c r="I294" s="208"/>
      <c r="J294" s="211">
        <f>SUM(J293:J293)</f>
        <v>31</v>
      </c>
      <c r="K294" s="211">
        <f>SUM(K293:K293)</f>
        <v>6.55</v>
      </c>
      <c r="L294" s="211">
        <f>SUM(L293:L293)</f>
        <v>3.0225</v>
      </c>
      <c r="M294" s="211">
        <f>SUM(M293:M293)</f>
        <v>40.5725</v>
      </c>
      <c r="N294" s="211">
        <f>SUM(N293:N293)</f>
        <v>1202.52</v>
      </c>
    </row>
    <row r="295" spans="1:14" ht="12.75">
      <c r="A295" s="208"/>
      <c r="B295" s="208"/>
      <c r="C295" s="209"/>
      <c r="D295" s="209"/>
      <c r="E295" s="208"/>
      <c r="F295" s="208"/>
      <c r="G295" s="210"/>
      <c r="H295" s="208"/>
      <c r="I295" s="208"/>
      <c r="J295" s="212"/>
      <c r="K295" s="212"/>
      <c r="L295" s="211"/>
      <c r="M295" s="213" t="s">
        <v>191</v>
      </c>
      <c r="N295" s="214">
        <f>1500-634</f>
        <v>866</v>
      </c>
    </row>
    <row r="296" spans="1:14" ht="12.75">
      <c r="A296" s="208"/>
      <c r="B296" s="208"/>
      <c r="C296" s="209"/>
      <c r="D296" s="209"/>
      <c r="E296" s="208"/>
      <c r="F296" s="208"/>
      <c r="G296" s="210"/>
      <c r="H296" s="208"/>
      <c r="I296" s="208"/>
      <c r="J296" s="208"/>
      <c r="K296" s="208"/>
      <c r="L296" s="208"/>
      <c r="M296" s="213" t="s">
        <v>192</v>
      </c>
      <c r="N296" s="214">
        <f>N295-N294</f>
        <v>-336.52</v>
      </c>
    </row>
    <row r="297" spans="1:14" ht="12.75">
      <c r="A297" s="215" t="s">
        <v>542</v>
      </c>
      <c r="B297" s="192" t="s">
        <v>166</v>
      </c>
      <c r="C297" s="192" t="s">
        <v>167</v>
      </c>
      <c r="D297" s="192" t="s">
        <v>168</v>
      </c>
      <c r="E297" s="192" t="s">
        <v>429</v>
      </c>
      <c r="F297" s="192" t="s">
        <v>170</v>
      </c>
      <c r="G297" s="193" t="s">
        <v>171</v>
      </c>
      <c r="H297" s="194" t="s">
        <v>172</v>
      </c>
      <c r="I297" s="194" t="s">
        <v>173</v>
      </c>
      <c r="J297" s="194" t="s">
        <v>174</v>
      </c>
      <c r="K297" s="195" t="s">
        <v>175</v>
      </c>
      <c r="L297" s="195" t="s">
        <v>176</v>
      </c>
      <c r="M297" s="195" t="s">
        <v>177</v>
      </c>
      <c r="N297" s="196" t="s">
        <v>4</v>
      </c>
    </row>
    <row r="298" spans="1:14" ht="12.75">
      <c r="A298" s="197" t="s">
        <v>128</v>
      </c>
      <c r="B298" s="198">
        <v>1</v>
      </c>
      <c r="C298" s="249" t="s">
        <v>543</v>
      </c>
      <c r="D298" s="200"/>
      <c r="E298" s="255" t="s">
        <v>544</v>
      </c>
      <c r="F298" s="201" t="s">
        <v>545</v>
      </c>
      <c r="G298" s="203">
        <v>6</v>
      </c>
      <c r="H298" s="204">
        <v>1</v>
      </c>
      <c r="I298" s="204">
        <v>29.97</v>
      </c>
      <c r="J298" s="250">
        <f>H298*I298</f>
        <v>29.97</v>
      </c>
      <c r="K298" s="256"/>
      <c r="L298" s="205"/>
      <c r="M298" s="205">
        <f>SUM(J298:L298)</f>
        <v>29.97</v>
      </c>
      <c r="N298" s="205">
        <v>949.13</v>
      </c>
    </row>
    <row r="299" spans="1:14" ht="12.75">
      <c r="A299" s="208"/>
      <c r="B299" s="208"/>
      <c r="C299" s="209"/>
      <c r="D299" s="209"/>
      <c r="E299" s="208"/>
      <c r="F299" s="208"/>
      <c r="G299" s="208"/>
      <c r="H299" s="208"/>
      <c r="I299" s="208"/>
      <c r="J299" s="211">
        <f>SUM(J298:J298)</f>
        <v>29.97</v>
      </c>
      <c r="K299" s="211">
        <f>SUM(K298:K298)</f>
        <v>0</v>
      </c>
      <c r="L299" s="211">
        <f>SUM(L298:L298)</f>
        <v>0</v>
      </c>
      <c r="M299" s="211">
        <f>SUM(M298:M298)</f>
        <v>29.97</v>
      </c>
      <c r="N299" s="211">
        <f>SUM(N298:N298)</f>
        <v>949.13</v>
      </c>
    </row>
    <row r="300" spans="1:14" ht="12.75">
      <c r="A300" s="208"/>
      <c r="B300" s="208"/>
      <c r="C300" s="209"/>
      <c r="D300" s="209"/>
      <c r="E300" s="208"/>
      <c r="F300" s="208"/>
      <c r="G300" s="208"/>
      <c r="H300" s="208"/>
      <c r="I300" s="208"/>
      <c r="J300" s="212"/>
      <c r="K300" s="212"/>
      <c r="L300" s="211"/>
      <c r="M300" s="213" t="s">
        <v>191</v>
      </c>
      <c r="N300" s="214">
        <v>1000</v>
      </c>
    </row>
    <row r="301" spans="1:14" ht="12.75">
      <c r="A301" s="208"/>
      <c r="B301" s="208"/>
      <c r="C301" s="209"/>
      <c r="D301" s="209"/>
      <c r="E301" s="208"/>
      <c r="F301" s="208"/>
      <c r="G301" s="208"/>
      <c r="H301" s="208"/>
      <c r="I301" s="208"/>
      <c r="J301" s="208"/>
      <c r="K301" s="208"/>
      <c r="L301" s="208"/>
      <c r="M301" s="213" t="s">
        <v>192</v>
      </c>
      <c r="N301" s="214">
        <f>N300-N299</f>
        <v>50.870000000000005</v>
      </c>
    </row>
    <row r="302" spans="1:14" ht="12.75">
      <c r="A302" s="215" t="s">
        <v>352</v>
      </c>
      <c r="B302" s="265" t="s">
        <v>166</v>
      </c>
      <c r="C302" s="192" t="s">
        <v>167</v>
      </c>
      <c r="D302" s="192" t="s">
        <v>168</v>
      </c>
      <c r="E302" s="192" t="s">
        <v>429</v>
      </c>
      <c r="F302" s="192" t="s">
        <v>170</v>
      </c>
      <c r="G302" s="193" t="s">
        <v>171</v>
      </c>
      <c r="H302" s="194" t="s">
        <v>172</v>
      </c>
      <c r="I302" s="194" t="s">
        <v>173</v>
      </c>
      <c r="J302" s="194" t="s">
        <v>174</v>
      </c>
      <c r="K302" s="195" t="s">
        <v>175</v>
      </c>
      <c r="L302" s="195" t="s">
        <v>176</v>
      </c>
      <c r="M302" s="195" t="s">
        <v>177</v>
      </c>
      <c r="N302" s="196" t="s">
        <v>4</v>
      </c>
    </row>
    <row r="303" spans="1:14" ht="12.75">
      <c r="A303" s="197" t="s">
        <v>128</v>
      </c>
      <c r="B303" s="198">
        <v>1</v>
      </c>
      <c r="C303" s="249" t="s">
        <v>546</v>
      </c>
      <c r="D303" s="200"/>
      <c r="E303" s="255" t="s">
        <v>547</v>
      </c>
      <c r="F303" s="201"/>
      <c r="G303" s="203"/>
      <c r="H303" s="204">
        <v>1</v>
      </c>
      <c r="I303" s="204">
        <v>23.69</v>
      </c>
      <c r="J303" s="250">
        <f>H303*I303</f>
        <v>23.69</v>
      </c>
      <c r="K303" s="256"/>
      <c r="L303" s="205"/>
      <c r="M303" s="205">
        <f>SUM(J303:L303)</f>
        <v>23.69</v>
      </c>
      <c r="N303" s="205">
        <v>757.93</v>
      </c>
    </row>
    <row r="304" spans="1:14" ht="12.75">
      <c r="A304" s="208"/>
      <c r="B304" s="266"/>
      <c r="C304" s="209"/>
      <c r="D304" s="209"/>
      <c r="E304" s="208"/>
      <c r="F304" s="208"/>
      <c r="G304" s="208"/>
      <c r="H304" s="208"/>
      <c r="I304" s="208"/>
      <c r="J304" s="211">
        <f>SUM(J303:J303)</f>
        <v>23.69</v>
      </c>
      <c r="K304" s="211">
        <f>SUM(K303:K303)</f>
        <v>0</v>
      </c>
      <c r="L304" s="211">
        <f>SUM(L303:L303)</f>
        <v>0</v>
      </c>
      <c r="M304" s="211">
        <f>SUM(M303:M303)</f>
        <v>23.69</v>
      </c>
      <c r="N304" s="211">
        <f>SUM(N303:N303)</f>
        <v>757.93</v>
      </c>
    </row>
    <row r="305" spans="1:14" ht="12.75">
      <c r="A305" s="208"/>
      <c r="B305" s="266"/>
      <c r="C305" s="209"/>
      <c r="D305" s="209"/>
      <c r="E305" s="208"/>
      <c r="F305" s="208"/>
      <c r="G305" s="208"/>
      <c r="H305" s="208"/>
      <c r="I305" s="208"/>
      <c r="J305" s="212"/>
      <c r="K305" s="212"/>
      <c r="L305" s="211"/>
      <c r="M305" s="213" t="s">
        <v>191</v>
      </c>
      <c r="N305" s="214">
        <v>900</v>
      </c>
    </row>
    <row r="306" spans="1:15" ht="12.75">
      <c r="A306" s="208"/>
      <c r="B306" s="266"/>
      <c r="C306" s="209"/>
      <c r="D306" s="209"/>
      <c r="E306" s="208"/>
      <c r="F306" s="208"/>
      <c r="G306" s="208"/>
      <c r="H306" s="208"/>
      <c r="I306" s="208"/>
      <c r="J306" s="208"/>
      <c r="K306" s="208"/>
      <c r="L306" s="208"/>
      <c r="M306" s="213" t="s">
        <v>192</v>
      </c>
      <c r="N306" s="214">
        <f>N305-N304-19</f>
        <v>123.07000000000005</v>
      </c>
      <c r="O306" s="218" t="s">
        <v>548</v>
      </c>
    </row>
    <row r="307" spans="1:15" ht="12.75">
      <c r="A307" s="215" t="s">
        <v>48</v>
      </c>
      <c r="B307" s="192" t="s">
        <v>166</v>
      </c>
      <c r="C307" s="192" t="s">
        <v>167</v>
      </c>
      <c r="D307" s="192" t="s">
        <v>168</v>
      </c>
      <c r="E307" s="192" t="s">
        <v>429</v>
      </c>
      <c r="F307" s="192" t="s">
        <v>170</v>
      </c>
      <c r="G307" s="267" t="s">
        <v>171</v>
      </c>
      <c r="H307" s="192" t="s">
        <v>172</v>
      </c>
      <c r="I307" s="192" t="s">
        <v>173</v>
      </c>
      <c r="J307" s="192" t="s">
        <v>174</v>
      </c>
      <c r="K307" s="268" t="s">
        <v>175</v>
      </c>
      <c r="L307" s="268" t="s">
        <v>176</v>
      </c>
      <c r="M307" s="268" t="s">
        <v>177</v>
      </c>
      <c r="N307" s="269" t="s">
        <v>4</v>
      </c>
      <c r="O307" s="270"/>
    </row>
    <row r="308" spans="1:14" ht="12.75">
      <c r="A308" s="197" t="s">
        <v>549</v>
      </c>
      <c r="B308" s="198">
        <v>1</v>
      </c>
      <c r="C308" s="249" t="s">
        <v>550</v>
      </c>
      <c r="D308" s="200"/>
      <c r="E308" s="255" t="s">
        <v>551</v>
      </c>
      <c r="F308" s="201" t="s">
        <v>552</v>
      </c>
      <c r="G308" s="203"/>
      <c r="H308" s="204">
        <v>1</v>
      </c>
      <c r="I308" s="204">
        <v>23.98</v>
      </c>
      <c r="J308" s="250">
        <f>H308*I308</f>
        <v>23.98</v>
      </c>
      <c r="K308" s="256">
        <v>5</v>
      </c>
      <c r="L308" s="205">
        <v>2.1</v>
      </c>
      <c r="M308" s="205">
        <f>SUM(J308:L308)</f>
        <v>31.08</v>
      </c>
      <c r="N308" s="205">
        <v>1018.55</v>
      </c>
    </row>
    <row r="309" spans="1:22" ht="12.75">
      <c r="A309" s="197" t="s">
        <v>553</v>
      </c>
      <c r="B309" s="198">
        <v>2</v>
      </c>
      <c r="C309" s="222" t="s">
        <v>554</v>
      </c>
      <c r="D309" s="208" t="s">
        <v>555</v>
      </c>
      <c r="E309" s="208" t="s">
        <v>556</v>
      </c>
      <c r="F309" s="208" t="s">
        <v>557</v>
      </c>
      <c r="G309" s="208" t="s">
        <v>317</v>
      </c>
      <c r="H309" s="208">
        <v>1</v>
      </c>
      <c r="I309" s="208">
        <v>10.97</v>
      </c>
      <c r="J309" s="250">
        <f>H309*I309</f>
        <v>10.97</v>
      </c>
      <c r="K309" s="250"/>
      <c r="L309" s="205"/>
      <c r="M309" s="205">
        <f>SUM(J309:L309)</f>
        <v>10.97</v>
      </c>
      <c r="N309" s="205"/>
      <c r="O309"/>
      <c r="P309"/>
      <c r="Q309"/>
      <c r="R309"/>
      <c r="S309"/>
      <c r="T309"/>
      <c r="U309"/>
      <c r="V309" s="1">
        <f>H309*I309</f>
        <v>10.97</v>
      </c>
    </row>
    <row r="310" spans="1:22" ht="12.75">
      <c r="A310" s="197"/>
      <c r="B310" s="198">
        <v>3</v>
      </c>
      <c r="C310" s="222" t="s">
        <v>558</v>
      </c>
      <c r="D310" s="208" t="s">
        <v>559</v>
      </c>
      <c r="E310" s="208" t="s">
        <v>560</v>
      </c>
      <c r="F310" s="208" t="s">
        <v>561</v>
      </c>
      <c r="G310" s="208" t="s">
        <v>317</v>
      </c>
      <c r="H310" s="208">
        <v>1</v>
      </c>
      <c r="I310" s="208">
        <v>17.97</v>
      </c>
      <c r="J310" s="250">
        <f>H310*I310</f>
        <v>17.97</v>
      </c>
      <c r="K310" s="250"/>
      <c r="L310" s="205"/>
      <c r="M310" s="205">
        <f>SUM(J310:L310)</f>
        <v>17.97</v>
      </c>
      <c r="N310" s="205"/>
      <c r="O310"/>
      <c r="P310"/>
      <c r="Q310"/>
      <c r="R310"/>
      <c r="S310"/>
      <c r="T310"/>
      <c r="U310"/>
      <c r="V310" s="1">
        <f>H310*I310</f>
        <v>17.97</v>
      </c>
    </row>
    <row r="311" spans="1:17" ht="12.75">
      <c r="A311" s="197"/>
      <c r="B311" s="198">
        <v>4</v>
      </c>
      <c r="C311" s="249" t="s">
        <v>562</v>
      </c>
      <c r="D311" s="200" t="s">
        <v>563</v>
      </c>
      <c r="E311" s="201" t="s">
        <v>564</v>
      </c>
      <c r="F311" s="201" t="s">
        <v>565</v>
      </c>
      <c r="G311" s="203" t="s">
        <v>283</v>
      </c>
      <c r="H311" s="204">
        <v>1</v>
      </c>
      <c r="I311" s="204">
        <v>23.97</v>
      </c>
      <c r="J311" s="250">
        <f>H311*I311</f>
        <v>23.97</v>
      </c>
      <c r="K311" s="250"/>
      <c r="L311" s="205"/>
      <c r="M311" s="205">
        <f>SUM(J311:L311)</f>
        <v>23.97</v>
      </c>
      <c r="N311" s="205"/>
      <c r="P311" s="113"/>
      <c r="Q311" s="113"/>
    </row>
    <row r="312" spans="1:17" ht="12.75">
      <c r="A312" s="197"/>
      <c r="B312" s="198">
        <v>5</v>
      </c>
      <c r="C312" s="249" t="s">
        <v>566</v>
      </c>
      <c r="D312" s="200" t="s">
        <v>567</v>
      </c>
      <c r="E312" s="201" t="s">
        <v>568</v>
      </c>
      <c r="F312" s="201" t="s">
        <v>569</v>
      </c>
      <c r="G312" s="203" t="s">
        <v>317</v>
      </c>
      <c r="H312" s="204">
        <v>1</v>
      </c>
      <c r="I312" s="204">
        <v>19.97</v>
      </c>
      <c r="J312" s="250">
        <f>H312*I312</f>
        <v>19.97</v>
      </c>
      <c r="K312" s="250"/>
      <c r="L312" s="205"/>
      <c r="M312" s="205">
        <f>SUM(J312:L312)</f>
        <v>19.97</v>
      </c>
      <c r="N312" s="205"/>
      <c r="P312" s="113"/>
      <c r="Q312" s="113"/>
    </row>
    <row r="313" spans="1:17" ht="12.75">
      <c r="A313" s="197"/>
      <c r="B313" s="198">
        <v>6</v>
      </c>
      <c r="C313" s="249" t="s">
        <v>570</v>
      </c>
      <c r="D313" s="200" t="s">
        <v>571</v>
      </c>
      <c r="E313" s="201" t="s">
        <v>572</v>
      </c>
      <c r="F313" s="201" t="s">
        <v>573</v>
      </c>
      <c r="G313" s="203" t="s">
        <v>317</v>
      </c>
      <c r="H313" s="204">
        <v>1</v>
      </c>
      <c r="I313" s="204">
        <v>16.97</v>
      </c>
      <c r="J313" s="250">
        <f>H313*I313</f>
        <v>16.97</v>
      </c>
      <c r="K313" s="250"/>
      <c r="L313" s="205"/>
      <c r="M313" s="205">
        <f>SUM(J313:L313)</f>
        <v>16.97</v>
      </c>
      <c r="N313" s="205"/>
      <c r="P313" s="113"/>
      <c r="Q313" s="113"/>
    </row>
    <row r="314" spans="1:17" ht="12.75">
      <c r="A314" s="197"/>
      <c r="B314" s="198">
        <v>7</v>
      </c>
      <c r="C314" s="249" t="s">
        <v>574</v>
      </c>
      <c r="D314" s="200" t="s">
        <v>575</v>
      </c>
      <c r="E314" s="201" t="s">
        <v>576</v>
      </c>
      <c r="F314" s="201" t="s">
        <v>577</v>
      </c>
      <c r="G314" s="203"/>
      <c r="H314" s="204">
        <v>1</v>
      </c>
      <c r="I314" s="204">
        <v>8</v>
      </c>
      <c r="J314" s="250">
        <f>H314*I314</f>
        <v>8</v>
      </c>
      <c r="K314" s="250"/>
      <c r="L314" s="205"/>
      <c r="M314" s="205">
        <f>SUM(J314:L314)</f>
        <v>8</v>
      </c>
      <c r="N314" s="205"/>
      <c r="P314" s="113"/>
      <c r="Q314" s="113"/>
    </row>
    <row r="315" spans="1:14" ht="12.75">
      <c r="A315" s="197" t="s">
        <v>319</v>
      </c>
      <c r="B315" s="198">
        <v>10</v>
      </c>
      <c r="C315" s="249" t="s">
        <v>578</v>
      </c>
      <c r="D315" s="200"/>
      <c r="E315" s="255" t="s">
        <v>579</v>
      </c>
      <c r="F315" s="201" t="s">
        <v>580</v>
      </c>
      <c r="G315" s="203" t="s">
        <v>581</v>
      </c>
      <c r="H315" s="204">
        <v>1</v>
      </c>
      <c r="I315" s="204">
        <v>24.5</v>
      </c>
      <c r="J315" s="250">
        <f>H315*I315</f>
        <v>24.5</v>
      </c>
      <c r="K315" s="256">
        <v>0</v>
      </c>
      <c r="L315" s="205">
        <f>J315*0.0975</f>
        <v>2.38875</v>
      </c>
      <c r="M315" s="205">
        <f>SUM(J315:L315)</f>
        <v>26.88875</v>
      </c>
      <c r="N315" s="205"/>
    </row>
    <row r="316" spans="1:14" ht="12.75">
      <c r="A316" s="197"/>
      <c r="B316" s="198">
        <v>11</v>
      </c>
      <c r="C316" s="249" t="s">
        <v>582</v>
      </c>
      <c r="D316" s="200"/>
      <c r="E316" s="255" t="s">
        <v>583</v>
      </c>
      <c r="F316" s="201" t="s">
        <v>584</v>
      </c>
      <c r="G316" s="203" t="s">
        <v>585</v>
      </c>
      <c r="H316" s="204">
        <v>1</v>
      </c>
      <c r="I316" s="204">
        <v>15</v>
      </c>
      <c r="J316" s="250">
        <f>H316*I316</f>
        <v>15</v>
      </c>
      <c r="K316" s="256">
        <v>0</v>
      </c>
      <c r="L316" s="205">
        <f>J316*0.0975</f>
        <v>1.4625000000000001</v>
      </c>
      <c r="M316" s="205">
        <f>SUM(J316:L316)</f>
        <v>16.4625</v>
      </c>
      <c r="N316" s="205"/>
    </row>
    <row r="317" spans="1:14" ht="12.75">
      <c r="A317" s="197"/>
      <c r="B317" s="198">
        <v>12</v>
      </c>
      <c r="C317" s="249" t="s">
        <v>586</v>
      </c>
      <c r="D317" s="200"/>
      <c r="E317" s="255" t="s">
        <v>587</v>
      </c>
      <c r="F317" s="201" t="s">
        <v>588</v>
      </c>
      <c r="G317" s="203" t="s">
        <v>589</v>
      </c>
      <c r="H317" s="204">
        <v>1</v>
      </c>
      <c r="I317" s="204">
        <v>15</v>
      </c>
      <c r="J317" s="250">
        <f>H317*I317</f>
        <v>15</v>
      </c>
      <c r="K317" s="256">
        <v>0</v>
      </c>
      <c r="L317" s="205">
        <f>J317*0.0975</f>
        <v>1.4625000000000001</v>
      </c>
      <c r="M317" s="205">
        <f>SUM(J317:L317)</f>
        <v>16.4625</v>
      </c>
      <c r="N317" s="205"/>
    </row>
    <row r="318" spans="1:14" ht="12.75">
      <c r="A318" s="197"/>
      <c r="B318" s="198">
        <v>13</v>
      </c>
      <c r="C318" s="249" t="s">
        <v>590</v>
      </c>
      <c r="D318" s="200"/>
      <c r="E318" s="255" t="s">
        <v>591</v>
      </c>
      <c r="F318" s="201" t="s">
        <v>592</v>
      </c>
      <c r="G318" s="203"/>
      <c r="H318" s="204">
        <v>1</v>
      </c>
      <c r="I318" s="204">
        <v>9.5</v>
      </c>
      <c r="J318" s="250">
        <f>H318*I318</f>
        <v>9.5</v>
      </c>
      <c r="K318" s="256">
        <v>0</v>
      </c>
      <c r="L318" s="205">
        <f>J318*0.0975</f>
        <v>0.92625</v>
      </c>
      <c r="M318" s="205">
        <f>SUM(J318:L318)</f>
        <v>10.42625</v>
      </c>
      <c r="N318" s="205"/>
    </row>
    <row r="319" spans="1:14" ht="12.75">
      <c r="A319" s="197"/>
      <c r="B319" s="198">
        <v>14</v>
      </c>
      <c r="C319" s="249" t="s">
        <v>593</v>
      </c>
      <c r="D319" s="200"/>
      <c r="E319" s="255" t="s">
        <v>594</v>
      </c>
      <c r="F319" s="201" t="s">
        <v>595</v>
      </c>
      <c r="G319" s="203" t="s">
        <v>596</v>
      </c>
      <c r="H319" s="204">
        <v>1</v>
      </c>
      <c r="I319" s="204">
        <v>9.5</v>
      </c>
      <c r="J319" s="250">
        <f>H319*I319</f>
        <v>9.5</v>
      </c>
      <c r="K319" s="256">
        <v>0</v>
      </c>
      <c r="L319" s="205">
        <f>J319*0.0975</f>
        <v>0.92625</v>
      </c>
      <c r="M319" s="205">
        <f>SUM(J319:L319)</f>
        <v>10.42625</v>
      </c>
      <c r="N319" s="205"/>
    </row>
    <row r="320" spans="1:14" ht="12.75">
      <c r="A320" s="197"/>
      <c r="B320" s="198">
        <v>15</v>
      </c>
      <c r="C320" s="249" t="s">
        <v>597</v>
      </c>
      <c r="D320" s="200"/>
      <c r="E320" s="255" t="s">
        <v>598</v>
      </c>
      <c r="F320" s="201" t="s">
        <v>599</v>
      </c>
      <c r="G320" s="203">
        <v>10</v>
      </c>
      <c r="H320" s="204">
        <v>1</v>
      </c>
      <c r="I320" s="204">
        <v>2.5</v>
      </c>
      <c r="J320" s="250">
        <f>H320*I320</f>
        <v>2.5</v>
      </c>
      <c r="K320" s="256">
        <v>0</v>
      </c>
      <c r="L320" s="205">
        <f>J320*0.0975</f>
        <v>0.24375000000000002</v>
      </c>
      <c r="M320" s="205">
        <f>SUM(J320:L320)</f>
        <v>2.74375</v>
      </c>
      <c r="N320" s="205"/>
    </row>
    <row r="321" spans="1:14" ht="12.75">
      <c r="A321" s="197"/>
      <c r="B321" s="198">
        <v>16</v>
      </c>
      <c r="C321" s="249" t="s">
        <v>600</v>
      </c>
      <c r="D321" s="200"/>
      <c r="E321" s="255" t="s">
        <v>601</v>
      </c>
      <c r="F321" s="201" t="s">
        <v>602</v>
      </c>
      <c r="G321" s="203" t="s">
        <v>315</v>
      </c>
      <c r="H321" s="204">
        <v>1</v>
      </c>
      <c r="I321" s="204">
        <v>10.5</v>
      </c>
      <c r="J321" s="250">
        <f>H321*I321</f>
        <v>10.5</v>
      </c>
      <c r="K321" s="256">
        <v>0</v>
      </c>
      <c r="L321" s="205">
        <f>J321*0.0975</f>
        <v>1.02375</v>
      </c>
      <c r="M321" s="205">
        <f>SUM(J321:L321)</f>
        <v>11.52375</v>
      </c>
      <c r="N321" s="205">
        <v>3006.43</v>
      </c>
    </row>
    <row r="322" spans="1:24" ht="12.75">
      <c r="A322" s="271"/>
      <c r="B322" s="271"/>
      <c r="C322" s="271"/>
      <c r="D322" s="271"/>
      <c r="E322" s="271"/>
      <c r="F322" s="271"/>
      <c r="G322" s="271"/>
      <c r="H322" s="271"/>
      <c r="I322" s="271"/>
      <c r="J322" s="272">
        <f>SUM(J308:J321)</f>
        <v>208.32999999999998</v>
      </c>
      <c r="K322" s="272">
        <f>SUM(K308:K321)</f>
        <v>5</v>
      </c>
      <c r="L322" s="272">
        <f>SUM(L308:L321)</f>
        <v>10.53375</v>
      </c>
      <c r="M322" s="272">
        <f>SUM(M308:M321)</f>
        <v>223.86375000000004</v>
      </c>
      <c r="N322" s="272">
        <f>SUM(N308:N321)</f>
        <v>4024.9799999999996</v>
      </c>
      <c r="O322" s="270"/>
      <c r="P322" s="270"/>
      <c r="Q322" s="270"/>
      <c r="R322" s="270"/>
      <c r="S322" s="270"/>
      <c r="T322" s="270"/>
      <c r="U322" s="270"/>
      <c r="V322" s="270"/>
      <c r="W322" s="270"/>
      <c r="X322" s="270"/>
    </row>
    <row r="323" spans="1:24" ht="12.75">
      <c r="A323" s="271"/>
      <c r="B323" s="271"/>
      <c r="C323" s="271"/>
      <c r="D323" s="271"/>
      <c r="E323" s="271"/>
      <c r="F323" s="271"/>
      <c r="G323" s="271"/>
      <c r="H323" s="271"/>
      <c r="I323" s="271"/>
      <c r="J323" s="273"/>
      <c r="K323" s="273"/>
      <c r="L323" s="211"/>
      <c r="M323" s="213" t="s">
        <v>191</v>
      </c>
      <c r="N323" s="214">
        <v>8000</v>
      </c>
      <c r="O323" s="274"/>
      <c r="P323" s="270"/>
      <c r="Q323" s="270"/>
      <c r="R323" s="270"/>
      <c r="S323" s="270"/>
      <c r="T323" s="270"/>
      <c r="U323" s="270"/>
      <c r="V323" s="270"/>
      <c r="W323" s="270"/>
      <c r="X323" s="270"/>
    </row>
    <row r="324" spans="1:24" ht="12.75">
      <c r="A324" s="271"/>
      <c r="B324" s="271"/>
      <c r="C324" s="271"/>
      <c r="D324" s="271"/>
      <c r="E324" s="271"/>
      <c r="F324" s="271"/>
      <c r="G324" s="271"/>
      <c r="H324" s="271"/>
      <c r="I324" s="271"/>
      <c r="J324" s="271"/>
      <c r="K324" s="271"/>
      <c r="L324" s="208"/>
      <c r="M324" s="213" t="s">
        <v>192</v>
      </c>
      <c r="N324" s="214">
        <f>N323-N322</f>
        <v>3975.0200000000004</v>
      </c>
      <c r="O324" s="270"/>
      <c r="P324" s="270"/>
      <c r="Q324" s="270"/>
      <c r="R324" s="270"/>
      <c r="S324" s="270"/>
      <c r="T324" s="270"/>
      <c r="U324" s="270"/>
      <c r="V324" s="270"/>
      <c r="W324" s="270"/>
      <c r="X324" s="270"/>
    </row>
    <row r="325" spans="1:14" ht="12.75">
      <c r="A325" s="275" t="s">
        <v>603</v>
      </c>
      <c r="B325" s="276" t="s">
        <v>166</v>
      </c>
      <c r="C325" s="276" t="s">
        <v>167</v>
      </c>
      <c r="D325" s="276" t="s">
        <v>168</v>
      </c>
      <c r="E325" s="276" t="s">
        <v>429</v>
      </c>
      <c r="F325" s="276" t="s">
        <v>170</v>
      </c>
      <c r="G325" s="277" t="s">
        <v>171</v>
      </c>
      <c r="H325" s="278" t="s">
        <v>172</v>
      </c>
      <c r="I325" s="278" t="s">
        <v>173</v>
      </c>
      <c r="J325" s="278" t="s">
        <v>174</v>
      </c>
      <c r="K325" s="279" t="s">
        <v>175</v>
      </c>
      <c r="L325" s="279" t="s">
        <v>176</v>
      </c>
      <c r="M325" s="279" t="s">
        <v>177</v>
      </c>
      <c r="N325" s="280" t="s">
        <v>4</v>
      </c>
    </row>
    <row r="326" spans="1:14" ht="12.75">
      <c r="A326" s="281" t="s">
        <v>147</v>
      </c>
      <c r="B326" s="282">
        <v>1</v>
      </c>
      <c r="C326" s="283" t="s">
        <v>604</v>
      </c>
      <c r="D326" s="284"/>
      <c r="E326" s="285" t="s">
        <v>605</v>
      </c>
      <c r="F326" s="286" t="s">
        <v>196</v>
      </c>
      <c r="G326" s="287" t="s">
        <v>283</v>
      </c>
      <c r="H326" s="288">
        <v>1</v>
      </c>
      <c r="I326" s="288">
        <v>249.99</v>
      </c>
      <c r="J326" s="289">
        <f>H326*I326</f>
        <v>249.99</v>
      </c>
      <c r="K326" s="290"/>
      <c r="L326" s="291"/>
      <c r="M326" s="291">
        <f>SUM(J326:L326)</f>
        <v>249.99</v>
      </c>
      <c r="N326" s="291"/>
    </row>
    <row r="327" spans="1:14" ht="12.75">
      <c r="A327" s="281"/>
      <c r="B327" s="282">
        <v>2</v>
      </c>
      <c r="C327" s="283" t="s">
        <v>606</v>
      </c>
      <c r="D327" s="284"/>
      <c r="E327" s="285" t="s">
        <v>607</v>
      </c>
      <c r="F327" s="286" t="s">
        <v>608</v>
      </c>
      <c r="G327" s="287">
        <v>6</v>
      </c>
      <c r="H327" s="288">
        <v>1</v>
      </c>
      <c r="I327" s="288">
        <v>181.99</v>
      </c>
      <c r="J327" s="289">
        <f>H327*I327</f>
        <v>181.99</v>
      </c>
      <c r="K327" s="290"/>
      <c r="L327" s="291"/>
      <c r="M327" s="291">
        <f>SUM(J327:L327)</f>
        <v>181.99</v>
      </c>
      <c r="N327" s="291"/>
    </row>
    <row r="328" spans="1:14" ht="12.75">
      <c r="A328" s="281"/>
      <c r="B328" s="282">
        <v>3</v>
      </c>
      <c r="C328" s="283" t="s">
        <v>609</v>
      </c>
      <c r="D328" s="284"/>
      <c r="E328" s="285" t="s">
        <v>610</v>
      </c>
      <c r="F328" s="286" t="s">
        <v>611</v>
      </c>
      <c r="G328" s="287" t="s">
        <v>283</v>
      </c>
      <c r="H328" s="288">
        <v>1</v>
      </c>
      <c r="I328" s="288">
        <v>49.99</v>
      </c>
      <c r="J328" s="289">
        <f>H328*I328</f>
        <v>49.99</v>
      </c>
      <c r="K328" s="290">
        <v>24.95</v>
      </c>
      <c r="L328" s="291">
        <v>46.98</v>
      </c>
      <c r="M328" s="291">
        <f>SUM(J328:L328)</f>
        <v>121.91999999999999</v>
      </c>
      <c r="N328" s="291">
        <v>17721.4</v>
      </c>
    </row>
    <row r="329" spans="1:14" ht="12.75">
      <c r="A329" s="281" t="s">
        <v>153</v>
      </c>
      <c r="B329" s="292">
        <v>1</v>
      </c>
      <c r="C329" s="293" t="s">
        <v>612</v>
      </c>
      <c r="D329" s="294"/>
      <c r="E329" s="295" t="s">
        <v>613</v>
      </c>
      <c r="F329" s="296" t="s">
        <v>475</v>
      </c>
      <c r="G329" s="297" t="s">
        <v>614</v>
      </c>
      <c r="H329" s="298">
        <v>1</v>
      </c>
      <c r="I329" s="298">
        <v>124.95</v>
      </c>
      <c r="J329" s="299">
        <f>H329*I329</f>
        <v>124.95</v>
      </c>
      <c r="K329" s="299">
        <v>0</v>
      </c>
      <c r="L329" s="300">
        <v>0</v>
      </c>
      <c r="M329" s="300">
        <f>SUM(J329:L329)</f>
        <v>124.95</v>
      </c>
      <c r="N329" s="300"/>
    </row>
    <row r="330" spans="7:14" ht="12.75">
      <c r="G330" s="1"/>
      <c r="J330" s="301">
        <f>SUM(J326:J329)</f>
        <v>606.9200000000001</v>
      </c>
      <c r="K330" s="301">
        <f>SUM(K326:K329)</f>
        <v>24.95</v>
      </c>
      <c r="L330" s="301">
        <f>SUM(L326:L329)</f>
        <v>46.98</v>
      </c>
      <c r="M330" s="301">
        <f>SUM(M326:M329)</f>
        <v>678.8499999999999</v>
      </c>
      <c r="N330" s="301">
        <f>SUM(N326:N329)</f>
        <v>17721.4</v>
      </c>
    </row>
    <row r="331" spans="7:14" ht="12.75">
      <c r="G331" s="1"/>
      <c r="J331" s="302"/>
      <c r="K331" s="302"/>
      <c r="L331" s="303"/>
      <c r="M331" s="304" t="s">
        <v>191</v>
      </c>
      <c r="N331" s="305">
        <v>19500</v>
      </c>
    </row>
    <row r="332" spans="3:14" ht="12.75">
      <c r="C332" s="306"/>
      <c r="G332" s="1"/>
      <c r="M332" s="307" t="s">
        <v>192</v>
      </c>
      <c r="N332" s="308">
        <f>N331-N330</f>
        <v>1778.5999999999985</v>
      </c>
    </row>
    <row r="333" spans="1:15" ht="12.75">
      <c r="A333" s="215" t="s">
        <v>405</v>
      </c>
      <c r="B333" s="192" t="s">
        <v>166</v>
      </c>
      <c r="C333" s="192" t="s">
        <v>167</v>
      </c>
      <c r="D333" s="192" t="s">
        <v>168</v>
      </c>
      <c r="E333" s="192" t="s">
        <v>429</v>
      </c>
      <c r="F333" s="192" t="s">
        <v>170</v>
      </c>
      <c r="G333" s="193" t="s">
        <v>171</v>
      </c>
      <c r="H333" s="194" t="s">
        <v>172</v>
      </c>
      <c r="I333" s="194" t="s">
        <v>173</v>
      </c>
      <c r="J333" s="194" t="s">
        <v>174</v>
      </c>
      <c r="K333" s="195" t="s">
        <v>175</v>
      </c>
      <c r="L333" s="195" t="s">
        <v>176</v>
      </c>
      <c r="M333" s="195" t="s">
        <v>177</v>
      </c>
      <c r="N333" s="196" t="s">
        <v>4</v>
      </c>
      <c r="O333" s="208"/>
    </row>
    <row r="334" spans="1:15" ht="12.75">
      <c r="A334" s="197" t="s">
        <v>152</v>
      </c>
      <c r="B334" s="198">
        <v>1</v>
      </c>
      <c r="C334" s="249" t="s">
        <v>615</v>
      </c>
      <c r="D334" s="200" t="s">
        <v>616</v>
      </c>
      <c r="E334" s="255" t="s">
        <v>617</v>
      </c>
      <c r="F334" s="201" t="s">
        <v>618</v>
      </c>
      <c r="G334" s="203"/>
      <c r="H334" s="204">
        <v>1</v>
      </c>
      <c r="I334" s="204">
        <v>49</v>
      </c>
      <c r="J334" s="250">
        <f>H334*I334</f>
        <v>49</v>
      </c>
      <c r="K334" s="256">
        <v>0.63</v>
      </c>
      <c r="L334" s="205"/>
      <c r="M334" s="205">
        <f>SUM(J334:L334)</f>
        <v>49.63</v>
      </c>
      <c r="N334" s="205">
        <f>M334*31.67</f>
        <v>1571.7821000000001</v>
      </c>
      <c r="O334" s="208"/>
    </row>
    <row r="335" spans="1:18" ht="12.75">
      <c r="A335" s="197" t="s">
        <v>147</v>
      </c>
      <c r="B335" s="198">
        <v>2</v>
      </c>
      <c r="C335" s="249" t="s">
        <v>619</v>
      </c>
      <c r="D335" s="200"/>
      <c r="E335" s="255" t="s">
        <v>620</v>
      </c>
      <c r="F335" s="201" t="s">
        <v>390</v>
      </c>
      <c r="G335" s="203"/>
      <c r="H335" s="204">
        <v>1</v>
      </c>
      <c r="I335" s="204">
        <v>87.95</v>
      </c>
      <c r="J335" s="250">
        <f>H335*I335</f>
        <v>87.95</v>
      </c>
      <c r="K335" s="256">
        <v>8.58</v>
      </c>
      <c r="L335" s="205"/>
      <c r="M335" s="205">
        <f>SUM(J335:L335)</f>
        <v>96.53</v>
      </c>
      <c r="N335" s="205">
        <v>3089.52</v>
      </c>
      <c r="O335" s="208"/>
      <c r="Q335" s="113"/>
      <c r="R335" s="113"/>
    </row>
    <row r="336" spans="1:15" ht="12.75">
      <c r="A336" s="208"/>
      <c r="B336" s="208"/>
      <c r="C336" s="209"/>
      <c r="D336" s="209"/>
      <c r="E336" s="309"/>
      <c r="F336" s="309"/>
      <c r="G336" s="210"/>
      <c r="H336" s="208"/>
      <c r="I336" s="208"/>
      <c r="J336" s="211">
        <f>SUM(J334:J335)</f>
        <v>136.95</v>
      </c>
      <c r="K336" s="211">
        <f>SUM(K334:K335)</f>
        <v>9.21</v>
      </c>
      <c r="L336" s="211">
        <f>SUM(L334:L335)</f>
        <v>0</v>
      </c>
      <c r="M336" s="211">
        <f>SUM(M334:M335)</f>
        <v>146.16</v>
      </c>
      <c r="N336" s="211">
        <f>SUM(N334:N335)</f>
        <v>4661.3021</v>
      </c>
      <c r="O336" s="208"/>
    </row>
    <row r="337" spans="1:15" ht="12.75">
      <c r="A337" s="208"/>
      <c r="B337" s="208"/>
      <c r="C337" s="209"/>
      <c r="D337" s="209"/>
      <c r="E337" s="309"/>
      <c r="F337" s="309"/>
      <c r="G337" s="210"/>
      <c r="H337" s="208"/>
      <c r="I337" s="208"/>
      <c r="J337" s="212"/>
      <c r="K337" s="212"/>
      <c r="L337" s="211"/>
      <c r="M337" s="213" t="s">
        <v>191</v>
      </c>
      <c r="N337" s="214">
        <v>4605</v>
      </c>
      <c r="O337" s="208"/>
    </row>
    <row r="338" spans="1:15" ht="12.75">
      <c r="A338" s="208"/>
      <c r="B338" s="208"/>
      <c r="C338" s="209"/>
      <c r="D338" s="209"/>
      <c r="E338" s="309"/>
      <c r="F338" s="309"/>
      <c r="G338" s="210"/>
      <c r="H338" s="208"/>
      <c r="I338" s="208"/>
      <c r="J338" s="208"/>
      <c r="K338" s="208"/>
      <c r="L338" s="208"/>
      <c r="M338" s="213" t="s">
        <v>192</v>
      </c>
      <c r="N338" s="214">
        <f>N337-N336</f>
        <v>-56.30209999999988</v>
      </c>
      <c r="O338" s="208"/>
    </row>
    <row r="339" spans="1:15" ht="12.75">
      <c r="A339" s="215" t="s">
        <v>621</v>
      </c>
      <c r="B339" s="192" t="s">
        <v>166</v>
      </c>
      <c r="C339" s="192" t="s">
        <v>167</v>
      </c>
      <c r="D339" s="192" t="s">
        <v>168</v>
      </c>
      <c r="E339" s="192" t="s">
        <v>429</v>
      </c>
      <c r="F339" s="192" t="s">
        <v>170</v>
      </c>
      <c r="G339" s="193" t="s">
        <v>171</v>
      </c>
      <c r="H339" s="194" t="s">
        <v>172</v>
      </c>
      <c r="I339" s="194" t="s">
        <v>173</v>
      </c>
      <c r="J339" s="194" t="s">
        <v>174</v>
      </c>
      <c r="K339" s="195" t="s">
        <v>175</v>
      </c>
      <c r="L339" s="195" t="s">
        <v>176</v>
      </c>
      <c r="M339" s="195" t="s">
        <v>177</v>
      </c>
      <c r="N339" s="196" t="s">
        <v>4</v>
      </c>
      <c r="O339" s="208"/>
    </row>
    <row r="340" spans="1:15" ht="12.75">
      <c r="A340" s="197" t="s">
        <v>152</v>
      </c>
      <c r="B340" s="198">
        <v>1</v>
      </c>
      <c r="C340" s="249" t="s">
        <v>622</v>
      </c>
      <c r="D340" s="200"/>
      <c r="E340" s="219" t="s">
        <v>623</v>
      </c>
      <c r="F340" s="201" t="s">
        <v>624</v>
      </c>
      <c r="G340" s="203">
        <v>11</v>
      </c>
      <c r="H340" s="204">
        <v>1</v>
      </c>
      <c r="I340" s="204">
        <v>48.7</v>
      </c>
      <c r="J340" s="250">
        <f>H340*I340</f>
        <v>48.7</v>
      </c>
      <c r="K340" s="256">
        <v>0.63</v>
      </c>
      <c r="L340" s="205"/>
      <c r="M340" s="205">
        <f>SUM(J340:L340)</f>
        <v>49.330000000000005</v>
      </c>
      <c r="N340" s="205">
        <f>M340*31.67</f>
        <v>1562.2811000000002</v>
      </c>
      <c r="O340" s="208"/>
    </row>
    <row r="341" spans="1:15" ht="12.75">
      <c r="A341" s="208"/>
      <c r="B341" s="208"/>
      <c r="C341" s="209"/>
      <c r="D341" s="209"/>
      <c r="E341" s="208"/>
      <c r="F341" s="208"/>
      <c r="G341" s="208"/>
      <c r="H341" s="208"/>
      <c r="I341" s="208"/>
      <c r="J341" s="211">
        <f>SUM(J340:J340)</f>
        <v>48.7</v>
      </c>
      <c r="K341" s="211">
        <f>SUM(K340:K340)</f>
        <v>0.63</v>
      </c>
      <c r="L341" s="211">
        <f>SUM(L340:L340)</f>
        <v>0</v>
      </c>
      <c r="M341" s="211">
        <f>SUM(M340:M340)</f>
        <v>49.330000000000005</v>
      </c>
      <c r="N341" s="211">
        <f>SUM(N340:N340)</f>
        <v>1562.2811000000002</v>
      </c>
      <c r="O341" s="208"/>
    </row>
    <row r="342" spans="1:15" ht="12.75">
      <c r="A342" s="208"/>
      <c r="B342" s="208"/>
      <c r="C342" s="209"/>
      <c r="D342" s="209"/>
      <c r="E342" s="208"/>
      <c r="F342" s="208"/>
      <c r="G342" s="208"/>
      <c r="H342" s="208"/>
      <c r="I342" s="208"/>
      <c r="J342" s="212"/>
      <c r="K342" s="212"/>
      <c r="L342" s="211"/>
      <c r="M342" s="213" t="s">
        <v>191</v>
      </c>
      <c r="N342" s="214">
        <v>2000</v>
      </c>
      <c r="O342" s="208"/>
    </row>
    <row r="343" spans="1:15" ht="12.75">
      <c r="A343" s="208"/>
      <c r="B343" s="208"/>
      <c r="C343" s="209"/>
      <c r="D343" s="209"/>
      <c r="E343" s="208"/>
      <c r="F343" s="208"/>
      <c r="G343" s="208"/>
      <c r="H343" s="208"/>
      <c r="I343" s="208"/>
      <c r="J343" s="208"/>
      <c r="K343" s="208"/>
      <c r="L343" s="208"/>
      <c r="M343" s="213" t="s">
        <v>192</v>
      </c>
      <c r="N343" s="214">
        <f>N342-N341</f>
        <v>437.71889999999985</v>
      </c>
      <c r="O343" s="208"/>
    </row>
    <row r="344" spans="1:15" ht="12.75">
      <c r="A344" s="215" t="s">
        <v>352</v>
      </c>
      <c r="B344" s="265" t="s">
        <v>166</v>
      </c>
      <c r="C344" s="192" t="s">
        <v>167</v>
      </c>
      <c r="D344" s="192" t="s">
        <v>168</v>
      </c>
      <c r="E344" s="192" t="s">
        <v>429</v>
      </c>
      <c r="F344" s="192" t="s">
        <v>170</v>
      </c>
      <c r="G344" s="193" t="s">
        <v>171</v>
      </c>
      <c r="H344" s="194" t="s">
        <v>172</v>
      </c>
      <c r="I344" s="194" t="s">
        <v>173</v>
      </c>
      <c r="J344" s="194" t="s">
        <v>174</v>
      </c>
      <c r="K344" s="195" t="s">
        <v>175</v>
      </c>
      <c r="L344" s="195" t="s">
        <v>176</v>
      </c>
      <c r="M344" s="195" t="s">
        <v>177</v>
      </c>
      <c r="N344" s="196" t="s">
        <v>4</v>
      </c>
      <c r="O344" s="208"/>
    </row>
    <row r="345" spans="1:15" ht="12.75">
      <c r="A345" s="197" t="s">
        <v>147</v>
      </c>
      <c r="B345" s="198">
        <v>1</v>
      </c>
      <c r="C345" s="249" t="s">
        <v>625</v>
      </c>
      <c r="D345" s="200"/>
      <c r="E345" s="255" t="s">
        <v>626</v>
      </c>
      <c r="F345" s="201" t="s">
        <v>627</v>
      </c>
      <c r="G345" s="203"/>
      <c r="H345" s="204">
        <v>1</v>
      </c>
      <c r="I345" s="204">
        <v>22</v>
      </c>
      <c r="J345" s="250">
        <f>H345*I345</f>
        <v>22</v>
      </c>
      <c r="K345" s="256">
        <v>7.95</v>
      </c>
      <c r="L345" s="205">
        <v>1.6</v>
      </c>
      <c r="M345" s="205">
        <f>SUM(J345:L345)</f>
        <v>31.55</v>
      </c>
      <c r="N345" s="205">
        <v>990.56</v>
      </c>
      <c r="O345" s="208"/>
    </row>
    <row r="346" spans="1:15" ht="12.75">
      <c r="A346" s="208"/>
      <c r="B346" s="266"/>
      <c r="C346" s="209"/>
      <c r="D346" s="209"/>
      <c r="E346" s="208"/>
      <c r="F346" s="208"/>
      <c r="G346" s="208"/>
      <c r="H346" s="208"/>
      <c r="I346" s="208"/>
      <c r="J346" s="211">
        <f>SUM(J345:J345)</f>
        <v>22</v>
      </c>
      <c r="K346" s="211">
        <f>SUM(K345:K345)</f>
        <v>7.95</v>
      </c>
      <c r="L346" s="211">
        <f>SUM(L345:L345)</f>
        <v>1.6</v>
      </c>
      <c r="M346" s="211">
        <f>SUM(M345:M345)</f>
        <v>31.55</v>
      </c>
      <c r="N346" s="211">
        <f>SUM(N345:N345)</f>
        <v>990.56</v>
      </c>
      <c r="O346" s="208"/>
    </row>
    <row r="347" spans="1:15" ht="12.75">
      <c r="A347" s="208"/>
      <c r="B347" s="266"/>
      <c r="C347" s="209"/>
      <c r="D347" s="209"/>
      <c r="E347" s="208"/>
      <c r="F347" s="208"/>
      <c r="G347" s="208"/>
      <c r="H347" s="208"/>
      <c r="I347" s="208"/>
      <c r="J347" s="212"/>
      <c r="K347" s="212"/>
      <c r="L347" s="211"/>
      <c r="M347" s="213" t="s">
        <v>191</v>
      </c>
      <c r="N347" s="214">
        <v>1100</v>
      </c>
      <c r="O347" s="208"/>
    </row>
    <row r="348" spans="1:15" ht="12.75">
      <c r="A348" s="208"/>
      <c r="B348" s="266"/>
      <c r="C348" s="209"/>
      <c r="D348" s="209"/>
      <c r="E348" s="208"/>
      <c r="F348" s="208"/>
      <c r="G348" s="208"/>
      <c r="H348" s="208"/>
      <c r="I348" s="208"/>
      <c r="J348" s="208"/>
      <c r="K348" s="208"/>
      <c r="L348" s="208"/>
      <c r="M348" s="213" t="s">
        <v>192</v>
      </c>
      <c r="N348" s="214">
        <f>N347-N346</f>
        <v>109.44000000000005</v>
      </c>
      <c r="O348" s="208"/>
    </row>
    <row r="349" spans="1:14" ht="12.75">
      <c r="A349" s="275" t="s">
        <v>628</v>
      </c>
      <c r="B349" s="310" t="s">
        <v>166</v>
      </c>
      <c r="C349" s="310" t="s">
        <v>167</v>
      </c>
      <c r="D349" s="310" t="s">
        <v>168</v>
      </c>
      <c r="E349" s="310" t="s">
        <v>429</v>
      </c>
      <c r="F349" s="310" t="s">
        <v>170</v>
      </c>
      <c r="G349" s="311" t="s">
        <v>171</v>
      </c>
      <c r="H349" s="312" t="s">
        <v>172</v>
      </c>
      <c r="I349" s="312" t="s">
        <v>173</v>
      </c>
      <c r="J349" s="312" t="s">
        <v>174</v>
      </c>
      <c r="K349" s="312" t="s">
        <v>629</v>
      </c>
      <c r="L349" s="312" t="s">
        <v>176</v>
      </c>
      <c r="M349" s="312" t="s">
        <v>177</v>
      </c>
      <c r="N349" s="313" t="s">
        <v>4</v>
      </c>
    </row>
    <row r="350" spans="1:14" ht="12.75">
      <c r="A350" s="281" t="s">
        <v>152</v>
      </c>
      <c r="B350" s="314">
        <v>1</v>
      </c>
      <c r="C350" s="315" t="s">
        <v>630</v>
      </c>
      <c r="D350" s="316" t="s">
        <v>631</v>
      </c>
      <c r="E350" s="317" t="s">
        <v>632</v>
      </c>
      <c r="F350" s="318" t="s">
        <v>633</v>
      </c>
      <c r="G350" s="319">
        <v>10.5</v>
      </c>
      <c r="H350" s="320">
        <v>1</v>
      </c>
      <c r="I350" s="320">
        <v>29</v>
      </c>
      <c r="J350" s="321">
        <f>H350*I350</f>
        <v>29</v>
      </c>
      <c r="K350" s="322">
        <v>0.63</v>
      </c>
      <c r="L350" s="323"/>
      <c r="M350" s="323">
        <f>SUM(J350:L350)</f>
        <v>29.63</v>
      </c>
      <c r="N350" s="323">
        <f>M350*31.67</f>
        <v>938.3821</v>
      </c>
    </row>
    <row r="351" spans="1:14" ht="12.75">
      <c r="A351" s="281"/>
      <c r="B351" s="314">
        <f>B350+1</f>
        <v>2</v>
      </c>
      <c r="C351" s="315" t="s">
        <v>634</v>
      </c>
      <c r="D351" s="316" t="s">
        <v>635</v>
      </c>
      <c r="E351" s="317" t="s">
        <v>636</v>
      </c>
      <c r="F351" s="318" t="s">
        <v>196</v>
      </c>
      <c r="G351" s="319">
        <v>6.5</v>
      </c>
      <c r="H351" s="320">
        <v>1</v>
      </c>
      <c r="I351" s="320">
        <v>33.8</v>
      </c>
      <c r="J351" s="321">
        <f>H351*I351</f>
        <v>33.8</v>
      </c>
      <c r="K351" s="322">
        <v>0.63</v>
      </c>
      <c r="L351" s="323"/>
      <c r="M351" s="323">
        <f>SUM(J351:L351)</f>
        <v>34.43</v>
      </c>
      <c r="N351" s="323">
        <f>M351*31.67</f>
        <v>1090.3981</v>
      </c>
    </row>
    <row r="352" spans="7:14" ht="12.75">
      <c r="G352" s="1"/>
      <c r="J352" s="301">
        <f>SUM(J350:J351)</f>
        <v>62.8</v>
      </c>
      <c r="K352" s="301">
        <f>SUM(K350:K351)</f>
        <v>1.26</v>
      </c>
      <c r="L352" s="301">
        <f>SUM(L350:L351)</f>
        <v>0</v>
      </c>
      <c r="M352" s="301">
        <f>SUM(M350:M351)</f>
        <v>64.06</v>
      </c>
      <c r="N352" s="301">
        <f>SUM(N350:N351)</f>
        <v>2028.7802000000001</v>
      </c>
    </row>
    <row r="353" spans="7:14" ht="12.75">
      <c r="G353" s="1"/>
      <c r="J353" s="302"/>
      <c r="K353" s="302"/>
      <c r="L353" s="303"/>
      <c r="M353" s="304" t="s">
        <v>191</v>
      </c>
      <c r="N353" s="305">
        <f>1400+364+1300</f>
        <v>3064</v>
      </c>
    </row>
    <row r="354" spans="3:14" ht="12.75">
      <c r="C354" s="306"/>
      <c r="G354" s="1"/>
      <c r="M354" s="307" t="s">
        <v>192</v>
      </c>
      <c r="N354" s="308">
        <f>N353-N352</f>
        <v>1035.2197999999999</v>
      </c>
    </row>
    <row r="355" spans="1:15" ht="12.75">
      <c r="A355" s="215" t="s">
        <v>637</v>
      </c>
      <c r="B355" s="324" t="s">
        <v>166</v>
      </c>
      <c r="C355" s="324" t="s">
        <v>167</v>
      </c>
      <c r="D355" s="324" t="s">
        <v>168</v>
      </c>
      <c r="E355" s="324" t="s">
        <v>429</v>
      </c>
      <c r="F355" s="324" t="s">
        <v>170</v>
      </c>
      <c r="G355" s="325" t="s">
        <v>171</v>
      </c>
      <c r="H355" s="326" t="s">
        <v>172</v>
      </c>
      <c r="I355" s="326" t="s">
        <v>173</v>
      </c>
      <c r="J355" s="326" t="s">
        <v>174</v>
      </c>
      <c r="K355" s="326" t="s">
        <v>175</v>
      </c>
      <c r="L355" s="326" t="s">
        <v>176</v>
      </c>
      <c r="M355" s="326" t="s">
        <v>177</v>
      </c>
      <c r="N355" s="327" t="s">
        <v>4</v>
      </c>
      <c r="O355" s="208"/>
    </row>
    <row r="356" spans="1:15" ht="12.75">
      <c r="A356" s="197" t="s">
        <v>152</v>
      </c>
      <c r="B356" s="198">
        <v>1</v>
      </c>
      <c r="C356" s="249" t="s">
        <v>638</v>
      </c>
      <c r="D356" s="200" t="s">
        <v>639</v>
      </c>
      <c r="E356" s="255" t="s">
        <v>640</v>
      </c>
      <c r="F356" s="201" t="s">
        <v>641</v>
      </c>
      <c r="G356" s="203">
        <v>10</v>
      </c>
      <c r="H356" s="204">
        <v>1</v>
      </c>
      <c r="I356" s="204">
        <v>49</v>
      </c>
      <c r="J356" s="250">
        <v>49</v>
      </c>
      <c r="K356" s="256">
        <v>0.63</v>
      </c>
      <c r="L356" s="205"/>
      <c r="M356" s="205">
        <v>49</v>
      </c>
      <c r="N356" s="205">
        <f>M356*31.67</f>
        <v>1551.8300000000002</v>
      </c>
      <c r="O356" s="208"/>
    </row>
    <row r="357" spans="1:15" ht="12.75">
      <c r="A357" s="197"/>
      <c r="B357" s="198">
        <f>B356+1</f>
        <v>2</v>
      </c>
      <c r="C357" s="249" t="s">
        <v>642</v>
      </c>
      <c r="D357" s="200" t="s">
        <v>643</v>
      </c>
      <c r="E357" s="255" t="s">
        <v>644</v>
      </c>
      <c r="F357" s="201" t="s">
        <v>645</v>
      </c>
      <c r="G357" s="203">
        <v>10</v>
      </c>
      <c r="H357" s="204">
        <v>1</v>
      </c>
      <c r="I357" s="204">
        <v>54.5</v>
      </c>
      <c r="J357" s="250">
        <f>H357*I357</f>
        <v>54.5</v>
      </c>
      <c r="K357" s="256">
        <v>0.63</v>
      </c>
      <c r="L357" s="205"/>
      <c r="M357" s="205">
        <f>SUM(J357:L357)</f>
        <v>55.13</v>
      </c>
      <c r="N357" s="205">
        <f>M357*31.67</f>
        <v>1745.9671</v>
      </c>
      <c r="O357" s="208"/>
    </row>
    <row r="358" spans="1:15" ht="12.75">
      <c r="A358" s="197"/>
      <c r="B358" s="198">
        <f>B357+1</f>
        <v>3</v>
      </c>
      <c r="C358" s="249" t="s">
        <v>646</v>
      </c>
      <c r="D358" s="200" t="s">
        <v>647</v>
      </c>
      <c r="E358" s="255" t="s">
        <v>648</v>
      </c>
      <c r="F358" s="201" t="s">
        <v>649</v>
      </c>
      <c r="G358" s="203">
        <v>10</v>
      </c>
      <c r="H358" s="204">
        <v>1</v>
      </c>
      <c r="I358" s="204">
        <v>62.27</v>
      </c>
      <c r="J358" s="250">
        <f>H358*I358</f>
        <v>62.27</v>
      </c>
      <c r="K358" s="256">
        <v>0.63</v>
      </c>
      <c r="L358" s="205"/>
      <c r="M358" s="205">
        <f>SUM(J358:L358)</f>
        <v>62.900000000000006</v>
      </c>
      <c r="N358" s="205">
        <f>M358*31.67</f>
        <v>1992.0430000000003</v>
      </c>
      <c r="O358" s="208"/>
    </row>
    <row r="359" spans="1:15" ht="12.75">
      <c r="A359" s="208"/>
      <c r="B359" s="208"/>
      <c r="C359" s="209"/>
      <c r="D359" s="209"/>
      <c r="E359" s="208"/>
      <c r="F359" s="208"/>
      <c r="G359" s="208"/>
      <c r="H359" s="208"/>
      <c r="I359" s="208"/>
      <c r="J359" s="211">
        <f>SUM(J356:J358)</f>
        <v>165.77</v>
      </c>
      <c r="K359" s="211">
        <f>SUM(K356:K358)</f>
        <v>1.8900000000000001</v>
      </c>
      <c r="L359" s="211">
        <f>SUM(L356:L358)</f>
        <v>0</v>
      </c>
      <c r="M359" s="211">
        <f>SUM(M356:M358)</f>
        <v>167.03</v>
      </c>
      <c r="N359" s="211">
        <f>SUM(N356:N358)</f>
        <v>5289.8401</v>
      </c>
      <c r="O359" s="208"/>
    </row>
    <row r="360" spans="1:15" ht="12.75">
      <c r="A360" s="208"/>
      <c r="B360" s="208"/>
      <c r="C360" s="209"/>
      <c r="D360" s="209"/>
      <c r="E360" s="208"/>
      <c r="F360" s="208"/>
      <c r="G360" s="208"/>
      <c r="H360" s="208"/>
      <c r="I360" s="208"/>
      <c r="J360" s="212"/>
      <c r="K360" s="212"/>
      <c r="L360" s="211"/>
      <c r="M360" s="213" t="s">
        <v>191</v>
      </c>
      <c r="N360" s="214">
        <v>7000</v>
      </c>
      <c r="O360" s="208"/>
    </row>
    <row r="361" spans="1:15" ht="12.75">
      <c r="A361" s="208"/>
      <c r="B361" s="208"/>
      <c r="C361" s="209"/>
      <c r="D361" s="209"/>
      <c r="E361" s="208"/>
      <c r="F361" s="208"/>
      <c r="G361" s="208"/>
      <c r="H361" s="208"/>
      <c r="I361" s="208"/>
      <c r="J361" s="208"/>
      <c r="K361" s="208"/>
      <c r="L361" s="208"/>
      <c r="M361" s="213" t="s">
        <v>192</v>
      </c>
      <c r="N361" s="214">
        <f>N360-N359</f>
        <v>1710.1598999999997</v>
      </c>
      <c r="O361" s="208"/>
    </row>
    <row r="362" spans="1:14" ht="12.75">
      <c r="A362" s="275" t="s">
        <v>650</v>
      </c>
      <c r="B362" s="276" t="s">
        <v>166</v>
      </c>
      <c r="C362" s="276" t="s">
        <v>167</v>
      </c>
      <c r="D362" s="276" t="s">
        <v>168</v>
      </c>
      <c r="E362" s="276" t="s">
        <v>429</v>
      </c>
      <c r="F362" s="276" t="s">
        <v>170</v>
      </c>
      <c r="G362" s="277" t="s">
        <v>171</v>
      </c>
      <c r="H362" s="278" t="s">
        <v>172</v>
      </c>
      <c r="I362" s="278" t="s">
        <v>173</v>
      </c>
      <c r="J362" s="278" t="s">
        <v>174</v>
      </c>
      <c r="K362" s="279" t="s">
        <v>175</v>
      </c>
      <c r="L362" s="279" t="s">
        <v>176</v>
      </c>
      <c r="M362" s="279" t="s">
        <v>177</v>
      </c>
      <c r="N362" s="280" t="s">
        <v>4</v>
      </c>
    </row>
    <row r="363" spans="1:14" ht="12.75">
      <c r="A363" s="281" t="s">
        <v>152</v>
      </c>
      <c r="B363" s="314">
        <v>1</v>
      </c>
      <c r="C363" s="315" t="s">
        <v>651</v>
      </c>
      <c r="D363" s="316" t="s">
        <v>652</v>
      </c>
      <c r="E363" s="317" t="s">
        <v>653</v>
      </c>
      <c r="F363" s="318" t="s">
        <v>654</v>
      </c>
      <c r="G363" s="319" t="s">
        <v>655</v>
      </c>
      <c r="H363" s="320">
        <v>1</v>
      </c>
      <c r="I363" s="320">
        <v>24.75</v>
      </c>
      <c r="J363" s="321">
        <f>H363*I363</f>
        <v>24.75</v>
      </c>
      <c r="K363" s="322">
        <v>0.63</v>
      </c>
      <c r="L363" s="323"/>
      <c r="M363" s="323">
        <f>SUM(J363:L363)</f>
        <v>25.38</v>
      </c>
      <c r="N363" s="323">
        <f>M363*31.67</f>
        <v>803.7846000000001</v>
      </c>
    </row>
    <row r="364" spans="1:14" ht="12.75">
      <c r="A364" s="281"/>
      <c r="B364" s="314">
        <v>2</v>
      </c>
      <c r="C364" s="315" t="s">
        <v>656</v>
      </c>
      <c r="D364" s="316" t="s">
        <v>657</v>
      </c>
      <c r="E364" s="317" t="s">
        <v>658</v>
      </c>
      <c r="F364" s="318" t="s">
        <v>307</v>
      </c>
      <c r="G364" s="319" t="s">
        <v>659</v>
      </c>
      <c r="H364" s="320">
        <v>1</v>
      </c>
      <c r="I364" s="320">
        <v>25.2</v>
      </c>
      <c r="J364" s="321">
        <f>H364*I364</f>
        <v>25.2</v>
      </c>
      <c r="K364" s="322">
        <v>0.63</v>
      </c>
      <c r="L364" s="323"/>
      <c r="M364" s="323">
        <f>SUM(J364:L364)</f>
        <v>25.83</v>
      </c>
      <c r="N364" s="323">
        <f>M364*31.67</f>
        <v>818.0361</v>
      </c>
    </row>
    <row r="365" spans="1:14" ht="12.75">
      <c r="A365" s="281"/>
      <c r="B365" s="314">
        <v>3</v>
      </c>
      <c r="C365" s="315" t="s">
        <v>660</v>
      </c>
      <c r="D365" s="316" t="s">
        <v>661</v>
      </c>
      <c r="E365" s="317" t="s">
        <v>662</v>
      </c>
      <c r="F365" s="318" t="s">
        <v>663</v>
      </c>
      <c r="G365" s="319">
        <v>7.5</v>
      </c>
      <c r="H365" s="320">
        <v>1</v>
      </c>
      <c r="I365" s="320">
        <v>47.6</v>
      </c>
      <c r="J365" s="321">
        <f>H365*I365</f>
        <v>47.6</v>
      </c>
      <c r="K365" s="322">
        <v>0.63</v>
      </c>
      <c r="L365" s="323"/>
      <c r="M365" s="323">
        <f>SUM(J365:L365)</f>
        <v>48.230000000000004</v>
      </c>
      <c r="N365" s="323">
        <f>M365*31.67</f>
        <v>1527.4441000000002</v>
      </c>
    </row>
    <row r="366" spans="1:14" ht="12.75">
      <c r="A366" s="281"/>
      <c r="B366" s="314">
        <v>4</v>
      </c>
      <c r="C366" s="315" t="s">
        <v>664</v>
      </c>
      <c r="D366" s="316" t="s">
        <v>665</v>
      </c>
      <c r="E366" s="317" t="s">
        <v>666</v>
      </c>
      <c r="F366" s="318" t="s">
        <v>667</v>
      </c>
      <c r="G366" s="319" t="s">
        <v>668</v>
      </c>
      <c r="H366" s="320">
        <v>1</v>
      </c>
      <c r="I366" s="320">
        <v>42.25</v>
      </c>
      <c r="J366" s="321">
        <f>H366*I366</f>
        <v>42.25</v>
      </c>
      <c r="K366" s="322">
        <v>0.63</v>
      </c>
      <c r="L366" s="323"/>
      <c r="M366" s="323">
        <f>SUM(J366:L366)</f>
        <v>42.88</v>
      </c>
      <c r="N366" s="323">
        <f>M366*31.67</f>
        <v>1358.0096</v>
      </c>
    </row>
    <row r="367" spans="7:14" ht="12.75">
      <c r="G367" s="1"/>
      <c r="J367" s="301">
        <f>SUM(J363:J366)</f>
        <v>139.8</v>
      </c>
      <c r="K367" s="301">
        <f>SUM(K363:K366)</f>
        <v>2.52</v>
      </c>
      <c r="L367" s="301">
        <f>SUM(L363:L366)</f>
        <v>0</v>
      </c>
      <c r="M367" s="301">
        <f>SUM(M363:M366)</f>
        <v>142.32</v>
      </c>
      <c r="N367" s="301">
        <f>SUM(N363:N366)</f>
        <v>4507.2744</v>
      </c>
    </row>
    <row r="368" spans="7:14" ht="12.75">
      <c r="G368" s="1"/>
      <c r="J368" s="302"/>
      <c r="K368" s="302"/>
      <c r="L368" s="303"/>
      <c r="M368" s="304" t="s">
        <v>191</v>
      </c>
      <c r="N368" s="305">
        <v>6000</v>
      </c>
    </row>
    <row r="369" spans="3:14" ht="12.75">
      <c r="C369" s="306"/>
      <c r="G369" s="1"/>
      <c r="M369" s="307" t="s">
        <v>192</v>
      </c>
      <c r="N369" s="308">
        <f>N368-N367</f>
        <v>1492.7255999999998</v>
      </c>
    </row>
    <row r="370" spans="1:14" ht="12.75">
      <c r="A370" s="328" t="s">
        <v>669</v>
      </c>
      <c r="B370" s="276" t="s">
        <v>166</v>
      </c>
      <c r="C370" s="276" t="s">
        <v>167</v>
      </c>
      <c r="D370" s="276" t="s">
        <v>168</v>
      </c>
      <c r="E370" s="276" t="s">
        <v>429</v>
      </c>
      <c r="F370" s="276" t="s">
        <v>170</v>
      </c>
      <c r="G370" s="277" t="s">
        <v>171</v>
      </c>
      <c r="H370" s="278" t="s">
        <v>172</v>
      </c>
      <c r="I370" s="278" t="s">
        <v>173</v>
      </c>
      <c r="J370" s="278" t="s">
        <v>174</v>
      </c>
      <c r="K370" s="279" t="s">
        <v>175</v>
      </c>
      <c r="L370" s="279" t="s">
        <v>176</v>
      </c>
      <c r="M370" s="279" t="s">
        <v>177</v>
      </c>
      <c r="N370" s="280" t="s">
        <v>4</v>
      </c>
    </row>
    <row r="371" spans="1:14" ht="12.75">
      <c r="A371" s="281" t="s">
        <v>670</v>
      </c>
      <c r="B371" s="282">
        <v>1</v>
      </c>
      <c r="C371" s="283" t="s">
        <v>671</v>
      </c>
      <c r="D371" s="284" t="s">
        <v>672</v>
      </c>
      <c r="E371" s="329" t="s">
        <v>673</v>
      </c>
      <c r="F371" s="286" t="s">
        <v>674</v>
      </c>
      <c r="G371" s="287" t="s">
        <v>231</v>
      </c>
      <c r="H371" s="288">
        <v>1</v>
      </c>
      <c r="I371" s="288">
        <v>27.9</v>
      </c>
      <c r="J371" s="289">
        <f>H371*I371</f>
        <v>27.9</v>
      </c>
      <c r="K371" s="289"/>
      <c r="L371" s="291"/>
      <c r="M371" s="291">
        <f>SUM(J371:L371)</f>
        <v>27.9</v>
      </c>
      <c r="N371" s="291"/>
    </row>
    <row r="372" spans="1:14" ht="12.75">
      <c r="A372" s="281"/>
      <c r="B372" s="282">
        <v>2</v>
      </c>
      <c r="C372" s="283" t="s">
        <v>675</v>
      </c>
      <c r="D372" s="284" t="s">
        <v>676</v>
      </c>
      <c r="E372" s="329" t="s">
        <v>677</v>
      </c>
      <c r="F372" s="286" t="s">
        <v>678</v>
      </c>
      <c r="G372" s="287">
        <v>7.5</v>
      </c>
      <c r="H372" s="288">
        <v>1</v>
      </c>
      <c r="I372" s="288">
        <v>59.9</v>
      </c>
      <c r="J372" s="289">
        <f>H372*I372</f>
        <v>59.9</v>
      </c>
      <c r="K372" s="289"/>
      <c r="L372" s="291"/>
      <c r="M372" s="291">
        <f>SUM(J372:L372)</f>
        <v>59.9</v>
      </c>
      <c r="N372" s="291"/>
    </row>
    <row r="373" spans="1:16" ht="12.75">
      <c r="A373" s="281"/>
      <c r="B373" s="330">
        <v>3</v>
      </c>
      <c r="C373" s="331" t="s">
        <v>679</v>
      </c>
      <c r="D373" s="332" t="s">
        <v>680</v>
      </c>
      <c r="E373" s="333" t="s">
        <v>681</v>
      </c>
      <c r="F373" s="334" t="s">
        <v>682</v>
      </c>
      <c r="G373" s="335">
        <v>8</v>
      </c>
      <c r="H373" s="336">
        <v>1</v>
      </c>
      <c r="I373" s="336">
        <v>120</v>
      </c>
      <c r="J373" s="337">
        <f>H373*I373</f>
        <v>120</v>
      </c>
      <c r="K373" s="337"/>
      <c r="L373" s="338"/>
      <c r="M373" s="338">
        <f>SUM(J373:L373)</f>
        <v>120</v>
      </c>
      <c r="N373" s="338"/>
      <c r="O373" s="339">
        <v>3836.65</v>
      </c>
      <c r="P373"/>
    </row>
    <row r="374" spans="7:14" ht="12.75">
      <c r="G374" s="1"/>
      <c r="J374" s="301">
        <f>SUM(J371:J373)</f>
        <v>207.8</v>
      </c>
      <c r="K374" s="301">
        <f>SUM(K371:K373)</f>
        <v>0</v>
      </c>
      <c r="L374" s="301">
        <f>SUM(L371:L373)</f>
        <v>0</v>
      </c>
      <c r="M374" s="301">
        <f>SUM(M371:M373)</f>
        <v>207.8</v>
      </c>
      <c r="N374" s="340">
        <f>M374*32</f>
        <v>6649.6</v>
      </c>
    </row>
    <row r="375" spans="7:14" ht="12.75">
      <c r="G375" s="1"/>
      <c r="J375" s="302"/>
      <c r="K375" s="302"/>
      <c r="L375" s="303"/>
      <c r="M375" s="304" t="s">
        <v>191</v>
      </c>
      <c r="N375" s="305">
        <v>7500</v>
      </c>
    </row>
    <row r="376" spans="3:14" ht="12.75">
      <c r="C376" s="306"/>
      <c r="G376" s="1"/>
      <c r="M376" s="307" t="s">
        <v>192</v>
      </c>
      <c r="N376" s="308">
        <f>N375-N374</f>
        <v>850.3999999999996</v>
      </c>
    </row>
    <row r="377" spans="1:15" ht="12.75">
      <c r="A377" s="215" t="s">
        <v>683</v>
      </c>
      <c r="B377" s="192" t="s">
        <v>166</v>
      </c>
      <c r="C377" s="192" t="s">
        <v>167</v>
      </c>
      <c r="D377" s="192" t="s">
        <v>168</v>
      </c>
      <c r="E377" s="192" t="s">
        <v>429</v>
      </c>
      <c r="F377" s="192" t="s">
        <v>170</v>
      </c>
      <c r="G377" s="193" t="s">
        <v>171</v>
      </c>
      <c r="H377" s="194" t="s">
        <v>172</v>
      </c>
      <c r="I377" s="194" t="s">
        <v>173</v>
      </c>
      <c r="J377" s="194" t="s">
        <v>174</v>
      </c>
      <c r="K377" s="195" t="s">
        <v>175</v>
      </c>
      <c r="L377" s="195" t="s">
        <v>176</v>
      </c>
      <c r="M377" s="195" t="s">
        <v>177</v>
      </c>
      <c r="N377" s="196" t="s">
        <v>4</v>
      </c>
      <c r="O377" s="208"/>
    </row>
    <row r="378" spans="1:15" ht="12.75">
      <c r="A378" s="197" t="s">
        <v>128</v>
      </c>
      <c r="B378" s="198">
        <v>1</v>
      </c>
      <c r="C378" s="258" t="s">
        <v>684</v>
      </c>
      <c r="D378" s="200"/>
      <c r="E378" s="255" t="s">
        <v>685</v>
      </c>
      <c r="F378" s="201" t="s">
        <v>686</v>
      </c>
      <c r="G378" s="203" t="s">
        <v>687</v>
      </c>
      <c r="H378" s="204">
        <v>1</v>
      </c>
      <c r="I378" s="204">
        <v>116</v>
      </c>
      <c r="J378" s="250">
        <f>H378*I378</f>
        <v>116</v>
      </c>
      <c r="K378" s="256">
        <v>11</v>
      </c>
      <c r="L378" s="205">
        <v>0</v>
      </c>
      <c r="M378" s="205">
        <f>SUM(J378:L378)</f>
        <v>127</v>
      </c>
      <c r="N378" s="205">
        <v>4015.74</v>
      </c>
      <c r="O378" s="208"/>
    </row>
    <row r="379" spans="1:15" ht="12.75">
      <c r="A379" s="208"/>
      <c r="B379" s="208"/>
      <c r="C379" s="209"/>
      <c r="D379" s="209"/>
      <c r="E379" s="208"/>
      <c r="F379" s="208"/>
      <c r="G379" s="208"/>
      <c r="H379" s="208"/>
      <c r="I379" s="208"/>
      <c r="J379" s="211" t="s">
        <v>688</v>
      </c>
      <c r="K379" s="211">
        <f>SUM(K378:K378)</f>
        <v>11</v>
      </c>
      <c r="L379" s="211">
        <f>SUM(L378:L378)</f>
        <v>0</v>
      </c>
      <c r="M379" s="211">
        <f>SUM(M378:M378)</f>
        <v>127</v>
      </c>
      <c r="N379" s="211">
        <f>SUM(N378:N378)</f>
        <v>4015.74</v>
      </c>
      <c r="O379" s="208"/>
    </row>
    <row r="380" spans="1:15" ht="12.75">
      <c r="A380" s="208"/>
      <c r="B380" s="208"/>
      <c r="C380" s="209"/>
      <c r="D380" s="209"/>
      <c r="E380" s="208"/>
      <c r="F380" s="208"/>
      <c r="G380" s="208"/>
      <c r="H380" s="208"/>
      <c r="I380" s="208"/>
      <c r="J380" s="212"/>
      <c r="K380" s="212"/>
      <c r="L380" s="211"/>
      <c r="M380" s="213" t="s">
        <v>191</v>
      </c>
      <c r="N380" s="214">
        <v>4200</v>
      </c>
      <c r="O380" s="208"/>
    </row>
    <row r="381" spans="1:15" ht="12.75">
      <c r="A381" s="208"/>
      <c r="B381" s="208"/>
      <c r="C381" s="209"/>
      <c r="D381" s="209"/>
      <c r="E381" s="208"/>
      <c r="F381" s="208"/>
      <c r="G381" s="208"/>
      <c r="H381" s="208"/>
      <c r="I381" s="208"/>
      <c r="J381" s="208"/>
      <c r="K381" s="208"/>
      <c r="L381" s="208"/>
      <c r="M381" s="213" t="s">
        <v>192</v>
      </c>
      <c r="N381" s="214">
        <f>N380-N379</f>
        <v>184.26000000000022</v>
      </c>
      <c r="O381" s="208"/>
    </row>
    <row r="382" spans="1:15" ht="12.75">
      <c r="A382" s="215" t="s">
        <v>90</v>
      </c>
      <c r="B382" s="192" t="s">
        <v>166</v>
      </c>
      <c r="C382" s="192" t="s">
        <v>167</v>
      </c>
      <c r="D382" s="192" t="s">
        <v>168</v>
      </c>
      <c r="E382" s="192" t="s">
        <v>429</v>
      </c>
      <c r="F382" s="192" t="s">
        <v>170</v>
      </c>
      <c r="G382" s="193" t="s">
        <v>171</v>
      </c>
      <c r="H382" s="194" t="s">
        <v>172</v>
      </c>
      <c r="I382" s="194" t="s">
        <v>173</v>
      </c>
      <c r="J382" s="194" t="s">
        <v>174</v>
      </c>
      <c r="K382" s="195" t="s">
        <v>175</v>
      </c>
      <c r="L382" s="195" t="s">
        <v>176</v>
      </c>
      <c r="M382" s="195" t="s">
        <v>177</v>
      </c>
      <c r="N382" s="196" t="s">
        <v>4</v>
      </c>
      <c r="O382" s="208"/>
    </row>
    <row r="383" spans="1:15" ht="12.75">
      <c r="A383" s="197" t="s">
        <v>145</v>
      </c>
      <c r="B383" s="198">
        <v>1</v>
      </c>
      <c r="C383" s="249" t="s">
        <v>689</v>
      </c>
      <c r="D383" s="200" t="s">
        <v>273</v>
      </c>
      <c r="E383" s="255" t="s">
        <v>274</v>
      </c>
      <c r="F383" s="201" t="s">
        <v>690</v>
      </c>
      <c r="G383" s="203" t="s">
        <v>691</v>
      </c>
      <c r="H383" s="204">
        <v>1</v>
      </c>
      <c r="I383" s="204">
        <v>59.99</v>
      </c>
      <c r="J383" s="250">
        <f>H383*I383</f>
        <v>59.99</v>
      </c>
      <c r="K383" s="256"/>
      <c r="L383" s="205"/>
      <c r="M383" s="205">
        <f>SUM(J383:L383)</f>
        <v>59.99</v>
      </c>
      <c r="N383" s="205"/>
      <c r="O383" s="208"/>
    </row>
    <row r="384" spans="1:16" ht="12.75">
      <c r="A384" s="197"/>
      <c r="B384" s="198">
        <v>2</v>
      </c>
      <c r="C384" s="249" t="s">
        <v>692</v>
      </c>
      <c r="D384" s="200" t="s">
        <v>693</v>
      </c>
      <c r="E384" s="255" t="s">
        <v>694</v>
      </c>
      <c r="F384" s="201" t="s">
        <v>695</v>
      </c>
      <c r="G384" s="203" t="s">
        <v>696</v>
      </c>
      <c r="H384" s="204">
        <v>1</v>
      </c>
      <c r="I384" s="204">
        <v>14.99</v>
      </c>
      <c r="J384" s="250">
        <f>H384*I384</f>
        <v>14.99</v>
      </c>
      <c r="K384" s="256">
        <v>10.95</v>
      </c>
      <c r="L384" s="205"/>
      <c r="M384" s="205">
        <f>SUM(J384:L384)</f>
        <v>25.939999999999998</v>
      </c>
      <c r="N384" s="205"/>
      <c r="O384" s="208"/>
      <c r="P384" s="113"/>
    </row>
    <row r="385" spans="1:15" ht="12.75">
      <c r="A385" s="208"/>
      <c r="B385" s="208"/>
      <c r="C385" s="209"/>
      <c r="D385" s="209"/>
      <c r="E385" s="208"/>
      <c r="F385" s="208"/>
      <c r="G385" s="208"/>
      <c r="H385" s="208"/>
      <c r="I385" s="208"/>
      <c r="J385" s="211">
        <f>SUM(J383:J384)</f>
        <v>74.98</v>
      </c>
      <c r="K385" s="211">
        <f>SUM(K383:K384)</f>
        <v>10.95</v>
      </c>
      <c r="L385" s="211">
        <f>SUM(L383:L384)</f>
        <v>0</v>
      </c>
      <c r="M385" s="211">
        <f>SUM(M383:M384)</f>
        <v>85.93</v>
      </c>
      <c r="N385" s="211">
        <v>2745.2</v>
      </c>
      <c r="O385" s="208"/>
    </row>
    <row r="386" spans="1:15" ht="12.75">
      <c r="A386" s="208"/>
      <c r="B386" s="208"/>
      <c r="C386" s="209"/>
      <c r="D386" s="209"/>
      <c r="E386" s="208"/>
      <c r="F386" s="208"/>
      <c r="G386" s="208"/>
      <c r="H386" s="208"/>
      <c r="I386" s="208"/>
      <c r="J386" s="212"/>
      <c r="K386" s="212"/>
      <c r="L386" s="211"/>
      <c r="M386" s="213" t="s">
        <v>191</v>
      </c>
      <c r="N386" s="214">
        <f>2000+1200-336</f>
        <v>2864</v>
      </c>
      <c r="O386" s="208" t="s">
        <v>697</v>
      </c>
    </row>
    <row r="387" spans="1:15" ht="12.75">
      <c r="A387" s="208"/>
      <c r="B387" s="208"/>
      <c r="C387" s="209"/>
      <c r="D387" s="209"/>
      <c r="E387" s="208"/>
      <c r="F387" s="208"/>
      <c r="G387" s="208"/>
      <c r="H387" s="208"/>
      <c r="I387" s="208"/>
      <c r="J387" s="208"/>
      <c r="K387" s="208"/>
      <c r="L387" s="208"/>
      <c r="M387" s="213" t="s">
        <v>192</v>
      </c>
      <c r="N387" s="214">
        <f>N386-N385</f>
        <v>118.80000000000018</v>
      </c>
      <c r="O387" s="208"/>
    </row>
    <row r="388" spans="1:14" ht="12.75">
      <c r="A388" s="275" t="s">
        <v>698</v>
      </c>
      <c r="B388" s="341" t="s">
        <v>166</v>
      </c>
      <c r="C388" s="341" t="s">
        <v>167</v>
      </c>
      <c r="D388" s="341" t="s">
        <v>168</v>
      </c>
      <c r="E388" s="341" t="s">
        <v>429</v>
      </c>
      <c r="F388" s="341" t="s">
        <v>170</v>
      </c>
      <c r="G388" s="342" t="s">
        <v>171</v>
      </c>
      <c r="H388" s="279" t="s">
        <v>172</v>
      </c>
      <c r="I388" s="279" t="s">
        <v>173</v>
      </c>
      <c r="J388" s="279" t="s">
        <v>174</v>
      </c>
      <c r="K388" s="279" t="s">
        <v>175</v>
      </c>
      <c r="L388" s="279" t="s">
        <v>176</v>
      </c>
      <c r="M388" s="279" t="s">
        <v>177</v>
      </c>
      <c r="N388" s="280" t="s">
        <v>4</v>
      </c>
    </row>
    <row r="389" spans="1:16" ht="12.75">
      <c r="A389" s="281" t="s">
        <v>540</v>
      </c>
      <c r="B389" s="343">
        <v>1</v>
      </c>
      <c r="C389" s="344"/>
      <c r="D389" s="345"/>
      <c r="E389" s="346" t="s">
        <v>699</v>
      </c>
      <c r="F389" s="347"/>
      <c r="G389" s="348" t="s">
        <v>700</v>
      </c>
      <c r="H389" s="349">
        <v>1</v>
      </c>
      <c r="I389" s="349">
        <v>44.99</v>
      </c>
      <c r="J389" s="350">
        <f>H389*I389</f>
        <v>44.99</v>
      </c>
      <c r="K389" s="351">
        <v>9.99</v>
      </c>
      <c r="L389" s="352"/>
      <c r="M389" s="352">
        <f>SUM(J389:L389)</f>
        <v>54.980000000000004</v>
      </c>
      <c r="N389" s="352">
        <v>1786.3</v>
      </c>
      <c r="P389" s="113"/>
    </row>
    <row r="390" spans="1:16" ht="12.75">
      <c r="A390" s="281"/>
      <c r="B390" s="330">
        <v>2</v>
      </c>
      <c r="C390" s="331"/>
      <c r="D390" s="332"/>
      <c r="E390" s="333" t="s">
        <v>701</v>
      </c>
      <c r="F390" s="334"/>
      <c r="G390" s="335"/>
      <c r="H390" s="336">
        <v>1</v>
      </c>
      <c r="I390" s="336">
        <v>12.99</v>
      </c>
      <c r="J390" s="337">
        <f>H390*I390</f>
        <v>12.99</v>
      </c>
      <c r="K390" s="353">
        <v>5.8</v>
      </c>
      <c r="L390" s="338"/>
      <c r="M390" s="338">
        <f>SUM(J390:L390)</f>
        <v>18.79</v>
      </c>
      <c r="N390" s="338">
        <v>608.34</v>
      </c>
      <c r="P390" s="113"/>
    </row>
    <row r="391" spans="1:14" ht="12.75">
      <c r="A391"/>
      <c r="B391"/>
      <c r="C391" s="354"/>
      <c r="D391" s="354"/>
      <c r="E391"/>
      <c r="F391"/>
      <c r="G391"/>
      <c r="H391"/>
      <c r="I391"/>
      <c r="J391" s="301">
        <f>SUM(J389:J390)</f>
        <v>57.980000000000004</v>
      </c>
      <c r="K391" s="301">
        <f>SUM(K389:K390)</f>
        <v>15.79</v>
      </c>
      <c r="L391" s="301">
        <f>SUM(L389:L390)</f>
        <v>0</v>
      </c>
      <c r="M391" s="301">
        <f>SUM(M389:M390)</f>
        <v>73.77000000000001</v>
      </c>
      <c r="N391" s="301">
        <f>SUM(N389:N390)</f>
        <v>2394.64</v>
      </c>
    </row>
    <row r="392" spans="1:14" ht="12.75">
      <c r="A392"/>
      <c r="B392"/>
      <c r="C392" s="354"/>
      <c r="D392" s="354"/>
      <c r="E392"/>
      <c r="F392"/>
      <c r="G392"/>
      <c r="H392"/>
      <c r="I392"/>
      <c r="J392" s="302"/>
      <c r="K392" s="302"/>
      <c r="L392" s="303"/>
      <c r="M392" s="304" t="s">
        <v>191</v>
      </c>
      <c r="N392" s="305">
        <f>709+1000+600</f>
        <v>2309</v>
      </c>
    </row>
    <row r="393" spans="1:14" ht="12.75">
      <c r="A393"/>
      <c r="B393"/>
      <c r="C393" s="306"/>
      <c r="D393" s="354"/>
      <c r="E393"/>
      <c r="F393"/>
      <c r="G393"/>
      <c r="H393"/>
      <c r="I393"/>
      <c r="J393"/>
      <c r="K393"/>
      <c r="L393"/>
      <c r="M393" s="307" t="s">
        <v>192</v>
      </c>
      <c r="N393" s="308">
        <f>N392-N391</f>
        <v>-85.63999999999987</v>
      </c>
    </row>
    <row r="394" spans="1:14" ht="22.5">
      <c r="A394" s="275" t="s">
        <v>702</v>
      </c>
      <c r="B394" s="341" t="s">
        <v>166</v>
      </c>
      <c r="C394" s="341" t="s">
        <v>167</v>
      </c>
      <c r="D394" s="341" t="s">
        <v>168</v>
      </c>
      <c r="E394" s="341" t="s">
        <v>429</v>
      </c>
      <c r="F394" s="341" t="s">
        <v>170</v>
      </c>
      <c r="G394" s="342" t="s">
        <v>171</v>
      </c>
      <c r="H394" s="279" t="s">
        <v>172</v>
      </c>
      <c r="I394" s="279" t="s">
        <v>173</v>
      </c>
      <c r="J394" s="279" t="s">
        <v>174</v>
      </c>
      <c r="K394" s="279" t="s">
        <v>175</v>
      </c>
      <c r="L394" s="279" t="s">
        <v>176</v>
      </c>
      <c r="M394" s="279" t="s">
        <v>177</v>
      </c>
      <c r="N394" s="280" t="s">
        <v>4</v>
      </c>
    </row>
    <row r="395" spans="1:16" ht="12.75">
      <c r="A395" s="281" t="s">
        <v>96</v>
      </c>
      <c r="B395" s="330">
        <v>1</v>
      </c>
      <c r="C395" s="331" t="s">
        <v>703</v>
      </c>
      <c r="D395" s="332" t="s">
        <v>704</v>
      </c>
      <c r="E395" s="355" t="s">
        <v>705</v>
      </c>
      <c r="F395" s="334" t="s">
        <v>706</v>
      </c>
      <c r="G395" s="335" t="s">
        <v>283</v>
      </c>
      <c r="H395" s="336">
        <v>1</v>
      </c>
      <c r="I395" s="336">
        <v>118.65</v>
      </c>
      <c r="J395" s="337">
        <f>H395*I395</f>
        <v>118.65</v>
      </c>
      <c r="K395" s="353"/>
      <c r="L395" s="338">
        <f>J395*0.0975</f>
        <v>11.568375000000001</v>
      </c>
      <c r="M395" s="338">
        <f>SUM(J395:L395)</f>
        <v>130.218375</v>
      </c>
      <c r="N395" s="338">
        <v>4267.54</v>
      </c>
      <c r="P395" s="113"/>
    </row>
    <row r="396" spans="1:16" ht="12.75">
      <c r="A396" s="281" t="s">
        <v>47</v>
      </c>
      <c r="B396" s="343">
        <v>2</v>
      </c>
      <c r="C396" s="344" t="s">
        <v>707</v>
      </c>
      <c r="D396" s="345" t="s">
        <v>643</v>
      </c>
      <c r="E396" s="356" t="s">
        <v>708</v>
      </c>
      <c r="F396" s="347" t="s">
        <v>307</v>
      </c>
      <c r="G396" s="348">
        <v>7</v>
      </c>
      <c r="H396" s="349">
        <v>1</v>
      </c>
      <c r="I396" s="349">
        <v>69.3</v>
      </c>
      <c r="J396" s="350">
        <f>H396*I396</f>
        <v>69.3</v>
      </c>
      <c r="K396" s="351">
        <v>6.95</v>
      </c>
      <c r="L396" s="352"/>
      <c r="M396" s="352">
        <f>SUM(J396:L396)</f>
        <v>76.25</v>
      </c>
      <c r="N396" s="352">
        <v>2438.25</v>
      </c>
      <c r="P396" s="113"/>
    </row>
    <row r="397" spans="1:14" ht="12.75">
      <c r="A397"/>
      <c r="B397"/>
      <c r="C397" s="354"/>
      <c r="D397" s="354"/>
      <c r="E397"/>
      <c r="F397"/>
      <c r="G397"/>
      <c r="H397"/>
      <c r="I397"/>
      <c r="J397" s="301">
        <f>SUM(J395:J396)</f>
        <v>187.95</v>
      </c>
      <c r="K397" s="301">
        <f>SUM(K395:K396)</f>
        <v>6.95</v>
      </c>
      <c r="L397" s="301">
        <f>SUM(L395:L396)</f>
        <v>11.568375000000001</v>
      </c>
      <c r="M397" s="301">
        <f>SUM(M395:M396)</f>
        <v>206.468375</v>
      </c>
      <c r="N397" s="301">
        <f>SUM(N395:N396)</f>
        <v>6705.79</v>
      </c>
    </row>
    <row r="398" spans="1:14" ht="12.75">
      <c r="A398"/>
      <c r="B398"/>
      <c r="C398" s="354"/>
      <c r="D398" s="354"/>
      <c r="E398"/>
      <c r="F398"/>
      <c r="G398"/>
      <c r="H398"/>
      <c r="I398"/>
      <c r="J398" s="302"/>
      <c r="K398" s="302"/>
      <c r="L398" s="303"/>
      <c r="M398" s="304" t="s">
        <v>191</v>
      </c>
      <c r="N398" s="305">
        <f>1750+5000+3000</f>
        <v>9750</v>
      </c>
    </row>
    <row r="399" spans="1:14" ht="12.75">
      <c r="A399"/>
      <c r="B399"/>
      <c r="C399" s="306"/>
      <c r="D399" s="354"/>
      <c r="E399"/>
      <c r="F399"/>
      <c r="G399"/>
      <c r="H399"/>
      <c r="I399"/>
      <c r="J399"/>
      <c r="K399"/>
      <c r="L399"/>
      <c r="M399" s="307" t="s">
        <v>192</v>
      </c>
      <c r="N399" s="308">
        <f>N398-N397</f>
        <v>3044.21</v>
      </c>
    </row>
    <row r="400" spans="1:14" ht="12.75">
      <c r="A400" s="275" t="s">
        <v>48</v>
      </c>
      <c r="B400" s="276" t="s">
        <v>166</v>
      </c>
      <c r="C400" s="276" t="s">
        <v>167</v>
      </c>
      <c r="D400" s="276" t="s">
        <v>168</v>
      </c>
      <c r="E400" s="276" t="s">
        <v>429</v>
      </c>
      <c r="F400" s="276" t="s">
        <v>170</v>
      </c>
      <c r="G400" s="277" t="s">
        <v>171</v>
      </c>
      <c r="H400" s="278" t="s">
        <v>172</v>
      </c>
      <c r="I400" s="278" t="s">
        <v>173</v>
      </c>
      <c r="J400" s="278" t="s">
        <v>174</v>
      </c>
      <c r="K400" s="279" t="s">
        <v>175</v>
      </c>
      <c r="L400" s="279" t="s">
        <v>176</v>
      </c>
      <c r="M400" s="279" t="s">
        <v>177</v>
      </c>
      <c r="N400" s="280" t="s">
        <v>4</v>
      </c>
    </row>
    <row r="401" spans="1:16" ht="12.75">
      <c r="A401" s="281" t="s">
        <v>709</v>
      </c>
      <c r="B401" s="343">
        <v>1</v>
      </c>
      <c r="C401" s="344"/>
      <c r="D401" s="345"/>
      <c r="E401" s="356" t="s">
        <v>710</v>
      </c>
      <c r="F401" s="347"/>
      <c r="G401" s="348"/>
      <c r="H401" s="349">
        <v>1</v>
      </c>
      <c r="I401" s="349">
        <v>112.5</v>
      </c>
      <c r="J401" s="350">
        <f>H401*I401</f>
        <v>112.5</v>
      </c>
      <c r="K401" s="351">
        <v>0</v>
      </c>
      <c r="L401" s="352">
        <v>0</v>
      </c>
      <c r="M401" s="352">
        <f>SUM(J401:L401)</f>
        <v>112.5</v>
      </c>
      <c r="N401" s="352">
        <v>3678.35</v>
      </c>
      <c r="P401" s="113"/>
    </row>
    <row r="402" spans="1:16" ht="12.75">
      <c r="A402" s="281" t="s">
        <v>128</v>
      </c>
      <c r="B402" s="343">
        <v>2</v>
      </c>
      <c r="C402" s="344"/>
      <c r="D402" s="345"/>
      <c r="E402" s="356" t="s">
        <v>711</v>
      </c>
      <c r="F402" s="347"/>
      <c r="G402" s="348"/>
      <c r="H402" s="349">
        <v>1</v>
      </c>
      <c r="I402" s="349">
        <v>104.44</v>
      </c>
      <c r="J402" s="350">
        <f>H402*I402</f>
        <v>104.44</v>
      </c>
      <c r="K402" s="351"/>
      <c r="L402" s="352"/>
      <c r="M402" s="352">
        <f>SUM(J402:L402)</f>
        <v>104.44</v>
      </c>
      <c r="N402" s="352">
        <v>3406.46</v>
      </c>
      <c r="P402" s="113"/>
    </row>
    <row r="403" spans="5:16" ht="12.75">
      <c r="E403" s="357"/>
      <c r="F403" s="357"/>
      <c r="J403" s="301">
        <f>SUM(J401:J402)</f>
        <v>216.94</v>
      </c>
      <c r="K403" s="301">
        <f>SUM(K401:K402)</f>
        <v>0</v>
      </c>
      <c r="L403" s="301">
        <f>SUM(L401:L402)</f>
        <v>0</v>
      </c>
      <c r="M403" s="301">
        <f>SUM(M401:M402)</f>
        <v>216.94</v>
      </c>
      <c r="N403" s="301">
        <f>SUM(N401:N402)</f>
        <v>7084.8099999999995</v>
      </c>
      <c r="P403" s="113"/>
    </row>
    <row r="404" spans="5:14" ht="12.75">
      <c r="E404" s="357"/>
      <c r="F404" s="357"/>
      <c r="J404" s="302"/>
      <c r="K404" s="302"/>
      <c r="L404" s="303"/>
      <c r="M404" s="304" t="s">
        <v>191</v>
      </c>
      <c r="N404" s="305">
        <v>7500</v>
      </c>
    </row>
    <row r="405" spans="1:14" ht="12.75">
      <c r="A405"/>
      <c r="C405" s="306"/>
      <c r="E405" s="357"/>
      <c r="F405" s="357"/>
      <c r="M405" s="307" t="s">
        <v>192</v>
      </c>
      <c r="N405" s="308">
        <f>N404-N403</f>
        <v>415.1900000000005</v>
      </c>
    </row>
    <row r="406" spans="1:14" ht="12.75">
      <c r="A406" s="275" t="s">
        <v>712</v>
      </c>
      <c r="B406" s="276" t="s">
        <v>166</v>
      </c>
      <c r="C406" s="276" t="s">
        <v>167</v>
      </c>
      <c r="D406" s="276" t="s">
        <v>168</v>
      </c>
      <c r="E406" s="276" t="s">
        <v>429</v>
      </c>
      <c r="F406" s="276" t="s">
        <v>170</v>
      </c>
      <c r="G406" s="277" t="s">
        <v>171</v>
      </c>
      <c r="H406" s="278" t="s">
        <v>172</v>
      </c>
      <c r="I406" s="278" t="s">
        <v>173</v>
      </c>
      <c r="J406" s="278" t="s">
        <v>174</v>
      </c>
      <c r="K406" s="279" t="s">
        <v>175</v>
      </c>
      <c r="L406" s="279" t="s">
        <v>176</v>
      </c>
      <c r="M406" s="279" t="s">
        <v>177</v>
      </c>
      <c r="N406" s="280" t="s">
        <v>4</v>
      </c>
    </row>
    <row r="407" spans="1:16" ht="12.75">
      <c r="A407" s="281" t="s">
        <v>549</v>
      </c>
      <c r="B407" s="358">
        <v>1</v>
      </c>
      <c r="C407" s="359" t="s">
        <v>713</v>
      </c>
      <c r="D407" s="360"/>
      <c r="E407" s="361"/>
      <c r="F407" s="362" t="s">
        <v>552</v>
      </c>
      <c r="G407" s="363">
        <v>10</v>
      </c>
      <c r="H407" s="364">
        <v>1</v>
      </c>
      <c r="I407" s="364">
        <v>119.98</v>
      </c>
      <c r="J407" s="365">
        <f>H407*I407</f>
        <v>119.98</v>
      </c>
      <c r="K407" s="366">
        <v>0</v>
      </c>
      <c r="L407" s="367">
        <v>11.7</v>
      </c>
      <c r="M407" s="367">
        <f>SUM(J407:L407)</f>
        <v>131.68</v>
      </c>
      <c r="N407" s="367">
        <v>4246.68</v>
      </c>
      <c r="P407" s="113"/>
    </row>
    <row r="408" spans="10:14" ht="12.75">
      <c r="J408" s="301">
        <f>SUM(J406:J407)</f>
        <v>119.98</v>
      </c>
      <c r="K408" s="301">
        <f>SUM(K406:K407)</f>
        <v>0</v>
      </c>
      <c r="L408" s="301">
        <f>SUM(L406:L407)</f>
        <v>11.7</v>
      </c>
      <c r="M408" s="301">
        <f>SUM(M406:M407)</f>
        <v>131.68</v>
      </c>
      <c r="N408" s="301">
        <f>SUM(N406:N407)</f>
        <v>4246.68</v>
      </c>
    </row>
    <row r="409" spans="10:14" ht="12.75">
      <c r="J409" s="302"/>
      <c r="K409" s="302"/>
      <c r="L409" s="303"/>
      <c r="M409" s="304" t="s">
        <v>191</v>
      </c>
      <c r="N409" s="305">
        <v>3500</v>
      </c>
    </row>
    <row r="410" spans="13:14" ht="12.75">
      <c r="M410" s="307" t="s">
        <v>192</v>
      </c>
      <c r="N410" s="308">
        <f>N409-N408</f>
        <v>-746.6800000000003</v>
      </c>
    </row>
    <row r="411" spans="1:14" ht="12.75">
      <c r="A411" s="275" t="s">
        <v>714</v>
      </c>
      <c r="B411" s="276" t="s">
        <v>166</v>
      </c>
      <c r="C411" s="276" t="s">
        <v>167</v>
      </c>
      <c r="D411" s="276" t="s">
        <v>168</v>
      </c>
      <c r="E411" s="276" t="s">
        <v>429</v>
      </c>
      <c r="F411" s="276" t="s">
        <v>170</v>
      </c>
      <c r="G411" s="277" t="s">
        <v>171</v>
      </c>
      <c r="H411" s="278" t="s">
        <v>172</v>
      </c>
      <c r="I411" s="278" t="s">
        <v>173</v>
      </c>
      <c r="J411" s="278" t="s">
        <v>174</v>
      </c>
      <c r="K411" s="279" t="s">
        <v>175</v>
      </c>
      <c r="L411" s="279" t="s">
        <v>176</v>
      </c>
      <c r="M411" s="279" t="s">
        <v>177</v>
      </c>
      <c r="N411" s="280" t="s">
        <v>4</v>
      </c>
    </row>
    <row r="412" spans="1:15" ht="12.75">
      <c r="A412" s="281" t="s">
        <v>128</v>
      </c>
      <c r="B412" s="368">
        <v>1</v>
      </c>
      <c r="C412" s="369" t="s">
        <v>715</v>
      </c>
      <c r="D412" s="370"/>
      <c r="E412" s="371" t="s">
        <v>716</v>
      </c>
      <c r="F412" s="372"/>
      <c r="G412" s="373"/>
      <c r="H412" s="374">
        <v>1</v>
      </c>
      <c r="I412" s="374">
        <v>14.71</v>
      </c>
      <c r="J412" s="375">
        <f>H412*I412</f>
        <v>14.71</v>
      </c>
      <c r="K412" s="376">
        <v>5.79</v>
      </c>
      <c r="L412" s="377"/>
      <c r="M412" s="377">
        <f>SUM(J412:L412)</f>
        <v>20.5</v>
      </c>
      <c r="N412" s="377"/>
      <c r="O412" s="37"/>
    </row>
    <row r="413" spans="1:15" ht="12.75">
      <c r="A413" s="14"/>
      <c r="B413" s="378">
        <v>2</v>
      </c>
      <c r="C413" s="379" t="s">
        <v>717</v>
      </c>
      <c r="D413" s="380"/>
      <c r="E413" s="381" t="s">
        <v>718</v>
      </c>
      <c r="F413" s="382"/>
      <c r="G413" s="383"/>
      <c r="H413" s="384">
        <v>1</v>
      </c>
      <c r="I413" s="384">
        <v>14.4</v>
      </c>
      <c r="J413" s="385">
        <f>H413*I413</f>
        <v>14.4</v>
      </c>
      <c r="K413" s="386"/>
      <c r="L413" s="387"/>
      <c r="M413" s="387">
        <f>SUM(J413:L413)</f>
        <v>14.4</v>
      </c>
      <c r="N413" s="387"/>
      <c r="O413" s="37"/>
    </row>
    <row r="414" spans="1:15" ht="12.75">
      <c r="A414" s="14"/>
      <c r="B414" s="388">
        <v>3</v>
      </c>
      <c r="C414" s="389" t="s">
        <v>719</v>
      </c>
      <c r="D414" s="390"/>
      <c r="E414" s="391" t="s">
        <v>720</v>
      </c>
      <c r="F414" s="392"/>
      <c r="G414" s="393"/>
      <c r="H414" s="394">
        <v>1</v>
      </c>
      <c r="I414" s="394">
        <v>3.1</v>
      </c>
      <c r="J414" s="395">
        <f>H414*I414</f>
        <v>3.1</v>
      </c>
      <c r="K414" s="396">
        <v>5.1</v>
      </c>
      <c r="L414" s="397"/>
      <c r="M414" s="397">
        <f>SUM(J414:L414)</f>
        <v>8.2</v>
      </c>
      <c r="N414" s="397"/>
      <c r="O414" s="37"/>
    </row>
    <row r="415" spans="1:15" ht="12.75">
      <c r="A415" s="14"/>
      <c r="B415" s="368">
        <v>4</v>
      </c>
      <c r="C415" s="369" t="s">
        <v>721</v>
      </c>
      <c r="D415" s="370"/>
      <c r="E415" s="371" t="s">
        <v>722</v>
      </c>
      <c r="F415" s="372"/>
      <c r="G415" s="373"/>
      <c r="H415" s="374">
        <v>1</v>
      </c>
      <c r="I415" s="374">
        <v>5.86</v>
      </c>
      <c r="J415" s="375">
        <f>H415*I415</f>
        <v>5.86</v>
      </c>
      <c r="K415" s="376"/>
      <c r="L415" s="377"/>
      <c r="M415" s="377">
        <f>SUM(J415:L415)</f>
        <v>5.86</v>
      </c>
      <c r="N415" s="377"/>
      <c r="O415" s="37"/>
    </row>
    <row r="416" spans="1:15" ht="12.75">
      <c r="A416" s="14"/>
      <c r="B416" s="368">
        <v>5</v>
      </c>
      <c r="C416" s="369" t="s">
        <v>723</v>
      </c>
      <c r="D416" s="370"/>
      <c r="E416" s="371"/>
      <c r="F416" s="372"/>
      <c r="G416" s="373"/>
      <c r="H416" s="374">
        <v>1</v>
      </c>
      <c r="I416" s="374">
        <v>9.92</v>
      </c>
      <c r="J416" s="375">
        <f>H416*I416</f>
        <v>9.92</v>
      </c>
      <c r="K416" s="376"/>
      <c r="L416" s="377"/>
      <c r="M416" s="377">
        <f>SUM(J416:L416)</f>
        <v>9.92</v>
      </c>
      <c r="N416" s="377"/>
      <c r="O416" s="37"/>
    </row>
    <row r="417" spans="1:14" ht="12.75">
      <c r="A417"/>
      <c r="B417"/>
      <c r="C417" s="354"/>
      <c r="D417" s="354"/>
      <c r="E417"/>
      <c r="F417"/>
      <c r="G417" s="398"/>
      <c r="H417"/>
      <c r="I417"/>
      <c r="J417" s="301">
        <f>SUM(J412:J412)</f>
        <v>14.71</v>
      </c>
      <c r="K417" s="301">
        <f>SUM(K412:K412)</f>
        <v>5.79</v>
      </c>
      <c r="L417" s="301">
        <f>SUM(L412:L412)</f>
        <v>0</v>
      </c>
      <c r="M417" s="301">
        <f>SUM(M412:M416)</f>
        <v>58.88</v>
      </c>
      <c r="N417" s="301">
        <f>1569.16+316.11</f>
        <v>1885.27</v>
      </c>
    </row>
    <row r="418" spans="1:14" ht="12.75">
      <c r="A418"/>
      <c r="B418"/>
      <c r="C418" s="354"/>
      <c r="D418" s="354"/>
      <c r="E418"/>
      <c r="F418"/>
      <c r="G418"/>
      <c r="H418"/>
      <c r="I418"/>
      <c r="J418" s="302"/>
      <c r="K418" s="302"/>
      <c r="L418" s="303"/>
      <c r="M418" s="304" t="s">
        <v>191</v>
      </c>
      <c r="N418" s="305">
        <f>2000-291</f>
        <v>1709</v>
      </c>
    </row>
    <row r="419" spans="1:14" ht="12.75">
      <c r="A419"/>
      <c r="B419"/>
      <c r="C419" s="306"/>
      <c r="D419" s="354"/>
      <c r="E419"/>
      <c r="F419"/>
      <c r="G419"/>
      <c r="H419"/>
      <c r="I419"/>
      <c r="J419"/>
      <c r="K419"/>
      <c r="L419"/>
      <c r="M419" s="307" t="s">
        <v>192</v>
      </c>
      <c r="N419" s="308">
        <f>N418-N417</f>
        <v>-176.26999999999998</v>
      </c>
    </row>
    <row r="420" spans="1:14" ht="12.75">
      <c r="A420" s="275" t="s">
        <v>650</v>
      </c>
      <c r="B420" s="276" t="s">
        <v>166</v>
      </c>
      <c r="C420" s="276" t="s">
        <v>167</v>
      </c>
      <c r="D420" s="276" t="s">
        <v>168</v>
      </c>
      <c r="E420" s="276" t="s">
        <v>429</v>
      </c>
      <c r="F420" s="276" t="s">
        <v>170</v>
      </c>
      <c r="G420" s="277" t="s">
        <v>171</v>
      </c>
      <c r="H420" s="278" t="s">
        <v>172</v>
      </c>
      <c r="I420" s="278" t="s">
        <v>173</v>
      </c>
      <c r="J420" s="278" t="s">
        <v>174</v>
      </c>
      <c r="K420" s="279" t="s">
        <v>175</v>
      </c>
      <c r="L420" s="279" t="s">
        <v>176</v>
      </c>
      <c r="M420" s="279" t="s">
        <v>177</v>
      </c>
      <c r="N420" s="280" t="s">
        <v>4</v>
      </c>
    </row>
    <row r="421" spans="1:15" ht="12.75">
      <c r="A421" s="281" t="s">
        <v>47</v>
      </c>
      <c r="B421" s="399">
        <v>1</v>
      </c>
      <c r="C421" s="400" t="s">
        <v>724</v>
      </c>
      <c r="D421" s="401" t="s">
        <v>725</v>
      </c>
      <c r="E421" s="402" t="s">
        <v>726</v>
      </c>
      <c r="F421" s="403" t="s">
        <v>727</v>
      </c>
      <c r="G421" s="404">
        <v>6</v>
      </c>
      <c r="H421" s="405">
        <v>1</v>
      </c>
      <c r="I421" s="405">
        <v>59.4</v>
      </c>
      <c r="J421" s="406">
        <f>H421*I421</f>
        <v>59.4</v>
      </c>
      <c r="K421" s="407"/>
      <c r="L421" s="408"/>
      <c r="M421" s="408">
        <f>SUM(J421:L421)</f>
        <v>59.4</v>
      </c>
      <c r="N421" s="408"/>
      <c r="O421" s="37"/>
    </row>
    <row r="422" spans="1:15" ht="12.75">
      <c r="A422" s="281"/>
      <c r="B422" s="399">
        <v>2</v>
      </c>
      <c r="C422" s="400" t="s">
        <v>728</v>
      </c>
      <c r="D422" s="401" t="s">
        <v>729</v>
      </c>
      <c r="E422" s="402" t="s">
        <v>730</v>
      </c>
      <c r="F422" s="403" t="s">
        <v>731</v>
      </c>
      <c r="G422" s="404" t="s">
        <v>655</v>
      </c>
      <c r="H422" s="405">
        <v>1</v>
      </c>
      <c r="I422" s="405">
        <v>19.25</v>
      </c>
      <c r="J422" s="406">
        <f>H422*I422</f>
        <v>19.25</v>
      </c>
      <c r="K422" s="407"/>
      <c r="L422" s="408"/>
      <c r="M422" s="408">
        <f>SUM(J422:L422)</f>
        <v>19.25</v>
      </c>
      <c r="N422" s="408"/>
      <c r="O422" s="37"/>
    </row>
    <row r="423" spans="1:15" ht="12.75">
      <c r="A423" s="14"/>
      <c r="B423" s="399">
        <v>3</v>
      </c>
      <c r="C423" s="400" t="s">
        <v>732</v>
      </c>
      <c r="D423" s="401" t="s">
        <v>733</v>
      </c>
      <c r="E423" s="402" t="s">
        <v>734</v>
      </c>
      <c r="F423" s="403" t="s">
        <v>307</v>
      </c>
      <c r="G423" s="404" t="s">
        <v>655</v>
      </c>
      <c r="H423" s="405">
        <v>1</v>
      </c>
      <c r="I423" s="405">
        <v>22</v>
      </c>
      <c r="J423" s="406">
        <f>H423*I423</f>
        <v>22</v>
      </c>
      <c r="K423" s="407"/>
      <c r="L423" s="408"/>
      <c r="M423" s="408">
        <f>SUM(J423:L423)</f>
        <v>22</v>
      </c>
      <c r="N423" s="408"/>
      <c r="O423" s="37"/>
    </row>
    <row r="424" spans="1:15" ht="12.75">
      <c r="A424" s="14"/>
      <c r="B424" s="399">
        <v>4</v>
      </c>
      <c r="C424" s="400" t="s">
        <v>735</v>
      </c>
      <c r="D424" s="401" t="s">
        <v>736</v>
      </c>
      <c r="E424" s="402" t="s">
        <v>737</v>
      </c>
      <c r="F424" s="403" t="s">
        <v>738</v>
      </c>
      <c r="G424" s="404" t="s">
        <v>655</v>
      </c>
      <c r="H424" s="405">
        <v>1</v>
      </c>
      <c r="I424" s="405">
        <v>28</v>
      </c>
      <c r="J424" s="406">
        <f>H424*I424</f>
        <v>28</v>
      </c>
      <c r="K424" s="407"/>
      <c r="L424" s="408"/>
      <c r="M424" s="408">
        <f>SUM(J424:L424)</f>
        <v>28</v>
      </c>
      <c r="N424" s="408"/>
      <c r="O424" s="37"/>
    </row>
    <row r="425" spans="1:14" ht="12.75">
      <c r="A425"/>
      <c r="B425"/>
      <c r="C425" s="354"/>
      <c r="D425" s="354"/>
      <c r="F425"/>
      <c r="G425"/>
      <c r="H425"/>
      <c r="I425"/>
      <c r="J425" s="301">
        <f>SUM(J421:J424)</f>
        <v>128.65</v>
      </c>
      <c r="K425" s="301">
        <f>SUM(K421:K424)</f>
        <v>0</v>
      </c>
      <c r="L425" s="301">
        <f>SUM(L421:L424)</f>
        <v>0</v>
      </c>
      <c r="M425" s="301">
        <f>SUM(M421:M424)</f>
        <v>128.65</v>
      </c>
      <c r="N425" s="301">
        <v>4100.08</v>
      </c>
    </row>
    <row r="426" spans="1:14" ht="12.75">
      <c r="A426"/>
      <c r="B426"/>
      <c r="C426" s="354"/>
      <c r="D426" s="354"/>
      <c r="F426"/>
      <c r="G426"/>
      <c r="H426"/>
      <c r="I426"/>
      <c r="J426" s="302"/>
      <c r="K426" s="302"/>
      <c r="L426" s="303"/>
      <c r="M426" s="304" t="s">
        <v>191</v>
      </c>
      <c r="N426" s="305">
        <f>6000-1000</f>
        <v>5000</v>
      </c>
    </row>
    <row r="427" spans="1:14" ht="12.75">
      <c r="A427"/>
      <c r="B427"/>
      <c r="C427" s="306"/>
      <c r="D427" s="354"/>
      <c r="F427"/>
      <c r="G427"/>
      <c r="H427"/>
      <c r="I427"/>
      <c r="J427"/>
      <c r="K427"/>
      <c r="L427"/>
      <c r="M427" s="307" t="s">
        <v>192</v>
      </c>
      <c r="N427" s="308">
        <f>N426-N425</f>
        <v>899.9200000000001</v>
      </c>
    </row>
    <row r="428" spans="1:14" ht="12.75">
      <c r="A428" s="275" t="s">
        <v>352</v>
      </c>
      <c r="B428" s="276" t="s">
        <v>166</v>
      </c>
      <c r="C428" s="276" t="s">
        <v>167</v>
      </c>
      <c r="D428" s="276" t="s">
        <v>168</v>
      </c>
      <c r="E428" s="276" t="s">
        <v>429</v>
      </c>
      <c r="F428" s="276" t="s">
        <v>170</v>
      </c>
      <c r="G428" s="277" t="s">
        <v>171</v>
      </c>
      <c r="H428" s="278" t="s">
        <v>172</v>
      </c>
      <c r="I428" s="278" t="s">
        <v>173</v>
      </c>
      <c r="J428" s="278" t="s">
        <v>174</v>
      </c>
      <c r="K428" s="279" t="s">
        <v>175</v>
      </c>
      <c r="L428" s="279" t="s">
        <v>176</v>
      </c>
      <c r="M428" s="279" t="s">
        <v>177</v>
      </c>
      <c r="N428" s="280" t="s">
        <v>4</v>
      </c>
    </row>
    <row r="429" spans="1:14" ht="12.75">
      <c r="A429" s="281" t="s">
        <v>47</v>
      </c>
      <c r="B429" s="358">
        <v>1</v>
      </c>
      <c r="C429" s="409" t="s">
        <v>739</v>
      </c>
      <c r="D429" s="360" t="s">
        <v>740</v>
      </c>
      <c r="E429" s="410" t="s">
        <v>741</v>
      </c>
      <c r="F429" s="362" t="s">
        <v>742</v>
      </c>
      <c r="G429" s="363" t="s">
        <v>743</v>
      </c>
      <c r="H429" s="364">
        <v>1</v>
      </c>
      <c r="I429" s="364">
        <v>42</v>
      </c>
      <c r="J429" s="365">
        <v>42</v>
      </c>
      <c r="K429" s="366"/>
      <c r="L429" s="367"/>
      <c r="M429" s="367">
        <f>SUM(J429:L429)</f>
        <v>42</v>
      </c>
      <c r="N429" s="367"/>
    </row>
    <row r="430" spans="1:14" ht="12.75">
      <c r="A430" s="281"/>
      <c r="B430" s="358">
        <v>2</v>
      </c>
      <c r="C430" s="409" t="s">
        <v>744</v>
      </c>
      <c r="D430" s="360" t="s">
        <v>745</v>
      </c>
      <c r="E430" s="410" t="s">
        <v>746</v>
      </c>
      <c r="F430" s="362" t="s">
        <v>747</v>
      </c>
      <c r="G430" s="363" t="s">
        <v>748</v>
      </c>
      <c r="H430" s="364">
        <v>1</v>
      </c>
      <c r="I430" s="364">
        <v>21.6</v>
      </c>
      <c r="J430" s="365">
        <f>H430*I430</f>
        <v>21.6</v>
      </c>
      <c r="K430" s="366"/>
      <c r="L430" s="367"/>
      <c r="M430" s="367">
        <f>SUM(J430:L430)</f>
        <v>21.6</v>
      </c>
      <c r="N430" s="367"/>
    </row>
    <row r="431" spans="1:15" ht="12.75">
      <c r="A431" s="281"/>
      <c r="B431" s="358">
        <v>3</v>
      </c>
      <c r="C431" s="409" t="s">
        <v>749</v>
      </c>
      <c r="D431" s="360" t="s">
        <v>750</v>
      </c>
      <c r="E431" s="410" t="s">
        <v>751</v>
      </c>
      <c r="F431" s="362" t="s">
        <v>752</v>
      </c>
      <c r="G431" s="363" t="s">
        <v>243</v>
      </c>
      <c r="H431" s="364">
        <v>1</v>
      </c>
      <c r="I431" s="364">
        <v>19.95</v>
      </c>
      <c r="J431" s="365">
        <f>H431*I431</f>
        <v>19.95</v>
      </c>
      <c r="K431" s="366"/>
      <c r="L431" s="367"/>
      <c r="M431" s="367">
        <f>SUM(J431:L431)</f>
        <v>19.95</v>
      </c>
      <c r="N431" s="367"/>
      <c r="O431" s="37"/>
    </row>
    <row r="432" spans="1:14" ht="12.75">
      <c r="A432"/>
      <c r="B432"/>
      <c r="C432" s="354"/>
      <c r="D432" s="354"/>
      <c r="F432"/>
      <c r="G432"/>
      <c r="H432"/>
      <c r="I432" s="301">
        <f>SUM(I429:I431)</f>
        <v>83.55</v>
      </c>
      <c r="J432" s="301">
        <f>SUM(J429:J431)</f>
        <v>83.55</v>
      </c>
      <c r="K432" s="301">
        <f>SUM(K429:K431)</f>
        <v>0</v>
      </c>
      <c r="L432" s="301">
        <f>SUM(L429:L431)</f>
        <v>0</v>
      </c>
      <c r="M432" s="301">
        <f>SUM(M429:M431)</f>
        <v>83.55</v>
      </c>
      <c r="N432" s="301">
        <v>2646.11</v>
      </c>
    </row>
    <row r="433" spans="1:14" ht="12.75">
      <c r="A433"/>
      <c r="B433"/>
      <c r="C433" s="354"/>
      <c r="D433" s="354"/>
      <c r="F433"/>
      <c r="G433"/>
      <c r="H433"/>
      <c r="I433"/>
      <c r="J433" s="302"/>
      <c r="K433" s="302"/>
      <c r="L433" s="303"/>
      <c r="M433" s="304" t="s">
        <v>191</v>
      </c>
      <c r="N433" s="305">
        <v>5000</v>
      </c>
    </row>
    <row r="434" spans="1:14" ht="13.5" customHeight="1">
      <c r="A434"/>
      <c r="B434"/>
      <c r="C434" s="306"/>
      <c r="D434" s="354"/>
      <c r="F434"/>
      <c r="G434"/>
      <c r="H434"/>
      <c r="I434"/>
      <c r="J434"/>
      <c r="K434"/>
      <c r="L434"/>
      <c r="M434" s="307" t="s">
        <v>192</v>
      </c>
      <c r="N434" s="308">
        <f>N433-N432-2350</f>
        <v>3.8899999999998727</v>
      </c>
    </row>
    <row r="435" spans="1:14" ht="12.75">
      <c r="A435" s="275" t="s">
        <v>753</v>
      </c>
      <c r="B435" s="276" t="s">
        <v>166</v>
      </c>
      <c r="C435" s="276" t="s">
        <v>167</v>
      </c>
      <c r="D435" s="276" t="s">
        <v>168</v>
      </c>
      <c r="E435" s="276" t="s">
        <v>429</v>
      </c>
      <c r="F435" s="276" t="s">
        <v>170</v>
      </c>
      <c r="G435" s="277" t="s">
        <v>171</v>
      </c>
      <c r="H435" s="278" t="s">
        <v>172</v>
      </c>
      <c r="I435" s="278" t="s">
        <v>173</v>
      </c>
      <c r="J435" s="278" t="s">
        <v>174</v>
      </c>
      <c r="K435" s="279" t="s">
        <v>175</v>
      </c>
      <c r="L435" s="279" t="s">
        <v>176</v>
      </c>
      <c r="M435" s="279" t="s">
        <v>177</v>
      </c>
      <c r="N435" s="280" t="s">
        <v>4</v>
      </c>
    </row>
    <row r="436" spans="1:15" ht="12.75">
      <c r="A436" s="281" t="s">
        <v>540</v>
      </c>
      <c r="B436" s="399">
        <v>1</v>
      </c>
      <c r="C436" s="400" t="s">
        <v>754</v>
      </c>
      <c r="D436" s="401"/>
      <c r="E436" s="402" t="s">
        <v>755</v>
      </c>
      <c r="F436" s="403"/>
      <c r="G436" s="404"/>
      <c r="H436" s="405">
        <v>1</v>
      </c>
      <c r="I436" s="405">
        <v>199</v>
      </c>
      <c r="J436" s="406">
        <v>199</v>
      </c>
      <c r="K436" s="407">
        <v>0</v>
      </c>
      <c r="L436" s="408">
        <v>0</v>
      </c>
      <c r="M436" s="408">
        <f>SUM(J436:L436)</f>
        <v>199</v>
      </c>
      <c r="N436" s="408">
        <v>6353.27</v>
      </c>
      <c r="O436" s="37"/>
    </row>
    <row r="437" spans="1:14" ht="12.75">
      <c r="A437"/>
      <c r="B437"/>
      <c r="C437" s="354"/>
      <c r="D437" s="354"/>
      <c r="F437"/>
      <c r="G437"/>
      <c r="H437"/>
      <c r="I437"/>
      <c r="J437" s="301">
        <f>SUM(J436:J436)</f>
        <v>199</v>
      </c>
      <c r="K437" s="301">
        <f>SUM(K436:K436)</f>
        <v>0</v>
      </c>
      <c r="L437" s="301">
        <f>SUM(L436:L436)</f>
        <v>0</v>
      </c>
      <c r="M437" s="301">
        <f>SUM(M436:M436)</f>
        <v>199</v>
      </c>
      <c r="N437" s="301">
        <f>SUM(N436:N436)</f>
        <v>6353.27</v>
      </c>
    </row>
    <row r="438" spans="1:14" ht="12.75">
      <c r="A438"/>
      <c r="B438"/>
      <c r="C438" s="354"/>
      <c r="D438" s="354"/>
      <c r="F438"/>
      <c r="G438"/>
      <c r="H438"/>
      <c r="I438"/>
      <c r="J438" s="302"/>
      <c r="K438" s="302"/>
      <c r="L438" s="303"/>
      <c r="M438" s="304" t="s">
        <v>191</v>
      </c>
      <c r="N438" s="305">
        <v>6500</v>
      </c>
    </row>
    <row r="439" spans="1:14" ht="12.75">
      <c r="A439"/>
      <c r="B439"/>
      <c r="C439" s="306"/>
      <c r="D439" s="354"/>
      <c r="F439"/>
      <c r="G439"/>
      <c r="H439"/>
      <c r="I439"/>
      <c r="J439"/>
      <c r="K439"/>
      <c r="L439"/>
      <c r="M439" s="307" t="s">
        <v>192</v>
      </c>
      <c r="N439" s="308">
        <f>N438-N437</f>
        <v>146.72999999999956</v>
      </c>
    </row>
    <row r="440" spans="1:14" ht="12.75">
      <c r="A440" s="275" t="s">
        <v>756</v>
      </c>
      <c r="B440" s="276" t="s">
        <v>166</v>
      </c>
      <c r="C440" s="276" t="s">
        <v>167</v>
      </c>
      <c r="D440" s="276" t="s">
        <v>168</v>
      </c>
      <c r="E440" s="276" t="s">
        <v>429</v>
      </c>
      <c r="F440" s="276" t="s">
        <v>170</v>
      </c>
      <c r="G440" s="277" t="s">
        <v>171</v>
      </c>
      <c r="H440" s="278" t="s">
        <v>172</v>
      </c>
      <c r="I440" s="278" t="s">
        <v>173</v>
      </c>
      <c r="J440" s="278" t="s">
        <v>174</v>
      </c>
      <c r="K440" s="279" t="s">
        <v>175</v>
      </c>
      <c r="L440" s="279" t="s">
        <v>176</v>
      </c>
      <c r="M440" s="279" t="s">
        <v>177</v>
      </c>
      <c r="N440" s="280" t="s">
        <v>4</v>
      </c>
    </row>
    <row r="441" spans="1:16" ht="12.75">
      <c r="A441" s="281" t="s">
        <v>128</v>
      </c>
      <c r="B441" s="388">
        <v>1</v>
      </c>
      <c r="C441" s="389" t="s">
        <v>757</v>
      </c>
      <c r="D441" s="390"/>
      <c r="E441" s="411" t="s">
        <v>758</v>
      </c>
      <c r="F441" s="392"/>
      <c r="G441" s="393" t="s">
        <v>759</v>
      </c>
      <c r="H441" s="394">
        <v>1</v>
      </c>
      <c r="I441" s="394">
        <v>25</v>
      </c>
      <c r="J441" s="395">
        <f>H441*I441</f>
        <v>25</v>
      </c>
      <c r="K441" s="396">
        <v>4.75</v>
      </c>
      <c r="L441" s="397"/>
      <c r="M441" s="397">
        <f>SUM(J441:L441)</f>
        <v>29.75</v>
      </c>
      <c r="N441" s="397">
        <v>942.18</v>
      </c>
      <c r="O441" s="113"/>
      <c r="P441" s="113"/>
    </row>
    <row r="442" spans="1:15" ht="12.75">
      <c r="A442" s="281"/>
      <c r="B442" s="388">
        <v>1</v>
      </c>
      <c r="C442" s="389" t="s">
        <v>760</v>
      </c>
      <c r="D442" s="390"/>
      <c r="E442" s="411" t="s">
        <v>761</v>
      </c>
      <c r="F442" s="392" t="s">
        <v>762</v>
      </c>
      <c r="G442" s="393" t="s">
        <v>763</v>
      </c>
      <c r="H442" s="394">
        <v>1</v>
      </c>
      <c r="I442" s="394">
        <v>54.75</v>
      </c>
      <c r="J442" s="395">
        <f>H442*I442</f>
        <v>54.75</v>
      </c>
      <c r="K442" s="396">
        <v>8.95</v>
      </c>
      <c r="L442" s="397"/>
      <c r="M442" s="397">
        <f>SUM(J442:L442)</f>
        <v>63.7</v>
      </c>
      <c r="N442" s="397">
        <v>2017.38</v>
      </c>
      <c r="O442" s="37"/>
    </row>
    <row r="443" spans="1:14" ht="12.75">
      <c r="A443"/>
      <c r="B443"/>
      <c r="C443" s="354"/>
      <c r="D443" s="354"/>
      <c r="F443"/>
      <c r="G443"/>
      <c r="H443"/>
      <c r="I443"/>
      <c r="J443" s="301">
        <f>SUM(J441:J442)</f>
        <v>79.75</v>
      </c>
      <c r="K443" s="301">
        <f>SUM(K441:K442)</f>
        <v>13.7</v>
      </c>
      <c r="L443" s="301">
        <f>SUM(L441:L442)</f>
        <v>0</v>
      </c>
      <c r="M443" s="301">
        <f>SUM(M441:M442)</f>
        <v>93.45</v>
      </c>
      <c r="N443" s="301">
        <f>SUM(N441:N442)</f>
        <v>2959.56</v>
      </c>
    </row>
    <row r="444" spans="1:14" ht="12.75">
      <c r="A444"/>
      <c r="B444"/>
      <c r="C444" s="354"/>
      <c r="D444" s="354"/>
      <c r="F444"/>
      <c r="G444"/>
      <c r="H444"/>
      <c r="I444"/>
      <c r="J444" s="302"/>
      <c r="K444" s="302"/>
      <c r="L444" s="303"/>
      <c r="M444" s="304" t="s">
        <v>191</v>
      </c>
      <c r="N444" s="305">
        <v>3000</v>
      </c>
    </row>
    <row r="445" spans="1:14" ht="12.75">
      <c r="A445"/>
      <c r="B445"/>
      <c r="C445" s="306"/>
      <c r="D445" s="354"/>
      <c r="F445"/>
      <c r="G445"/>
      <c r="H445"/>
      <c r="I445"/>
      <c r="J445"/>
      <c r="K445"/>
      <c r="L445"/>
      <c r="M445" s="307" t="s">
        <v>192</v>
      </c>
      <c r="N445" s="308">
        <f>N444-N443</f>
        <v>40.440000000000055</v>
      </c>
    </row>
    <row r="446" spans="1:14" ht="12.75">
      <c r="A446" s="275" t="s">
        <v>764</v>
      </c>
      <c r="B446" s="276" t="s">
        <v>166</v>
      </c>
      <c r="C446" s="276" t="s">
        <v>167</v>
      </c>
      <c r="D446" s="276" t="s">
        <v>168</v>
      </c>
      <c r="E446" s="276" t="s">
        <v>429</v>
      </c>
      <c r="F446" s="276" t="s">
        <v>170</v>
      </c>
      <c r="G446" s="277" t="s">
        <v>171</v>
      </c>
      <c r="H446" s="278" t="s">
        <v>172</v>
      </c>
      <c r="I446" s="278" t="s">
        <v>173</v>
      </c>
      <c r="J446" s="278" t="s">
        <v>174</v>
      </c>
      <c r="K446" s="279" t="s">
        <v>175</v>
      </c>
      <c r="L446" s="279" t="s">
        <v>176</v>
      </c>
      <c r="M446" s="279" t="s">
        <v>177</v>
      </c>
      <c r="N446" s="280" t="s">
        <v>4</v>
      </c>
    </row>
    <row r="447" spans="1:17" ht="12.75">
      <c r="A447" s="281" t="s">
        <v>540</v>
      </c>
      <c r="B447" s="399">
        <v>1</v>
      </c>
      <c r="C447" s="400" t="s">
        <v>765</v>
      </c>
      <c r="D447" s="401"/>
      <c r="E447" s="403" t="s">
        <v>766</v>
      </c>
      <c r="F447" s="403"/>
      <c r="G447" s="404"/>
      <c r="H447" s="405">
        <v>1</v>
      </c>
      <c r="I447" s="405">
        <v>1.99</v>
      </c>
      <c r="J447" s="406">
        <f>I447*H447</f>
        <v>1.99</v>
      </c>
      <c r="K447" s="406">
        <v>2.99</v>
      </c>
      <c r="L447" s="408"/>
      <c r="M447" s="408">
        <f>SUM(J447:L447)</f>
        <v>4.98</v>
      </c>
      <c r="N447" s="408">
        <v>159.63</v>
      </c>
      <c r="P447" s="113"/>
      <c r="Q447" s="113"/>
    </row>
    <row r="448" spans="1:16" ht="12.75">
      <c r="A448" s="14"/>
      <c r="B448" s="399">
        <v>2</v>
      </c>
      <c r="C448" s="400" t="s">
        <v>767</v>
      </c>
      <c r="D448" s="401"/>
      <c r="E448" s="403" t="s">
        <v>768</v>
      </c>
      <c r="F448" s="403"/>
      <c r="G448" s="404"/>
      <c r="H448" s="405">
        <v>1</v>
      </c>
      <c r="I448" s="405">
        <v>9.9</v>
      </c>
      <c r="J448" s="406">
        <f>I448*H448</f>
        <v>9.9</v>
      </c>
      <c r="K448" s="406">
        <v>10</v>
      </c>
      <c r="L448" s="408"/>
      <c r="M448" s="408">
        <f>SUM(J448:L448)</f>
        <v>19.9</v>
      </c>
      <c r="N448" s="408">
        <v>637.89</v>
      </c>
      <c r="O448" s="113"/>
      <c r="P448" s="113"/>
    </row>
    <row r="449" spans="1:17" ht="12.75">
      <c r="A449" s="14"/>
      <c r="B449" s="399">
        <v>3</v>
      </c>
      <c r="C449" s="400" t="s">
        <v>769</v>
      </c>
      <c r="D449" s="401"/>
      <c r="E449" s="403" t="s">
        <v>770</v>
      </c>
      <c r="F449" s="403"/>
      <c r="G449" s="404"/>
      <c r="H449" s="405">
        <v>1</v>
      </c>
      <c r="I449" s="412">
        <v>1.99</v>
      </c>
      <c r="J449" s="413">
        <f>I449*H449</f>
        <v>1.99</v>
      </c>
      <c r="K449" s="413">
        <v>7.99</v>
      </c>
      <c r="L449" s="414"/>
      <c r="M449" s="414">
        <f>SUM(J449:L449)</f>
        <v>9.98</v>
      </c>
      <c r="N449" s="408">
        <v>499.73</v>
      </c>
      <c r="P449" s="113"/>
      <c r="Q449" s="113"/>
    </row>
    <row r="450" spans="1:16" ht="12.75">
      <c r="A450" s="14"/>
      <c r="B450" s="399">
        <v>4</v>
      </c>
      <c r="C450" s="400"/>
      <c r="D450" s="401"/>
      <c r="E450" s="415" t="s">
        <v>771</v>
      </c>
      <c r="F450" s="403"/>
      <c r="G450" s="404"/>
      <c r="H450" s="405">
        <v>1</v>
      </c>
      <c r="I450" s="405">
        <v>6.99</v>
      </c>
      <c r="J450" s="406">
        <f>I450*H450</f>
        <v>6.99</v>
      </c>
      <c r="K450" s="406">
        <v>1.99</v>
      </c>
      <c r="L450" s="408"/>
      <c r="M450" s="408">
        <f>SUM(J450:L450)</f>
        <v>8.98</v>
      </c>
      <c r="N450" s="408">
        <v>288.92</v>
      </c>
      <c r="O450" s="113"/>
      <c r="P450" s="113"/>
    </row>
    <row r="451" spans="1:17" ht="12.75">
      <c r="A451" s="14"/>
      <c r="B451" s="399">
        <v>5</v>
      </c>
      <c r="C451" s="400"/>
      <c r="D451" s="401"/>
      <c r="E451" s="415" t="s">
        <v>772</v>
      </c>
      <c r="F451" s="403"/>
      <c r="G451" s="404"/>
      <c r="H451" s="405">
        <v>1</v>
      </c>
      <c r="I451" s="405">
        <v>9.98</v>
      </c>
      <c r="J451" s="406">
        <f>I451*H451</f>
        <v>9.98</v>
      </c>
      <c r="K451" s="406">
        <v>2.95</v>
      </c>
      <c r="L451" s="408"/>
      <c r="M451" s="408">
        <f>SUM(J451:L451)</f>
        <v>12.93</v>
      </c>
      <c r="N451" s="408">
        <v>415.99</v>
      </c>
      <c r="O451" s="113"/>
      <c r="Q451" s="113"/>
    </row>
    <row r="452" spans="1:14" ht="12.75">
      <c r="A452"/>
      <c r="B452"/>
      <c r="C452" s="306"/>
      <c r="D452" s="354"/>
      <c r="F452"/>
      <c r="G452"/>
      <c r="H452"/>
      <c r="I452"/>
      <c r="J452" s="301">
        <f>SUM(J447:J451)</f>
        <v>30.85</v>
      </c>
      <c r="K452" s="301">
        <f>SUM(K447:K451)</f>
        <v>25.92</v>
      </c>
      <c r="L452" s="301">
        <f>SUM(L447:L451)</f>
        <v>0</v>
      </c>
      <c r="M452" s="301">
        <f>SUM(M447:M451)</f>
        <v>56.769999999999996</v>
      </c>
      <c r="N452" s="301">
        <f>SUM(N447:N451)</f>
        <v>2002.1599999999999</v>
      </c>
    </row>
    <row r="453" spans="9:14" ht="12.75">
      <c r="I453"/>
      <c r="J453" s="302"/>
      <c r="K453" s="302"/>
      <c r="L453" s="303"/>
      <c r="M453" s="304" t="s">
        <v>191</v>
      </c>
      <c r="N453" s="305">
        <f>1500+600</f>
        <v>2100</v>
      </c>
    </row>
    <row r="454" spans="9:14" ht="12.75">
      <c r="I454"/>
      <c r="J454"/>
      <c r="K454"/>
      <c r="L454"/>
      <c r="M454" s="307" t="s">
        <v>192</v>
      </c>
      <c r="N454" s="308">
        <f>N453-N452</f>
        <v>97.84000000000015</v>
      </c>
    </row>
    <row r="455" spans="1:14" ht="12.75">
      <c r="A455" s="275" t="s">
        <v>773</v>
      </c>
      <c r="B455" s="276" t="s">
        <v>166</v>
      </c>
      <c r="C455" s="276" t="s">
        <v>167</v>
      </c>
      <c r="D455" s="276" t="s">
        <v>168</v>
      </c>
      <c r="E455" s="276" t="s">
        <v>429</v>
      </c>
      <c r="F455" s="276" t="s">
        <v>170</v>
      </c>
      <c r="G455" s="277" t="s">
        <v>171</v>
      </c>
      <c r="H455" s="278" t="s">
        <v>172</v>
      </c>
      <c r="I455" s="278" t="s">
        <v>173</v>
      </c>
      <c r="J455" s="278" t="s">
        <v>174</v>
      </c>
      <c r="K455" s="279" t="s">
        <v>175</v>
      </c>
      <c r="L455" s="279" t="s">
        <v>176</v>
      </c>
      <c r="M455" s="279" t="s">
        <v>177</v>
      </c>
      <c r="N455" s="280" t="s">
        <v>4</v>
      </c>
    </row>
    <row r="456" spans="1:14" ht="12.75">
      <c r="A456" s="14" t="s">
        <v>47</v>
      </c>
      <c r="B456" s="399">
        <v>1</v>
      </c>
      <c r="C456" s="400" t="s">
        <v>774</v>
      </c>
      <c r="D456" s="401" t="s">
        <v>775</v>
      </c>
      <c r="E456" s="403" t="s">
        <v>776</v>
      </c>
      <c r="F456" s="403" t="s">
        <v>777</v>
      </c>
      <c r="G456" s="404">
        <v>11</v>
      </c>
      <c r="H456" s="405">
        <v>1</v>
      </c>
      <c r="I456" s="405">
        <v>50.4</v>
      </c>
      <c r="J456" s="406">
        <f>H456*I456</f>
        <v>50.4</v>
      </c>
      <c r="K456" s="406"/>
      <c r="L456" s="408"/>
      <c r="M456" s="408">
        <f>SUM(J456:L456)</f>
        <v>50.4</v>
      </c>
      <c r="N456" s="408"/>
    </row>
    <row r="457" spans="1:14" ht="12.75">
      <c r="A457" s="14"/>
      <c r="B457" s="399">
        <v>2</v>
      </c>
      <c r="C457" s="400" t="s">
        <v>778</v>
      </c>
      <c r="D457" s="401" t="s">
        <v>779</v>
      </c>
      <c r="E457" s="403" t="s">
        <v>780</v>
      </c>
      <c r="F457" s="403" t="s">
        <v>307</v>
      </c>
      <c r="G457" s="404">
        <v>11</v>
      </c>
      <c r="H457" s="405">
        <v>1</v>
      </c>
      <c r="I457" s="405">
        <v>86.1</v>
      </c>
      <c r="J457" s="406">
        <f>H457*I457</f>
        <v>86.1</v>
      </c>
      <c r="K457" s="406"/>
      <c r="L457" s="408"/>
      <c r="M457" s="408">
        <f>SUM(J457:L457)</f>
        <v>86.1</v>
      </c>
      <c r="N457" s="408"/>
    </row>
    <row r="458" spans="1:14" ht="12.75">
      <c r="A458" s="14"/>
      <c r="B458" s="399">
        <v>3</v>
      </c>
      <c r="C458" s="400" t="s">
        <v>781</v>
      </c>
      <c r="D458" s="401" t="s">
        <v>782</v>
      </c>
      <c r="E458" s="403" t="s">
        <v>783</v>
      </c>
      <c r="F458" s="403" t="s">
        <v>784</v>
      </c>
      <c r="G458" s="404">
        <v>14</v>
      </c>
      <c r="H458" s="405">
        <v>1</v>
      </c>
      <c r="I458" s="405">
        <v>20</v>
      </c>
      <c r="J458" s="406">
        <f>H458*I458</f>
        <v>20</v>
      </c>
      <c r="K458" s="406"/>
      <c r="L458" s="408"/>
      <c r="M458" s="408">
        <f>SUM(J458:L458)</f>
        <v>20</v>
      </c>
      <c r="N458" s="408"/>
    </row>
    <row r="459" spans="1:14" ht="12.75">
      <c r="A459" s="14"/>
      <c r="B459" s="399">
        <v>4</v>
      </c>
      <c r="C459" s="400" t="s">
        <v>785</v>
      </c>
      <c r="D459" s="401" t="s">
        <v>786</v>
      </c>
      <c r="E459" s="403" t="s">
        <v>787</v>
      </c>
      <c r="F459" s="403" t="s">
        <v>788</v>
      </c>
      <c r="G459" s="404">
        <v>14</v>
      </c>
      <c r="H459" s="405">
        <v>1</v>
      </c>
      <c r="I459" s="405">
        <v>33.25</v>
      </c>
      <c r="J459" s="406">
        <f>H459*I459</f>
        <v>33.25</v>
      </c>
      <c r="K459" s="406"/>
      <c r="L459" s="408"/>
      <c r="M459" s="408">
        <f>SUM(J459:L459)</f>
        <v>33.25</v>
      </c>
      <c r="N459" s="408"/>
    </row>
    <row r="460" spans="1:14" ht="12.75">
      <c r="A460" s="14"/>
      <c r="B460" s="399">
        <v>5</v>
      </c>
      <c r="C460" s="400" t="s">
        <v>789</v>
      </c>
      <c r="D460" s="401" t="s">
        <v>790</v>
      </c>
      <c r="E460" s="403" t="s">
        <v>791</v>
      </c>
      <c r="F460" s="403" t="s">
        <v>792</v>
      </c>
      <c r="G460" s="404">
        <v>14</v>
      </c>
      <c r="H460" s="405">
        <v>1</v>
      </c>
      <c r="I460" s="405">
        <v>34</v>
      </c>
      <c r="J460" s="406">
        <f>H460*I460</f>
        <v>34</v>
      </c>
      <c r="K460" s="406"/>
      <c r="L460" s="408"/>
      <c r="M460" s="408">
        <f>SUM(J460:L460)</f>
        <v>34</v>
      </c>
      <c r="N460" s="408"/>
    </row>
    <row r="461" spans="1:14" ht="12.75">
      <c r="A461" s="14"/>
      <c r="B461" s="399">
        <v>6</v>
      </c>
      <c r="C461" s="400" t="s">
        <v>793</v>
      </c>
      <c r="D461" s="401" t="s">
        <v>794</v>
      </c>
      <c r="E461" s="403" t="s">
        <v>795</v>
      </c>
      <c r="F461" s="403" t="s">
        <v>292</v>
      </c>
      <c r="G461" s="404">
        <v>14</v>
      </c>
      <c r="H461" s="405">
        <v>1</v>
      </c>
      <c r="I461" s="405">
        <v>77.5</v>
      </c>
      <c r="J461" s="406">
        <f>H461*I461</f>
        <v>77.5</v>
      </c>
      <c r="K461" s="406"/>
      <c r="L461" s="408"/>
      <c r="M461" s="408">
        <f>SUM(J461:L461)</f>
        <v>77.5</v>
      </c>
      <c r="N461" s="408"/>
    </row>
    <row r="462" spans="1:15" ht="12.75">
      <c r="A462" s="14"/>
      <c r="B462" s="399">
        <v>7</v>
      </c>
      <c r="C462" s="400" t="s">
        <v>796</v>
      </c>
      <c r="D462" s="401" t="s">
        <v>797</v>
      </c>
      <c r="E462" s="403" t="s">
        <v>798</v>
      </c>
      <c r="F462" s="403" t="s">
        <v>799</v>
      </c>
      <c r="G462" s="404" t="s">
        <v>800</v>
      </c>
      <c r="H462" s="405">
        <v>1</v>
      </c>
      <c r="I462" s="405">
        <v>32.9</v>
      </c>
      <c r="J462" s="406">
        <f>H462*I462</f>
        <v>32.9</v>
      </c>
      <c r="K462" s="406"/>
      <c r="L462" s="408"/>
      <c r="M462" s="408">
        <f>SUM(J462:L462)</f>
        <v>32.9</v>
      </c>
      <c r="N462" s="408"/>
      <c r="O462" s="37"/>
    </row>
    <row r="463" spans="1:15" ht="12.75">
      <c r="A463"/>
      <c r="B463"/>
      <c r="C463" s="354"/>
      <c r="D463" s="354"/>
      <c r="F463"/>
      <c r="G463"/>
      <c r="H463"/>
      <c r="I463"/>
      <c r="J463" s="301">
        <f>SUM(J456:J462)</f>
        <v>334.15</v>
      </c>
      <c r="K463" s="301">
        <f>SUM(K456:K462)</f>
        <v>0</v>
      </c>
      <c r="L463" s="301">
        <f>SUM(L456:L462)</f>
        <v>0</v>
      </c>
      <c r="M463" s="301">
        <f>SUM(M456:M462)</f>
        <v>334.15</v>
      </c>
      <c r="N463" s="301">
        <v>10615.95</v>
      </c>
      <c r="O463" s="37"/>
    </row>
    <row r="464" spans="1:16" ht="12.75">
      <c r="A464"/>
      <c r="B464"/>
      <c r="C464" s="354"/>
      <c r="D464" s="354"/>
      <c r="F464"/>
      <c r="G464"/>
      <c r="H464"/>
      <c r="I464"/>
      <c r="J464" s="302"/>
      <c r="K464" s="302"/>
      <c r="L464" s="303"/>
      <c r="M464" s="304" t="s">
        <v>191</v>
      </c>
      <c r="N464" s="305">
        <v>15000</v>
      </c>
      <c r="O464"/>
      <c r="P464"/>
    </row>
    <row r="465" spans="1:16" ht="12.75">
      <c r="A465"/>
      <c r="B465"/>
      <c r="C465" s="306"/>
      <c r="D465" s="354"/>
      <c r="F465"/>
      <c r="G465"/>
      <c r="H465"/>
      <c r="I465"/>
      <c r="J465"/>
      <c r="K465"/>
      <c r="L465"/>
      <c r="M465" s="307" t="s">
        <v>192</v>
      </c>
      <c r="N465" s="308">
        <f>N464-N463</f>
        <v>4384.049999999999</v>
      </c>
      <c r="O465"/>
      <c r="P465"/>
    </row>
    <row r="466" spans="1:16" ht="12.75">
      <c r="A466" s="275" t="s">
        <v>753</v>
      </c>
      <c r="B466" s="276" t="s">
        <v>166</v>
      </c>
      <c r="C466" s="276" t="s">
        <v>167</v>
      </c>
      <c r="D466" s="276" t="s">
        <v>168</v>
      </c>
      <c r="E466" s="276" t="s">
        <v>429</v>
      </c>
      <c r="F466" s="276" t="s">
        <v>170</v>
      </c>
      <c r="G466" s="277" t="s">
        <v>171</v>
      </c>
      <c r="H466" s="278" t="s">
        <v>172</v>
      </c>
      <c r="I466" s="278" t="s">
        <v>173</v>
      </c>
      <c r="J466" s="278" t="s">
        <v>174</v>
      </c>
      <c r="K466" s="279" t="s">
        <v>175</v>
      </c>
      <c r="L466" s="279" t="s">
        <v>176</v>
      </c>
      <c r="M466" s="279" t="s">
        <v>177</v>
      </c>
      <c r="N466" s="280" t="s">
        <v>4</v>
      </c>
      <c r="O466"/>
      <c r="P466"/>
    </row>
    <row r="467" spans="1:15" ht="12.75">
      <c r="A467" s="14" t="s">
        <v>128</v>
      </c>
      <c r="B467" s="399">
        <v>1</v>
      </c>
      <c r="C467" s="400" t="s">
        <v>801</v>
      </c>
      <c r="D467" s="401"/>
      <c r="E467" s="403" t="s">
        <v>802</v>
      </c>
      <c r="F467" s="403"/>
      <c r="G467" s="404"/>
      <c r="H467" s="405">
        <v>1</v>
      </c>
      <c r="I467" s="405">
        <v>14.4</v>
      </c>
      <c r="J467" s="406">
        <f>H467*I467</f>
        <v>14.4</v>
      </c>
      <c r="K467" s="406"/>
      <c r="L467" s="408"/>
      <c r="M467" s="408">
        <f>SUM(J467:L467)</f>
        <v>14.4</v>
      </c>
      <c r="N467" s="408"/>
      <c r="O467" s="37"/>
    </row>
    <row r="468" spans="1:15" ht="12.75">
      <c r="A468" s="14"/>
      <c r="B468" s="399">
        <v>2</v>
      </c>
      <c r="C468" s="400" t="s">
        <v>803</v>
      </c>
      <c r="D468" s="401"/>
      <c r="E468" s="403" t="s">
        <v>804</v>
      </c>
      <c r="F468" s="403"/>
      <c r="G468" s="404"/>
      <c r="H468" s="405">
        <v>1</v>
      </c>
      <c r="I468" s="405">
        <v>5.5</v>
      </c>
      <c r="J468" s="406">
        <f>H468*I468</f>
        <v>5.5</v>
      </c>
      <c r="K468" s="406">
        <v>4.95</v>
      </c>
      <c r="L468" s="408">
        <v>2.89</v>
      </c>
      <c r="M468" s="408">
        <f>SUM(J468:L468)</f>
        <v>13.34</v>
      </c>
      <c r="N468" s="408">
        <v>1007.71</v>
      </c>
      <c r="O468" s="37"/>
    </row>
    <row r="469" spans="1:15" ht="12.75">
      <c r="A469" s="14"/>
      <c r="B469" s="399">
        <v>3</v>
      </c>
      <c r="C469" s="400" t="s">
        <v>805</v>
      </c>
      <c r="D469" s="401"/>
      <c r="E469" s="403" t="s">
        <v>806</v>
      </c>
      <c r="F469" s="403"/>
      <c r="G469" s="404"/>
      <c r="H469" s="405">
        <v>1</v>
      </c>
      <c r="I469" s="405">
        <v>9.5</v>
      </c>
      <c r="J469" s="406">
        <f>H469*I469</f>
        <v>9.5</v>
      </c>
      <c r="K469" s="406"/>
      <c r="L469" s="408"/>
      <c r="M469" s="408">
        <f>SUM(J469:L469)</f>
        <v>9.5</v>
      </c>
      <c r="N469" s="408"/>
      <c r="O469" s="37"/>
    </row>
    <row r="470" spans="1:15" ht="12.75">
      <c r="A470" s="14"/>
      <c r="B470" s="399">
        <v>4</v>
      </c>
      <c r="C470" s="400" t="s">
        <v>807</v>
      </c>
      <c r="D470" s="401"/>
      <c r="E470" s="403" t="s">
        <v>808</v>
      </c>
      <c r="F470" s="403"/>
      <c r="G470" s="404"/>
      <c r="H470" s="405">
        <v>1</v>
      </c>
      <c r="I470" s="405">
        <v>9.5</v>
      </c>
      <c r="J470" s="406">
        <f>H470*I470</f>
        <v>9.5</v>
      </c>
      <c r="K470" s="406"/>
      <c r="L470" s="408"/>
      <c r="M470" s="408">
        <f>SUM(J470:L470)</f>
        <v>9.5</v>
      </c>
      <c r="N470" s="408"/>
      <c r="O470" s="37"/>
    </row>
    <row r="471" spans="1:15" ht="12.75">
      <c r="A471" s="14"/>
      <c r="B471" s="399">
        <v>5</v>
      </c>
      <c r="C471" s="400" t="s">
        <v>809</v>
      </c>
      <c r="D471" s="401"/>
      <c r="E471" s="403" t="s">
        <v>810</v>
      </c>
      <c r="F471" s="403"/>
      <c r="G471" s="404"/>
      <c r="H471" s="405">
        <v>1</v>
      </c>
      <c r="I471" s="405">
        <v>9.99</v>
      </c>
      <c r="J471" s="406">
        <f>H471*I471</f>
        <v>9.99</v>
      </c>
      <c r="K471" s="406"/>
      <c r="L471" s="408"/>
      <c r="M471" s="408">
        <f>SUM(J471:L471)</f>
        <v>9.99</v>
      </c>
      <c r="N471" s="408">
        <v>757.55</v>
      </c>
      <c r="O471" s="37"/>
    </row>
    <row r="472" spans="1:16" ht="12.75">
      <c r="A472"/>
      <c r="B472"/>
      <c r="C472" s="354"/>
      <c r="D472" s="354"/>
      <c r="F472"/>
      <c r="G472"/>
      <c r="H472"/>
      <c r="I472"/>
      <c r="J472" s="301">
        <f>SUM(J467:J471)</f>
        <v>48.89</v>
      </c>
      <c r="K472" s="301">
        <f>SUM(K467:K471)</f>
        <v>4.95</v>
      </c>
      <c r="L472" s="301">
        <f>SUM(L467:L471)</f>
        <v>2.89</v>
      </c>
      <c r="M472" s="301">
        <f>SUM(M467:M471)</f>
        <v>56.730000000000004</v>
      </c>
      <c r="N472" s="301">
        <f>SUM(N467:N471)</f>
        <v>1765.26</v>
      </c>
      <c r="O472"/>
      <c r="P472"/>
    </row>
    <row r="473" spans="1:16" ht="12.75">
      <c r="A473"/>
      <c r="B473"/>
      <c r="C473" s="354"/>
      <c r="D473" s="354"/>
      <c r="F473"/>
      <c r="G473"/>
      <c r="H473"/>
      <c r="I473"/>
      <c r="J473" s="302"/>
      <c r="K473" s="302"/>
      <c r="L473" s="303"/>
      <c r="M473" s="304" t="s">
        <v>191</v>
      </c>
      <c r="N473" s="305">
        <v>2000</v>
      </c>
      <c r="O473"/>
      <c r="P473"/>
    </row>
    <row r="474" spans="1:14" ht="12.75">
      <c r="A474"/>
      <c r="B474"/>
      <c r="C474" s="306"/>
      <c r="D474" s="354"/>
      <c r="F474"/>
      <c r="G474"/>
      <c r="H474"/>
      <c r="I474"/>
      <c r="J474"/>
      <c r="K474"/>
      <c r="L474"/>
      <c r="M474" s="307" t="s">
        <v>192</v>
      </c>
      <c r="N474" s="308">
        <f>N473-N472</f>
        <v>234.74</v>
      </c>
    </row>
    <row r="475" spans="1:14" ht="12.75">
      <c r="A475" s="275" t="s">
        <v>127</v>
      </c>
      <c r="B475" s="276" t="s">
        <v>166</v>
      </c>
      <c r="C475" s="276" t="s">
        <v>167</v>
      </c>
      <c r="D475" s="276" t="s">
        <v>168</v>
      </c>
      <c r="E475" s="276" t="s">
        <v>429</v>
      </c>
      <c r="F475" s="276" t="s">
        <v>170</v>
      </c>
      <c r="G475" s="277" t="s">
        <v>171</v>
      </c>
      <c r="H475" s="278" t="s">
        <v>172</v>
      </c>
      <c r="I475" s="278" t="s">
        <v>173</v>
      </c>
      <c r="J475" s="278" t="s">
        <v>174</v>
      </c>
      <c r="K475" s="279" t="s">
        <v>175</v>
      </c>
      <c r="L475" s="279" t="s">
        <v>176</v>
      </c>
      <c r="M475" s="279" t="s">
        <v>177</v>
      </c>
      <c r="N475" s="280" t="s">
        <v>4</v>
      </c>
    </row>
    <row r="476" spans="1:15" ht="12.75">
      <c r="A476" s="14" t="s">
        <v>128</v>
      </c>
      <c r="B476" s="399">
        <v>1</v>
      </c>
      <c r="C476" s="400" t="s">
        <v>811</v>
      </c>
      <c r="D476" s="401"/>
      <c r="E476" s="403" t="s">
        <v>812</v>
      </c>
      <c r="F476" s="403" t="s">
        <v>627</v>
      </c>
      <c r="G476" s="404"/>
      <c r="H476" s="405">
        <v>1</v>
      </c>
      <c r="I476" s="405">
        <v>169.99</v>
      </c>
      <c r="J476" s="406">
        <f>H476*I476</f>
        <v>169.99</v>
      </c>
      <c r="K476" s="406">
        <v>0</v>
      </c>
      <c r="L476" s="408">
        <v>0</v>
      </c>
      <c r="M476" s="408">
        <f>SUM(J476:L476)</f>
        <v>169.99</v>
      </c>
      <c r="N476" s="408">
        <v>5376.78</v>
      </c>
      <c r="O476" s="37"/>
    </row>
    <row r="477" spans="1:14" ht="12.75">
      <c r="A477"/>
      <c r="B477"/>
      <c r="C477" s="354"/>
      <c r="D477" s="354"/>
      <c r="F477"/>
      <c r="G477"/>
      <c r="H477"/>
      <c r="I477"/>
      <c r="J477" s="301">
        <f>SUM(J476:J476)</f>
        <v>169.99</v>
      </c>
      <c r="K477" s="301">
        <f>SUM(K476:K476)</f>
        <v>0</v>
      </c>
      <c r="L477" s="301">
        <f>SUM(L476:L476)</f>
        <v>0</v>
      </c>
      <c r="M477" s="301">
        <f>SUM(M476:M476)</f>
        <v>169.99</v>
      </c>
      <c r="N477" s="301">
        <f>SUM(N476:N476)</f>
        <v>5376.78</v>
      </c>
    </row>
    <row r="478" spans="1:15" ht="12.75">
      <c r="A478"/>
      <c r="B478"/>
      <c r="C478" s="354"/>
      <c r="D478" s="354"/>
      <c r="F478"/>
      <c r="G478"/>
      <c r="H478"/>
      <c r="I478"/>
      <c r="J478" s="302"/>
      <c r="K478" s="302"/>
      <c r="L478" s="303"/>
      <c r="M478" s="304" t="s">
        <v>191</v>
      </c>
      <c r="N478" s="305">
        <v>6000</v>
      </c>
      <c r="O478" s="37"/>
    </row>
    <row r="479" spans="1:14" ht="12.75">
      <c r="A479"/>
      <c r="B479"/>
      <c r="C479" s="306"/>
      <c r="D479" s="354"/>
      <c r="F479"/>
      <c r="G479"/>
      <c r="H479"/>
      <c r="I479"/>
      <c r="J479"/>
      <c r="K479"/>
      <c r="L479"/>
      <c r="M479" s="307" t="s">
        <v>192</v>
      </c>
      <c r="N479" s="308">
        <f>N478-N477</f>
        <v>623.2200000000003</v>
      </c>
    </row>
    <row r="480" spans="1:14" ht="12.75">
      <c r="A480" s="275" t="s">
        <v>20</v>
      </c>
      <c r="B480" s="276" t="s">
        <v>166</v>
      </c>
      <c r="C480" s="276" t="s">
        <v>167</v>
      </c>
      <c r="D480" s="276" t="s">
        <v>168</v>
      </c>
      <c r="E480" s="276" t="s">
        <v>429</v>
      </c>
      <c r="F480" s="276" t="s">
        <v>170</v>
      </c>
      <c r="G480" s="277" t="s">
        <v>171</v>
      </c>
      <c r="H480" s="278" t="s">
        <v>172</v>
      </c>
      <c r="I480" s="278" t="s">
        <v>173</v>
      </c>
      <c r="J480" s="278" t="s">
        <v>174</v>
      </c>
      <c r="K480" s="279" t="s">
        <v>175</v>
      </c>
      <c r="L480" s="279" t="s">
        <v>176</v>
      </c>
      <c r="M480" s="279" t="s">
        <v>177</v>
      </c>
      <c r="N480" s="280" t="s">
        <v>4</v>
      </c>
    </row>
    <row r="481" spans="1:15" ht="12.75">
      <c r="A481" s="14" t="s">
        <v>540</v>
      </c>
      <c r="B481" s="399">
        <v>1</v>
      </c>
      <c r="C481" s="400" t="s">
        <v>813</v>
      </c>
      <c r="D481" s="401"/>
      <c r="E481" s="403" t="s">
        <v>814</v>
      </c>
      <c r="F481" s="403" t="s">
        <v>815</v>
      </c>
      <c r="G481" s="404"/>
      <c r="H481" s="405">
        <v>1</v>
      </c>
      <c r="I481" s="405">
        <v>60</v>
      </c>
      <c r="J481" s="406">
        <f>H481*I481</f>
        <v>60</v>
      </c>
      <c r="K481" s="406">
        <v>0</v>
      </c>
      <c r="L481" s="408">
        <v>0</v>
      </c>
      <c r="M481" s="408">
        <f>SUM(J481:L481)</f>
        <v>60</v>
      </c>
      <c r="N481" s="408">
        <v>1912.58</v>
      </c>
      <c r="O481" s="37"/>
    </row>
    <row r="482" spans="1:14" ht="12.75">
      <c r="A482"/>
      <c r="B482"/>
      <c r="C482" s="354"/>
      <c r="D482" s="354"/>
      <c r="F482"/>
      <c r="G482"/>
      <c r="H482"/>
      <c r="I482"/>
      <c r="J482" s="301">
        <f>SUM(J481:J481)</f>
        <v>60</v>
      </c>
      <c r="K482" s="301">
        <f>SUM(K481:K481)</f>
        <v>0</v>
      </c>
      <c r="L482" s="301">
        <f>SUM(L481:L481)</f>
        <v>0</v>
      </c>
      <c r="M482" s="301">
        <f>SUM(M481:M481)</f>
        <v>60</v>
      </c>
      <c r="N482" s="301">
        <f>SUM(N481:N481)</f>
        <v>1912.58</v>
      </c>
    </row>
    <row r="483" spans="1:16" ht="12.75">
      <c r="A483"/>
      <c r="B483"/>
      <c r="C483" s="354"/>
      <c r="D483" s="354"/>
      <c r="F483"/>
      <c r="G483"/>
      <c r="H483"/>
      <c r="I483"/>
      <c r="J483" s="302"/>
      <c r="K483" s="302"/>
      <c r="L483" s="303"/>
      <c r="M483" s="304" t="s">
        <v>191</v>
      </c>
      <c r="N483" s="305">
        <f>2000-377</f>
        <v>1623</v>
      </c>
      <c r="P483" s="1" t="s">
        <v>816</v>
      </c>
    </row>
    <row r="484" spans="1:14" ht="12.75">
      <c r="A484"/>
      <c r="B484"/>
      <c r="C484" s="306"/>
      <c r="D484" s="354"/>
      <c r="F484"/>
      <c r="G484"/>
      <c r="H484"/>
      <c r="I484"/>
      <c r="J484"/>
      <c r="K484"/>
      <c r="L484"/>
      <c r="M484" s="307" t="s">
        <v>192</v>
      </c>
      <c r="N484" s="308">
        <f>N483-N482</f>
        <v>-289.5799999999999</v>
      </c>
    </row>
    <row r="485" spans="1:14" ht="12.75">
      <c r="A485" s="275" t="s">
        <v>48</v>
      </c>
      <c r="B485" s="416" t="s">
        <v>166</v>
      </c>
      <c r="C485" s="416" t="s">
        <v>167</v>
      </c>
      <c r="D485" s="416" t="s">
        <v>168</v>
      </c>
      <c r="E485" s="416" t="s">
        <v>429</v>
      </c>
      <c r="F485" s="416" t="s">
        <v>170</v>
      </c>
      <c r="G485" s="417" t="s">
        <v>171</v>
      </c>
      <c r="H485" s="418" t="s">
        <v>172</v>
      </c>
      <c r="I485" s="418" t="s">
        <v>173</v>
      </c>
      <c r="J485" s="418" t="s">
        <v>174</v>
      </c>
      <c r="K485" s="419" t="s">
        <v>175</v>
      </c>
      <c r="L485" s="419" t="s">
        <v>176</v>
      </c>
      <c r="M485" s="419" t="s">
        <v>177</v>
      </c>
      <c r="N485" s="420" t="s">
        <v>4</v>
      </c>
    </row>
    <row r="486" spans="1:15" ht="12.75">
      <c r="A486" s="14" t="s">
        <v>817</v>
      </c>
      <c r="B486" s="421">
        <v>1</v>
      </c>
      <c r="C486" s="422" t="s">
        <v>818</v>
      </c>
      <c r="D486" s="423"/>
      <c r="E486" s="424" t="s">
        <v>819</v>
      </c>
      <c r="F486" s="424" t="s">
        <v>820</v>
      </c>
      <c r="G486" s="425" t="s">
        <v>283</v>
      </c>
      <c r="H486" s="426">
        <v>1</v>
      </c>
      <c r="I486" s="426">
        <v>29.95</v>
      </c>
      <c r="J486" s="427">
        <f>H486*I486</f>
        <v>29.95</v>
      </c>
      <c r="K486" s="427">
        <v>0</v>
      </c>
      <c r="L486" s="428">
        <f>J486*0.0975</f>
        <v>2.920125</v>
      </c>
      <c r="M486" s="428">
        <f>SUM(J486:L486)</f>
        <v>32.870125</v>
      </c>
      <c r="N486" s="428"/>
      <c r="O486" s="37"/>
    </row>
    <row r="487" spans="1:15" ht="12.75">
      <c r="A487" s="14"/>
      <c r="B487" s="421">
        <v>2</v>
      </c>
      <c r="C487" s="429" t="s">
        <v>821</v>
      </c>
      <c r="D487" s="423"/>
      <c r="E487" s="424" t="s">
        <v>822</v>
      </c>
      <c r="F487" s="424" t="s">
        <v>823</v>
      </c>
      <c r="G487" s="425" t="s">
        <v>283</v>
      </c>
      <c r="H487" s="426">
        <v>1</v>
      </c>
      <c r="I487" s="426">
        <v>24.95</v>
      </c>
      <c r="J487" s="427">
        <f>H487*I487</f>
        <v>24.95</v>
      </c>
      <c r="K487" s="427">
        <v>0</v>
      </c>
      <c r="L487" s="428">
        <f>J487*0.0975</f>
        <v>2.432625</v>
      </c>
      <c r="M487" s="428">
        <f>SUM(J487:L487)</f>
        <v>27.382624999999997</v>
      </c>
      <c r="N487" s="428"/>
      <c r="O487" s="37"/>
    </row>
    <row r="488" spans="1:15" ht="12.75">
      <c r="A488" s="14"/>
      <c r="B488" s="421">
        <v>3</v>
      </c>
      <c r="C488" s="429" t="s">
        <v>824</v>
      </c>
      <c r="D488" s="423"/>
      <c r="E488" s="424" t="s">
        <v>825</v>
      </c>
      <c r="F488" s="424" t="s">
        <v>826</v>
      </c>
      <c r="G488" s="425" t="s">
        <v>283</v>
      </c>
      <c r="H488" s="426">
        <v>1</v>
      </c>
      <c r="I488" s="426">
        <v>19.95</v>
      </c>
      <c r="J488" s="427">
        <f>H488*I488</f>
        <v>19.95</v>
      </c>
      <c r="K488" s="427">
        <v>0</v>
      </c>
      <c r="L488" s="428">
        <f>J488*0.0975</f>
        <v>1.945125</v>
      </c>
      <c r="M488" s="428">
        <f>SUM(J488:L488)</f>
        <v>21.895125</v>
      </c>
      <c r="N488" s="428"/>
      <c r="O488" s="37"/>
    </row>
    <row r="489" spans="1:15" ht="12.75">
      <c r="A489" s="14" t="s">
        <v>827</v>
      </c>
      <c r="B489" s="430">
        <v>4</v>
      </c>
      <c r="C489" s="431" t="s">
        <v>828</v>
      </c>
      <c r="D489" s="432"/>
      <c r="E489" s="433" t="s">
        <v>829</v>
      </c>
      <c r="F489" s="433" t="s">
        <v>830</v>
      </c>
      <c r="G489" s="434" t="s">
        <v>831</v>
      </c>
      <c r="H489" s="435">
        <v>1</v>
      </c>
      <c r="I489" s="435">
        <v>19.5</v>
      </c>
      <c r="J489" s="436">
        <f>H489*I489</f>
        <v>19.5</v>
      </c>
      <c r="K489" s="436"/>
      <c r="L489" s="437"/>
      <c r="M489" s="437">
        <f>SUM(J489:L489)</f>
        <v>19.5</v>
      </c>
      <c r="N489" s="437"/>
      <c r="O489" s="37"/>
    </row>
    <row r="490" spans="1:15" ht="12.75">
      <c r="A490" s="14"/>
      <c r="B490" s="430">
        <v>5</v>
      </c>
      <c r="C490" s="431" t="s">
        <v>832</v>
      </c>
      <c r="D490" s="432"/>
      <c r="E490" s="433" t="s">
        <v>833</v>
      </c>
      <c r="F490" s="433" t="s">
        <v>834</v>
      </c>
      <c r="G490" s="434" t="s">
        <v>831</v>
      </c>
      <c r="H490" s="435">
        <v>1</v>
      </c>
      <c r="I490" s="435">
        <v>59.5</v>
      </c>
      <c r="J490" s="436">
        <f>H490*I490</f>
        <v>59.5</v>
      </c>
      <c r="K490" s="436"/>
      <c r="L490" s="437"/>
      <c r="M490" s="437">
        <f>SUM(J490:L490)</f>
        <v>59.5</v>
      </c>
      <c r="N490" s="437"/>
      <c r="O490" s="37"/>
    </row>
    <row r="491" spans="1:14" ht="12.75">
      <c r="A491"/>
      <c r="B491"/>
      <c r="C491"/>
      <c r="D491"/>
      <c r="F491"/>
      <c r="G491"/>
      <c r="H491"/>
      <c r="I491"/>
      <c r="J491" s="301">
        <f>SUM(J486:J490)</f>
        <v>153.85</v>
      </c>
      <c r="K491" s="301">
        <f>SUM(K486:K490)</f>
        <v>0</v>
      </c>
      <c r="L491" s="301">
        <f>SUM(L486:L490)</f>
        <v>7.2978749999999994</v>
      </c>
      <c r="M491" s="301">
        <f>SUM(M486:M490)</f>
        <v>161.147875</v>
      </c>
      <c r="N491" s="301">
        <f>SUM(N486:N490)</f>
        <v>0</v>
      </c>
    </row>
    <row r="492" spans="1:14" ht="12.75">
      <c r="A492"/>
      <c r="B492"/>
      <c r="C492"/>
      <c r="D492"/>
      <c r="F492"/>
      <c r="G492"/>
      <c r="H492"/>
      <c r="I492"/>
      <c r="J492"/>
      <c r="K492"/>
      <c r="L492"/>
      <c r="M492" s="304" t="s">
        <v>191</v>
      </c>
      <c r="N492" s="305">
        <f>1177+1500</f>
        <v>2677</v>
      </c>
    </row>
    <row r="493" spans="1:14" ht="12.75">
      <c r="A493"/>
      <c r="B493"/>
      <c r="C493"/>
      <c r="D493"/>
      <c r="F493"/>
      <c r="G493"/>
      <c r="H493"/>
      <c r="I493"/>
      <c r="J493"/>
      <c r="K493"/>
      <c r="L493"/>
      <c r="M493" s="307" t="s">
        <v>192</v>
      </c>
      <c r="N493" s="308">
        <f>N491-N492</f>
        <v>-2677</v>
      </c>
    </row>
    <row r="494" spans="1:14" ht="12.75">
      <c r="A494" s="438" t="s">
        <v>41</v>
      </c>
      <c r="B494" s="276" t="s">
        <v>166</v>
      </c>
      <c r="C494" s="276" t="s">
        <v>167</v>
      </c>
      <c r="D494" s="276" t="s">
        <v>168</v>
      </c>
      <c r="E494" s="276" t="s">
        <v>429</v>
      </c>
      <c r="F494" s="276" t="s">
        <v>170</v>
      </c>
      <c r="G494" s="277" t="s">
        <v>171</v>
      </c>
      <c r="H494" s="278" t="s">
        <v>172</v>
      </c>
      <c r="I494" s="278" t="s">
        <v>173</v>
      </c>
      <c r="J494" s="278" t="s">
        <v>174</v>
      </c>
      <c r="K494" s="279" t="s">
        <v>175</v>
      </c>
      <c r="L494" s="279" t="s">
        <v>176</v>
      </c>
      <c r="M494" s="279" t="s">
        <v>177</v>
      </c>
      <c r="N494" s="280" t="s">
        <v>4</v>
      </c>
    </row>
    <row r="495" spans="1:15" ht="12.75">
      <c r="A495" s="14" t="s">
        <v>835</v>
      </c>
      <c r="B495" s="421">
        <v>1</v>
      </c>
      <c r="C495" s="422" t="s">
        <v>836</v>
      </c>
      <c r="D495" s="423"/>
      <c r="E495" s="424" t="s">
        <v>837</v>
      </c>
      <c r="F495" s="424" t="s">
        <v>838</v>
      </c>
      <c r="G495" s="425" t="s">
        <v>243</v>
      </c>
      <c r="H495" s="426">
        <v>1</v>
      </c>
      <c r="I495" s="426">
        <v>16.2</v>
      </c>
      <c r="J495" s="427">
        <f>H495*I495</f>
        <v>16.2</v>
      </c>
      <c r="K495" s="427">
        <v>2</v>
      </c>
      <c r="L495" s="428">
        <v>0</v>
      </c>
      <c r="M495" s="428">
        <f>SUM(J495:L495)</f>
        <v>18.2</v>
      </c>
      <c r="N495" s="428"/>
      <c r="O495" s="37"/>
    </row>
    <row r="496" spans="1:15" ht="12.75">
      <c r="A496" s="14"/>
      <c r="B496" s="421">
        <v>2</v>
      </c>
      <c r="C496" s="422" t="s">
        <v>839</v>
      </c>
      <c r="D496" s="423"/>
      <c r="E496" s="424" t="s">
        <v>840</v>
      </c>
      <c r="F496" s="424" t="s">
        <v>475</v>
      </c>
      <c r="G496" s="425" t="s">
        <v>243</v>
      </c>
      <c r="H496" s="426">
        <v>1</v>
      </c>
      <c r="I496" s="426">
        <v>7.99</v>
      </c>
      <c r="J496" s="427">
        <f>H496*I496</f>
        <v>7.99</v>
      </c>
      <c r="K496" s="427">
        <v>2</v>
      </c>
      <c r="L496" s="428">
        <v>0</v>
      </c>
      <c r="M496" s="428">
        <f>SUM(J496:L496)</f>
        <v>9.99</v>
      </c>
      <c r="N496" s="428"/>
      <c r="O496" s="37"/>
    </row>
    <row r="497" spans="1:14" ht="12.75">
      <c r="A497"/>
      <c r="B497"/>
      <c r="C497" s="354"/>
      <c r="D497" s="354"/>
      <c r="F497"/>
      <c r="G497"/>
      <c r="H497"/>
      <c r="I497"/>
      <c r="J497" s="301">
        <f>SUM(J495:J496)</f>
        <v>24.189999999999998</v>
      </c>
      <c r="K497" s="301">
        <f>SUM(K495:K496)</f>
        <v>4</v>
      </c>
      <c r="L497" s="301">
        <f>SUM(L495:L496)</f>
        <v>0</v>
      </c>
      <c r="M497" s="301">
        <f>SUM(M495:M496)</f>
        <v>28.189999999999998</v>
      </c>
      <c r="N497" s="340">
        <f>M497*32</f>
        <v>902.0799999999999</v>
      </c>
    </row>
    <row r="498" spans="1:14" ht="12.75">
      <c r="A498"/>
      <c r="B498"/>
      <c r="C498" s="354"/>
      <c r="D498" s="354"/>
      <c r="F498"/>
      <c r="G498"/>
      <c r="H498"/>
      <c r="I498"/>
      <c r="J498" s="302"/>
      <c r="K498" s="302"/>
      <c r="L498" s="303"/>
      <c r="M498" s="304" t="s">
        <v>191</v>
      </c>
      <c r="N498" s="305"/>
    </row>
    <row r="499" spans="1:14" ht="12.75">
      <c r="A499"/>
      <c r="B499"/>
      <c r="C499" s="306"/>
      <c r="D499" s="354"/>
      <c r="F499"/>
      <c r="G499"/>
      <c r="H499"/>
      <c r="I499"/>
      <c r="J499"/>
      <c r="K499"/>
      <c r="L499"/>
      <c r="M499" s="307" t="s">
        <v>192</v>
      </c>
      <c r="N499" s="308">
        <f>N498-N497</f>
        <v>-902.0799999999999</v>
      </c>
    </row>
    <row r="500" spans="1:14" ht="12.75">
      <c r="A500" s="438" t="s">
        <v>753</v>
      </c>
      <c r="B500" s="276" t="s">
        <v>166</v>
      </c>
      <c r="C500" s="276" t="s">
        <v>167</v>
      </c>
      <c r="D500" s="276" t="s">
        <v>168</v>
      </c>
      <c r="E500" s="276" t="s">
        <v>429</v>
      </c>
      <c r="F500" s="276" t="s">
        <v>170</v>
      </c>
      <c r="G500" s="277" t="s">
        <v>171</v>
      </c>
      <c r="H500" s="278" t="s">
        <v>172</v>
      </c>
      <c r="I500" s="278" t="s">
        <v>173</v>
      </c>
      <c r="J500" s="278" t="s">
        <v>174</v>
      </c>
      <c r="K500" s="279" t="s">
        <v>175</v>
      </c>
      <c r="L500" s="279" t="s">
        <v>176</v>
      </c>
      <c r="M500" s="279" t="s">
        <v>177</v>
      </c>
      <c r="N500" s="280" t="s">
        <v>4</v>
      </c>
    </row>
    <row r="501" spans="1:15" ht="12.75">
      <c r="A501" s="14" t="s">
        <v>128</v>
      </c>
      <c r="B501" s="421">
        <v>1</v>
      </c>
      <c r="C501" s="422" t="s">
        <v>841</v>
      </c>
      <c r="D501" s="423"/>
      <c r="E501" s="424" t="s">
        <v>842</v>
      </c>
      <c r="F501" s="424"/>
      <c r="G501" s="425"/>
      <c r="H501" s="426">
        <v>1</v>
      </c>
      <c r="I501" s="426">
        <v>15.78</v>
      </c>
      <c r="J501" s="427">
        <f>H501*I501</f>
        <v>15.78</v>
      </c>
      <c r="K501" s="427">
        <v>0</v>
      </c>
      <c r="L501" s="428">
        <v>0</v>
      </c>
      <c r="M501" s="428">
        <f>SUM(J501:L501)</f>
        <v>15.78</v>
      </c>
      <c r="N501" s="428"/>
      <c r="O501" s="37"/>
    </row>
    <row r="502" spans="1:15" ht="12.75">
      <c r="A502" s="14"/>
      <c r="B502" s="421">
        <v>2</v>
      </c>
      <c r="C502" s="422" t="s">
        <v>843</v>
      </c>
      <c r="D502" s="423"/>
      <c r="E502" s="424" t="s">
        <v>844</v>
      </c>
      <c r="F502" s="424"/>
      <c r="G502" s="425"/>
      <c r="H502" s="426">
        <v>1</v>
      </c>
      <c r="I502" s="426">
        <v>29.02</v>
      </c>
      <c r="J502" s="427">
        <f>H502*I502</f>
        <v>29.02</v>
      </c>
      <c r="K502" s="427">
        <v>0</v>
      </c>
      <c r="L502" s="428">
        <v>0</v>
      </c>
      <c r="M502" s="428">
        <f>SUM(J502:L502)</f>
        <v>29.02</v>
      </c>
      <c r="N502" s="428"/>
      <c r="O502" s="37"/>
    </row>
    <row r="503" spans="1:15" ht="12.75">
      <c r="A503" s="14"/>
      <c r="B503" s="421">
        <v>3</v>
      </c>
      <c r="C503" s="422" t="s">
        <v>845</v>
      </c>
      <c r="D503" s="423"/>
      <c r="E503" s="424" t="s">
        <v>846</v>
      </c>
      <c r="F503" s="424"/>
      <c r="G503" s="425"/>
      <c r="H503" s="426">
        <v>1</v>
      </c>
      <c r="I503" s="426">
        <v>19.86</v>
      </c>
      <c r="J503" s="427">
        <f>H503*I503</f>
        <v>19.86</v>
      </c>
      <c r="K503" s="427">
        <v>0</v>
      </c>
      <c r="L503" s="428">
        <v>0</v>
      </c>
      <c r="M503" s="428">
        <f>SUM(J503:L503)</f>
        <v>19.86</v>
      </c>
      <c r="N503" s="428"/>
      <c r="O503" s="37"/>
    </row>
    <row r="504" spans="1:14" ht="12.75">
      <c r="A504"/>
      <c r="B504"/>
      <c r="C504" s="354"/>
      <c r="D504" s="354"/>
      <c r="F504"/>
      <c r="G504"/>
      <c r="H504"/>
      <c r="I504"/>
      <c r="J504" s="301">
        <f>SUM(J501:J503)</f>
        <v>64.66</v>
      </c>
      <c r="K504" s="301">
        <f>SUM(K501:K503)</f>
        <v>0</v>
      </c>
      <c r="L504" s="301">
        <f>SUM(L501:L503)</f>
        <v>0</v>
      </c>
      <c r="M504" s="301">
        <f>SUM(M501:M503)</f>
        <v>64.66</v>
      </c>
      <c r="N504" s="340">
        <f>M504*32</f>
        <v>2069.12</v>
      </c>
    </row>
    <row r="505" spans="1:14" ht="12.75">
      <c r="A505"/>
      <c r="B505"/>
      <c r="C505" s="354"/>
      <c r="D505" s="354"/>
      <c r="F505"/>
      <c r="G505"/>
      <c r="H505"/>
      <c r="I505"/>
      <c r="J505" s="302"/>
      <c r="K505" s="302"/>
      <c r="L505" s="303"/>
      <c r="M505" s="304" t="s">
        <v>191</v>
      </c>
      <c r="N505" s="305">
        <v>2000</v>
      </c>
    </row>
    <row r="506" spans="1:14" ht="12.75">
      <c r="A506"/>
      <c r="B506"/>
      <c r="C506" s="306"/>
      <c r="D506" s="354"/>
      <c r="F506"/>
      <c r="G506"/>
      <c r="H506"/>
      <c r="I506"/>
      <c r="J506"/>
      <c r="K506"/>
      <c r="L506"/>
      <c r="M506" s="307" t="s">
        <v>192</v>
      </c>
      <c r="N506" s="308">
        <f>N505-N504</f>
        <v>-69.11999999999989</v>
      </c>
    </row>
  </sheetData>
  <sheetProtection selectLockedCells="1" selectUnlockedCells="1"/>
  <hyperlinks>
    <hyperlink ref="C2" r:id="rId1" display="http://www.proboardshop.com/sa1grw04wg8zz-salomon-bindings.html"/>
    <hyperlink ref="C3" r:id="rId2" display="http://www.proboardshop.com/tr3wi01fbs9zz-trespass-snowboard-jackets.html"/>
    <hyperlink ref="C4" r:id="rId3" display="http://www.proboardshop.com/bt8rbmo10zz-burton-beanies.html"/>
    <hyperlink ref="C9" r:id="rId4" display="http://www.landsend.com/pp/BeltedDoryCoat~211559_59.html?bcc=y&amp;action=order_more&amp;sku_0=::AI7&amp;CM_MERCH=IDX_00002__0000000142&amp;origin=index"/>
    <hyperlink ref="C10" r:id="rId5" display="http://www.landsend.com/pp/StylePage-394641_A5.html?CM_MERCH=REC-_-FPPP-_-GGT-_-1-_-394641-_-396509"/>
    <hyperlink ref="C11" r:id="rId6" display="http://www.landsend.com/pp/StylePage-359582_3A.html?CM_MERCH=REC-_-LIPP-_-GGT-_-1-_-359582-_-http"/>
    <hyperlink ref="C16" r:id="rId7" display="Charles David: Patisse"/>
    <hyperlink ref="C21" r:id="rId8" display="http://www.6pm.com/asics-gt-2140-lightning-onyx-electric-blue"/>
    <hyperlink ref="E21" r:id="rId9" display="ASICS GT-2140® "/>
    <hyperlink ref="C26" r:id="rId10" display="http://www.landsend.com/pp/GirlsKnitSkort~206436_5.html?bcc=y&amp;action=order_more&amp;sku_0=::CPL&amp;CM_MERCH=IDX_00008#BVRRWidgetID"/>
    <hyperlink ref="C27" r:id="rId11" display="http://www.landsend.com/pp/GirlsKnitSkort~206436_5.html?bcc=y&amp;action=order_more&amp;sku_0=::CPL&amp;CM_MERCH=IDX_00008#BVRRWidgetID"/>
    <hyperlink ref="C28" r:id="rId12" display="http://www.landsend.com/pp/KidsFleeceFullzipJacket~207114_5.html?bcc=y&amp;action=order_more&amp;sku_0=::IVO&amp;CM_MERCH=IDX_00008&amp;origin=index"/>
    <hyperlink ref="C29" r:id="rId13" display="http://www.landsend.com/pp/StylePage-48795_6H.html?CM_MERCH=REC-_-LIPP-_-GGT-_-1-_-48795-_-http"/>
    <hyperlink ref="C30" r:id="rId14" display="http://www.landsend.com/pp/ThermaCheck100FleeceBalaclava~214117_-1.html?bcc=y&amp;action=order_more&amp;sku_0=::CHH&amp;CM_MERCH=IDX_00008__0000000338"/>
    <hyperlink ref="E31" r:id="rId15" display="Women Regular Modern Solid Cap Sleeve Stretch Two Pocket Mesh Polo"/>
    <hyperlink ref="C36" r:id="rId16" display="http://www.zappos.com/product/7620092/color/244187"/>
    <hyperlink ref="C37" r:id="rId17" display="http://www.zappos.com/oakley-groovin-track-jacket-white"/>
    <hyperlink ref="C42" r:id="rId18" display="http://www.6pm.com/petit-61839-toddler-youth-pearlized-bone-leather"/>
    <hyperlink ref="E42" r:id="rId19" display="Petit 61839 (Toddler/Youth)"/>
    <hyperlink ref="C43" r:id="rId20" display="http://www.6pm.com/umi-kids-opera-toddler-youth-black"/>
    <hyperlink ref="E43" r:id="rId21" display="Umi Kids Opera (Toddler/Youth)"/>
    <hyperlink ref="C44" r:id="rId22" display="http://www.6pm.com/timberland-kids-hypertrail-route-racer-youth-1-navy-grey"/>
    <hyperlink ref="E44" r:id="rId23" display="Timberland Kids Hypertrail Route Racer (Youth 1)"/>
    <hyperlink ref="C45" r:id="rId24" display="http://www.6pm.com/born-kids-joelle-youth-bronze-metallic"/>
    <hyperlink ref="E45" r:id="rId25" display="Born Kids Joelle (Youth)"/>
    <hyperlink ref="C50" r:id="rId26" display="http://www.amazon.com/Philips-DC315-37-Speaker-System/dp/B002IT1BFO/ref=sr_1_4?s=electronics&amp;ie=UTF8&amp;qid=1284616048&amp;sr=1-4"/>
    <hyperlink ref="E50" r:id="rId27" display="Philips DC315/37 Speaker System "/>
    <hyperlink ref="C55" r:id="rId28" display="http://www.sheplers.com/list/womens_dingo_boots/045f89.html"/>
    <hyperlink ref="C56" r:id="rId29" display="http://www.sheplers.com/womens/womens_tops_29/658411.html"/>
    <hyperlink ref="C61" r:id="rId30" display="http://www.sheplers.com/mens/suits_and_sportcoats/072873.html#"/>
    <hyperlink ref="C66" r:id="rId31" display="cgi.ebay.com/MANTLE-CLOCK-IT...h=item19bf8f50b "/>
    <hyperlink ref="C71" r:id="rId32" display="http://cgi.ebay.com/ws/eBayISAPI.dll?ViewItem&amp;item=320594273724&amp;ssPageName=STRK:MEWNX:IT"/>
    <hyperlink ref="C78" r:id="rId33" display="http://www.amazon.com/Navy-Scoop-Sweater-Dress-Medium/dp/B0041NMGPY/ref=sr_1_13?ie=UTF8&amp;s=apparel&amp;qid=1285590115&amp;sr=1-13"/>
    <hyperlink ref="C83" r:id="rId34" display="http://www.6pm.com/diba-dis-n-dat-tan"/>
    <hyperlink ref="A87" r:id="rId35" display="Alyona* "/>
    <hyperlink ref="C88" r:id="rId36" display="http://cgi.ebay.com/ws/eBayISAPI.dll?ViewItem&amp;item=170544802267&amp;ssPageName=STRK:MEWAX:IT"/>
    <hyperlink ref="C89" r:id="rId37" display="http://cgi.ebay.com/ws/eBayISAPI.dll?ViewItem&amp;item=170545792987&amp;var=470008670629&amp;ssPageName=STRK:MEWAX:IT"/>
    <hyperlink ref="C94" r:id="rId38" display="http://www.6pm.com/product/7695850/color/275"/>
    <hyperlink ref="E94" r:id="rId39" display="EMU Wool Avoca"/>
    <hyperlink ref="C95" r:id="rId40" display="http://www.landsend.com/pp/StylePage-383033_6H.html?CM_MERCH=REC-_-LIPP-_-GGT-_-2-_-383033-_-257715"/>
    <hyperlink ref="C96" r:id="rId41" display="http://www.landsend.com/pp/KneeSquallBibPants~207021_5.html?bcc=y&amp;action=order_more&amp;sku_0=::CLN&amp;CM_MERCH=IDX_00008&amp;origin=index"/>
    <hyperlink ref="C97" r:id="rId42" display="http://www.landsend.com/pp/ThermaCheck100FleeceBalaclava~214117_-1.html?bcc=y&amp;action=order_more&amp;sku_0=::BLA&amp;CM_MERCH=IDX_00008&amp;origin=index"/>
    <hyperlink ref="C102" r:id="rId43" display="http://www.landsend.com/pp/DownJacket~212890_1187.html?bcc=y&amp;action=order_more&amp;sku_0=::LOA&amp;CM_MERCH=IDX_00004__0000000427&amp;origin=index"/>
    <hyperlink ref="C107" r:id="rId44" display="http://www.landsend.com/pp/DownJacket~212890_1187.html?bcc=y&amp;action=order_more&amp;sku_0=::LOA&amp;CM_MERCH=IDX_00004__0000000427&amp;origin=index"/>
    <hyperlink ref="C112" r:id="rId45" display="http://oldnavy.gap.com/browse/product.do?cid=26195&amp;vid=1&amp;pid=792317"/>
    <hyperlink ref="C113" r:id="rId46" display="http://oldnavy.gap.com/browse/product.do?cid=26196&amp;vid=1&amp;pid=772825"/>
    <hyperlink ref="C114" r:id="rId47" display="http://oldnavy.gap.com/browse/product.do?cid=41960&amp;vid=1&amp;pid=774548"/>
    <hyperlink ref="C115" r:id="rId48" display="http://oldnavy.gap.com/browse/product.do?cid=41978&amp;vid=1&amp;pid=699061"/>
    <hyperlink ref="C116" r:id="rId49" display="http://www.gap.com/browse/product.do?cid=26217&amp;vid=1&amp;pid=764400"/>
    <hyperlink ref="C121" r:id="rId50" display="http://www.amazon.com/Thomas-Friends-Easy-Go/dp/B002SNA5I4/ref=sr_1_238?s=STORE&amp;ie=UTF8&amp;qid=1285919727&amp;sr=1-238"/>
    <hyperlink ref="C126" r:id="rId51" display="http://www.6pm.com/roxy-kids-fast-track-boot-toddler-youth-winter-black-plaid"/>
    <hyperlink ref="E126" r:id="rId52" display="Roxy Kids Fast Track Boot (Toddler/Youth)"/>
    <hyperlink ref="C127" r:id="rId53" display="http://www.6pm.com/volatile-chummy-brown"/>
    <hyperlink ref="E127" r:id="rId54" display="VOLATILE Chummy"/>
    <hyperlink ref="C132" r:id="rId55" display="http://www.6pm.com/calvin-klein-kaden-white-re-color-satin "/>
    <hyperlink ref="C137" r:id="rId56" display="http://www.amazon.com/BLOCH-Womens-Fusion-Dance-Sneaker/dp/B001U5Z9BO/ref=sr_1_309?s=shoes&amp;ie=UTF8&amp;qid=1286128792&amp;sr=1-309"/>
    <hyperlink ref="C142" r:id="rId57" display="http://cgi.ebay.com/NWT-Flower-Girl-Holiday-Pageant-Dress-Gown-Purple-4-5-/160487324847?pt=US_Childrens_Clothing_Girls&amp;hash=item255dca3caf"/>
    <hyperlink ref="E147" r:id="rId58" display="Gabriella Rocha Bree 2"/>
    <hyperlink ref="E148" r:id="rId59" display="Gabriella Rocha Winter Hit Wide Calf SKU #7479055"/>
    <hyperlink ref="E149" r:id="rId60" display="Nike Kids Little Celso (Toddler"/>
    <hyperlink ref="E150" r:id="rId61" display="K-Swiss Kids Albury® II Core (Infant/Toddler) SKU #7575796"/>
    <hyperlink ref="E151" r:id="rId62" display="Columbia Kids Skimmer® (Infant/Toddler) SKU #7597452"/>
    <hyperlink ref="C156" r:id="rId63" display="http://cgi.ebay.com/calvin-klein-lean-boot-cut-dark-wash-jeans-womens-/230532522287?pt=US_CSA_WC_Jeans&amp;hash=item35accf212f"/>
    <hyperlink ref="C161" r:id="rId64" display="http://www.6pm.com/emu-wool-bronte-lo-black"/>
    <hyperlink ref="E161" r:id="rId65" display="EMU Wool Bronte Lo "/>
    <hyperlink ref="C166" r:id="rId66" display="http://cabelas.com/cabelas/en/templates/links/link.jsp?type=product&amp;cmCat=Related_IPL_830535&amp;id=0050812830952a"/>
    <hyperlink ref="C171" r:id="rId67" display="http://www.cabelas.com/catalog/product.jsp?productId=753556&amp;categoryId=0&amp;parentCategoryId=0&amp;subCategoryId=0&amp;indexId=0&amp;productVariantId=1752961&amp;quantity=5&amp;itemGUID=a501671bac107056205d4a6579055a47"/>
    <hyperlink ref="C176" r:id="rId68" display="http://www.amazon.com/Microplane-Professional-Series-Large-Shaver/dp/B0000CFF1U/ref=sr_1_18?s=home-garden&amp;ie=UTF8&amp;qid=1286283477&amp;sr=1-18"/>
    <hyperlink ref="C177" r:id="rId69" display="http://www.amazon.com/Microplane-Professional-Series-Grater-Attachment/dp/B000P1SAEM/ref=pd_bxgy_k_img_c"/>
    <hyperlink ref="C178" r:id="rId70" display="http://www.amazon.com/Microplane-Professional-Patented-Design-Coarse/dp/B00009WE3Y/ref=pd_bxgy_k_img_c"/>
    <hyperlink ref="C179" r:id="rId71" display="http://www.amazon.com/Fiskars-95217097-45-Rotary-Cutter/dp/B000B7M8WU/ref=sr_1_6?s=home-garden&amp;ie=UTF8&amp;qid=1286954770&amp;sr=1-6"/>
    <hyperlink ref="C180" r:id="rId72" display="http://www.amazon.com/Fiskars-95287097-Rotary-Staight-5-Pack/dp/B000B7MUFK/ref=sr_1_3?s=home-garden&amp;ie=UTF8&amp;qid=1286954770&amp;sr=1-3"/>
    <hyperlink ref="C181" r:id="rId73" display="http://www.amazon.com/Self-Healing-Green-Cutting-inches/dp/B0025189VE/ref=sr_1_8?s=home-garden&amp;ie=UTF8&amp;qid=1287380434&amp;sr=1-8"/>
    <hyperlink ref="C182" r:id="rId74" display="http://www.amazon.com/Razzberry-Parfait-Stick-Rotary-Cutter/dp/B003USTYII/ref=sr_1_13?s=home-garden&amp;ie=UTF8&amp;qid=1286956156&amp;sr=1-13"/>
    <hyperlink ref="C187" r:id="rId75" display="http://www.amazon.com/gp/product/B002MAB3O8/ref=ord_cart_shr?ie=UTF8&amp;m=A1A5WKXZLE8CDR"/>
    <hyperlink ref="C188" r:id="rId76" display="http://www.amazon.com/gp/product/B001JP8T9Y/ref=ord_cart_shr?ie=UTF8&amp;m=A1QGIDACEIIO9M"/>
    <hyperlink ref="C189" r:id="rId77" display="http://www.amazon.com/gp/product/B000VDZ9TS/ref=ord_cart_shr?ie=UTF8&amp;m=ATVPDKIKX0DER"/>
    <hyperlink ref="E194" r:id="rId78" display="Brown Pink Corduroy Jacket Coat Hat Boutique 18-24 M"/>
    <hyperlink ref="E195" r:id="rId79" display="NWT Brown Pink Polka Dot Corduroy Coat Hat Boutique 6/7"/>
    <hyperlink ref="E196" r:id="rId80" display="Carters 18 months Romper boys NWT "/>
    <hyperlink ref="E197" r:id="rId81" display="Nuby 4pk Snack Cup and Spoon Set"/>
    <hyperlink ref="E198" r:id="rId82" display="Nuby 6pk Nuby Bowls Lids"/>
    <hyperlink ref="C209" r:id="rId83" display="http://cgi.ebay.com/Wacom-Tech-Corp-Intuos4-Cintiq21-Airbrush-Pen-/200490935005?pt=LH_DefaultDomain_0&amp;hash=item2eae30e2dd"/>
    <hyperlink ref="C210" r:id="rId84" display="http://cgi.ebay.com/Wacom-INTUOS4-CINTIQ21-DTK2100-Art-Pen-KP701E2-/290488978643?pt=LH_DefaultDomain_0&amp;hash=item43a27e0cd3"/>
    <hyperlink ref="C211" r:id="rId85" display="http://cgi.ebay.com/Wacom-Cintiq-Tablet-PC-Art-Glove-no-friction-smudges-/230538524587?pt=LH_DefaultDomain_0&amp;hash=item35ad2ab7ab"/>
    <hyperlink ref="C216" r:id="rId86" display="http://www.6pm.com/spiewak-cooper-jacket-black"/>
    <hyperlink ref="C221" r:id="rId87" display="http://www.6pm.com/trotters-hanna-mocha-luxor"/>
    <hyperlink ref="C222" r:id="rId88" display="http://www.6pm.com/trotters-diana-black-leather"/>
    <hyperlink ref="E222" r:id="rId89" display="Trotters Diana"/>
    <hyperlink ref="C223" r:id="rId90" display="http://www.ebags.com/product/etienne-aigner/veldon-core-crossbody/144444?productid=10004290"/>
    <hyperlink ref="C228" r:id="rId91" display="http://www.6pm.com/nine-west-jiopa-black-satin"/>
    <hyperlink ref="E228" r:id="rId92" display="Nine West Jiopa"/>
    <hyperlink ref="C229" r:id="rId93" display="http://www.6pm.com/bass-dobson-tan-burnished-leather"/>
    <hyperlink ref="E229" r:id="rId94" display="Bass Dobson"/>
    <hyperlink ref="C230" r:id="rId95" display="http://www.6pm.com/kangaroos-magnolia-black-s-pink-2440"/>
    <hyperlink ref="E230" r:id="rId96" display="KangaROOS Magnolia"/>
    <hyperlink ref="C231" r:id="rId97" display="http://www.6pm.com/kangaroos-nc-42-leather-white-heather-jet-black"/>
    <hyperlink ref="C232" r:id="rId98" display="http://www.6pm.com/enzo-angiolini-quertze-brown-natural-leather-canvas"/>
    <hyperlink ref="C233" r:id="rId99" display="http://www.6pm.com/kangaroos-nc-42-leather-white-heather-jet-black "/>
    <hyperlink ref="E233" r:id="rId100" display="KangaROOS NC 42 Leather"/>
    <hyperlink ref="C234" r:id="rId101" display="http://www.6pm.com/chinese-laundry-nixon-black "/>
    <hyperlink ref="C239" r:id="rId102" display="http://www.amazon.com/Reebok-Easytone-Outside-II-Walking/dp/B0031RGZ30/ref=sr_1_1?m=A2VSS4DN1MTZ61&amp;s=shoes&amp;ie=UTF8&amp;qid=1288085546&amp;sr=1-1&amp;searchContext=B0031RGZ30,B002R0EJVW,B003BQLJI2,B001SN89Q0,B001SN8DJI,B0031RGRQK,B001GMAPZ6,B00347A69G,B001XTWGIG,B0037"/>
    <hyperlink ref="C244" r:id="rId103" display="http://www.6pm.com/frye-ada-pleats-peep-cognac-antique-brush-off"/>
    <hyperlink ref="E244" r:id="rId104" display="Frye Ada Pleats Peep"/>
    <hyperlink ref="C245" r:id="rId105" display="http://www.6pm.com/tsubo-erebus-mid-brown-dirty-lime-nappa"/>
    <hyperlink ref="E245" r:id="rId106" display="Tsubo Erebus"/>
    <hyperlink ref="C250" r:id="rId107" display="http://www.6pm.com/la-canadienne-agatha-dark-brown"/>
    <hyperlink ref="C255" r:id="rId108" display="http://www.6pm.com/adidas-originals-ciero-mid-black-black-collegiate-red "/>
    <hyperlink ref="C256" r:id="rId109" display="http://www.6pm.com/product/7525601/color/236909 "/>
    <hyperlink ref="C257" r:id="rId110" display="http://www.6pm.com/reebok-lifestyle-ex-o-fit-plus-hi-stripes-sd-black-white-team-dark-royal-brass "/>
    <hyperlink ref="E257" r:id="rId111" display="Reebok Lifestyle Ex-O-Fit Plus Hi Stripes SD"/>
    <hyperlink ref="C262" r:id="rId112" display="http://www.amazon.com/Columbia-Sportswear-Titanium-Omni-Tech-Insulated/dp/B001C4IVOK/ref=pd_sim_sg_1"/>
    <hyperlink ref="C268" r:id="rId113" display="http://www.ebags.com/product/tignanello/perfect-body-eastwest-cross-body-organizer/100814?productid=1266542"/>
    <hyperlink ref="C273" r:id="rId114" display="http://www.landsend.com/pp/ChevronDownCoat~212608_59.html?bcc=y&amp;action=order_more&amp;sku_0=::AUB&amp;CM_MERCH=IDX_00002__0000000158&amp;origin=index#BVRRWidgetID"/>
    <hyperlink ref="C278" r:id="rId115" display="http://www.gymboree.com/shop/dept_item.jsp?PRODUCT%3C%3Eprd_id=845524445994614&amp;FOLDER%3C%3Efolder_id=2534374305284917&amp;ASSORTMENT%3C%3East_id=1408474395917465&amp;bmUID=1288360557129&amp;productSizeSelected=0&amp;fit_type="/>
    <hyperlink ref="C279" r:id="rId116" display="http://www.gymboree.com/shop/dept_item.jsp?PRODUCT%3C%3Eprd_id=845524445994379&amp;FOLDER%3C%3Efolder_id=2534374305284919&amp;ASSORTMENT%3C%3East_id=1408474395917465&amp;bmUID=1288360557132&amp;productSizeSelected=0&amp;fit_type="/>
    <hyperlink ref="C280" r:id="rId117" display="http://www.gymboree.com/shop/dept_item.jsp?PRODUCT%3C%3Eprd_id=845524445994682&amp;FOLDER%3C%3Efolder_id=2534374305284919&amp;ASSORTMENT%3C%3East_id=1408474395917465&amp;bmUID=1288360557136&amp;productSizeSelected=0&amp;fit_type="/>
    <hyperlink ref="C281" r:id="rId118" display="http://www.gymboree.com/shop/dept_item.jsp?PRODUCT%3C%3Eprd_id=845524445994464&amp;FOLDER%3C%3Efolder_id=2534374305284917&amp;ASSORTMENT%3C%3East_id=1408474395917465&amp;bmUID=1288463121689&amp;productSizeSelected=0&amp;fit_type="/>
    <hyperlink ref="C282" r:id="rId119" display="http://www.gymboree.com/shop/dept_item.jsp?PRODUCT%3C%3Eprd_id=845524445992215&amp;FOLDER%3C%3Efolder_id=2534374306255746&amp;ASSORTMENT%3C%3East_id=1408474395917465&amp;bmUID=1288364541789&amp;productSizeSelected=0&amp;fit_type="/>
    <hyperlink ref="C287" r:id="rId120" display="http://www.amazon.com/Vanilla-Fields-Coty-Women-Cologne/dp/B002Z7FUKG/ref=sr_1_1?ie=UTF8&amp;s=beauty&amp;qid=1288555480&amp;sr=1-1"/>
    <hyperlink ref="C288" r:id="rId121" display="http://www.amazon.com/Exclamation-Coty-Women-Cologne-Spray/dp/B000JL69XC/ref=sr_1_6?s=beauty&amp;ie=UTF8&amp;qid=1288555990&amp;sr=1-6"/>
    <hyperlink ref="C293" r:id="rId122" display="http://cgi.ebay.com/ws/eBayISAPI.dll?ViewItem&amp;item=150508695074"/>
    <hyperlink ref="C298" r:id="rId123" display="http://www.amazon.com/Reebok-Womens-EasyTone-Sandal-purplelight/dp/B002FL57EQ/ref=sr_1_fkmr0_1?ie=UTF8&amp;qid=1288618450&amp;sr=8-1-fkmr0"/>
    <hyperlink ref="C303" r:id="rId124" display="http://www.amazon.com/gp/product/B002WTC38O/ref=s9_simh_gw_p194_d0_i1?pf_rd_m=ATVPDKIKX0DER&amp;pf_rd_s=center-2&amp;pf_rd_r=0Q2JG3A773SR15T4S8ZF&amp;pf_rd_t=101&amp;pf_rd_p=470938631&amp;pf_rd_i=507846"/>
    <hyperlink ref="C308" r:id="rId125" display="http://www.aldoshoes.com/us/sale/handbags/sale-shoulder-bags-totes/80550685-dehoyos/98"/>
    <hyperlink ref="C309" r:id="rId126" display="http://store.nike.com/us/en_us/?sitesrc=uslp=#l=shop,pdp,ctr-inline/cid-100701/pid-284395/pgid-381214"/>
    <hyperlink ref="C310" r:id="rId127" display="http://store.nike.com/us/en_us/?sitesrc=uslp=#l=shop,pdp,ctr-inline/cid-100701/pid-284773"/>
    <hyperlink ref="C311" r:id="rId128" display="http://www.nike.com/nikeos/p/nikewomen/en_US/clothing?hf=10001^12002^4294962509&amp;p=PWP&amp;t=Women%27s%20Tops#?ll=en_US&amp;ct=US&amp;pid=283580&amp;cid=101101&amp;pgid=371379&amp;p=PDP"/>
    <hyperlink ref="C312" r:id="rId129" display="http://store.nike.com/us/en_us/?sitesrc=uslp=#l=shop,pdp,ctr-inline/cid-100701/pid-326848/pgid-381129"/>
    <hyperlink ref="C313" r:id="rId130" display="http://store.nike.com/us/en_us/?sitesrc=uslp=#l=shop,pdp,ctr-inline/cid-100701/pid-300825"/>
    <hyperlink ref="C314" r:id="rId131" display="http://store.nike.com/us/en_us/?sitesrc=uslp=#l=shop,pdp,ctr-inline/cid-1/pid-321258/pgid-321257"/>
    <hyperlink ref="C315" r:id="rId132" display="http://oldnavy.gap.com/browse/product.do?pid=7931490020003&amp;cid=37366"/>
    <hyperlink ref="C316" r:id="rId133" display="http://oldnavy.gap.com/browse/product.do?pid=7969560120204&amp;cid=59029"/>
    <hyperlink ref="C317" r:id="rId134" display="http://oldnavy.gap.com/browse/product.do?pid=7933070820002&amp;cid=53934"/>
    <hyperlink ref="C318" r:id="rId135" display="http://oldnavy.gap.com/browse/product.do?pid=7988770120000&amp;cid=62140"/>
    <hyperlink ref="C319" r:id="rId136" display="http://oldnavy.gap.com/browse/product.do?pid=7977230120003&amp;cid=61923"/>
    <hyperlink ref="C320" r:id="rId137" display="http://oldnavy.gap.com/browse/product.do?pid=5221730420010&amp;cid=60979"/>
    <hyperlink ref="C321" r:id="rId138" display="http://oldnavy.gap.com/browse/product.do?pid=6380170020003&amp;cid=55153"/>
    <hyperlink ref="C326" r:id="rId139" display="http://www.amazon.com/Marc-New-York-Andrew-Hudson/dp/B003YULFWU/ref=sr_1_22?s=apparel&amp;ie=UTF8&amp;qid=1289047198&amp;sr=1-22&amp;searchContext=B0048G69WA,B0048GQQ8W,B0048GQQ8M,B0048GCC0I,B0048GCCJ4,B0048GAEJY,B003LQ22JC,B00416PWL6,B00422MK2S,B00415YI08,B00415Y27C,B00"/>
    <hyperlink ref="C327" r:id="rId140" display="http://www.amazon.com/DKNY-Danielle-Ruffled-Placket-Winter/dp/B003XHI5WC/ref=sr_1_1?s=apparel&amp;ie=UTF8&amp;qid=1289047629&amp;sr=1-1&amp;searchContext=B003XHI5WC,B003XHGWEA,B003XHJOVS,B003XCXHBG,B003XHF07U,B003XD15KA,B003U4TYUA,B003U7YWDQ,B003XHI3BK,B0048KSNDO,B0048CI"/>
    <hyperlink ref="C328" r:id="rId141" display="http://www.amazon.com/Tommy-Hilfiger-Sweaters-Tempest-Quarter/dp/B0046QHLUQ/ref=sr_1_1?ie=UTF8&amp;s=apparel&amp;qid=1289048955&amp;sr=1-1&amp;searchContext=B0046QHLUQ,B003YUM9P2,B0047OM7AG,B0040VLN7O"/>
    <hyperlink ref="C329" r:id="rId142" display="http://www.proboardshop.com/sa390z04bk10zz-salomon-hoodies.html"/>
    <hyperlink ref="C334" r:id="rId143" display="http://www.6pm.com/the-sak-pax-leather-crossbody-luggage"/>
    <hyperlink ref="C335" r:id="rId144" display="http://www.amazon.com/gp/product/B001O9CZZY/ref=ord_cart_shr?ie=UTF8&amp;m=ACX92JP8G1QSD"/>
    <hyperlink ref="C340" r:id="rId145" display="http://www.6pm.com/sudini-summit-chocolate-waterproof-calf"/>
    <hyperlink ref="E340" r:id="rId146" display="Sudini Summit"/>
    <hyperlink ref="C345" r:id="rId147" display="http://www.amazon.com/GUESS-Diamond-Rosary-Necklace-SILVER/dp/B0041MAX96/ref=sr_1_178?s=jewelry&amp;ie=UTF8&amp;qid=1288162330&amp;sr=1-178"/>
    <hyperlink ref="C350" r:id="rId148" display="http://www.6pm.com/stride-rite-tt-hendrix-h-l-core-toddler-youth-navy-graphite-yolk"/>
    <hyperlink ref="C351" r:id="rId149" display="http://www.6pm.com/vaneli-nevis-black-nairobi-patent"/>
    <hyperlink ref="C356" r:id="rId150" display="http://www.6pm.com/jessica-simpson-lepolia-black"/>
    <hyperlink ref="C357" r:id="rId151" display="http://www.6pm.com/calvin-klein-carrie-bright-red-pearlized-patent"/>
    <hyperlink ref="C358" r:id="rId152" display="http://www.6pm.com/product/7702763/color/5492"/>
    <hyperlink ref="C363" r:id="rId153" display="http://www.6pm.com/calvin-klein-jeans-beaded-tank-greenhouse"/>
    <hyperlink ref="C364" r:id="rId154" display="http://www.6pm.com/calvin-klein-625108-black"/>
    <hyperlink ref="C365" r:id="rId155" display="http://www.6pm.com/calvin-klein-karsyn-chino"/>
    <hyperlink ref="C366" r:id="rId156" display="http://www.6pm.com/wesc-stash-we-are-nozzle-smoked-pearl"/>
    <hyperlink ref="C371" r:id="rId157" display="http://www.columbia.com/on/demandware.store/Sites-Columbia_US-Site/default/Product-Show?pid=786636572523&amp;v=true"/>
    <hyperlink ref="C372" r:id="rId158" display="http://www.columbia.com/Bugapowder%E2%84%A2/BL1387_S,default,pd.html#"/>
    <hyperlink ref="C373" r:id="rId159" display="http://www.columbia.com/Men%27s-Bugastump%E2%84%A2-Omni-Tech%C2%AE/BM1447,default,pd.html#"/>
    <hyperlink ref="C383" r:id="rId160" display="http://www.sheplers.com/mens/suits_and_sportcoats/072873.html"/>
    <hyperlink ref="C384" r:id="rId161" display="http://www.sheplers.com/promo/mensouterwear_60percentoff/070041.html"/>
    <hyperlink ref="E389" r:id="rId162" display="Levis 517 Mens Boot Cut Hard Raw Rigid Blue Jeans 0217"/>
    <hyperlink ref="E390" r:id="rId163" display="MENS SIZE 36X40 LONG JEANS WRANGLER STRAIGHT CUT LEGS"/>
    <hyperlink ref="C395" r:id="rId164" display="http://www.landsend.com/pp/DownCommuterCoat~213595_59.html?bcc=y&amp;action=order_more&amp;sku_0=::AI7&amp;CM_MERCH=IDX_00002__0000000141&amp;origin=index"/>
    <hyperlink ref="E396" r:id="rId165" display="EMU Wool Nelly"/>
    <hyperlink ref="C407" r:id="rId166" display="http://www.aldoshoes.com/us/women/boo..."/>
    <hyperlink ref="C412" r:id="rId167" display="http://www.amazon.com/Americolor-Student-Culinary-Academy-Choice/dp/B000MSXFWA/ref=sr_1_668?s=home-garden&amp;ie=UTF8&amp;qid=1290623180&amp;sr=1-668"/>
    <hyperlink ref="C413" r:id="rId168" display="http://www.amazon.com/Gluten-Free-Mama-Purpose-32-Ounce/dp/B002YR7B7C/ref=sr_1_3?ie=UTF8&amp;qid=1290634293&amp;sr=8-3"/>
    <hyperlink ref="C414" r:id="rId169" display="http://www.amazon.com/Matcha-Green-Powder-loose-sample/dp/B000GB7RV8/ref=sr_1_17?ie=UTF8&amp;qid=1290670660&amp;sr=8-17"/>
    <hyperlink ref="C415" r:id="rId170" display="http://www.amazon.com/Wilton-Disposable-Inch-Decorating-Bags/dp/B0000CFMLT/ref=pd_bxgy_k_img_b"/>
    <hyperlink ref="C416" r:id="rId171" display="http://www.amazon.com/I-Love-Macarons-Hisako-Ogita/dp/0811868710/ref=pd_luc_sim_01_02_t_lh"/>
    <hyperlink ref="C421" r:id="rId172" display="http://www.6pm.com/emu-wool-hip-button-sand"/>
    <hyperlink ref="C422" r:id="rId173" display="http://www.6pm.com/diesel-t-morrow-t-shirt-beige"/>
    <hyperlink ref="C423" r:id="rId174" display="http://www.6pm.com/diesel-t-quay2-t-shirt-black"/>
    <hyperlink ref="C424" r:id="rId175" display="http://www.6pm.com/diesel-bmbx-deck-shorts-navy-blue~1"/>
    <hyperlink ref="C429" r:id="rId176" display="http://www.6pm.com/boss-hugo-boss-b0026-white-opal"/>
    <hyperlink ref="C430" r:id="rId177" display="http://www.6pm.com/product/7670821/color/4854"/>
    <hyperlink ref="C431" r:id="rId178" display="http://www.6pm.com/radcliffe-denim-twist-jumper-heather-charcoal"/>
    <hyperlink ref="C436" r:id="rId179" display="http://viewitem.eim.ebay.ru/LOWRANCE_MARK5X_PRO__FISHFINDER_MONO_83200_KHZ_TM/180588203273/item"/>
    <hyperlink ref="C441" r:id="rId180" display="http://www.amazon.com/Disney-Tangled-Rapunzel-Doll/dp/B0041IAGTW/ref=pd_sim_t_17"/>
    <hyperlink ref="C442" r:id="rId181" display="http://www.amazon.com/Girls-Party-Dress-Taffeta-Sequins/dp/B001MGLPFA/ref=pd_sbs_a_3"/>
    <hyperlink ref="C447" r:id="rId182" display="http://cgi.ebay.com/7-Pcs-Makeup-Brushes-Set-Goat-Hair-Eyeshadow-Brush-BS7-/320626190187?pt=LH_DefaultDomain_0&amp;hash=item4aa6cf676b"/>
    <hyperlink ref="C448" r:id="rId183" display="http://cgi.ebay.com/new-P-88-color-eyeshadow-matt-palette-warm-04-1-/320550812688?pt=US_Makeup_Eyes&amp;hash=item4aa2513c10"/>
    <hyperlink ref="C449" r:id="rId184" display="http://cgi.ebay.com/NEW-15-Piece-Eye-Shadow-Eyeshadow-Neutral-Nudes-Palette-/220616641089?pt=UK_Health_Beauty_Make_up_Cosmetics_Eye_Shadow_PP&amp;hash=item335dc6ca41"/>
    <hyperlink ref="E450" r:id="rId185" display="14 color powder mineral eyeshadow makeup eye shadow M18"/>
    <hyperlink ref="E451" r:id="rId186" display="5 Piece QUICK FIX KIT Mineral Makeup Brushes Bare Cover"/>
    <hyperlink ref="C456" r:id="rId187" display="http://www.6pm.com/cole-haan-zoom-flywire-fuschia-vintage-silver"/>
    <hyperlink ref="C457" r:id="rId188" display="http://www.6pm.com/product/7416050/color/3"/>
    <hyperlink ref="C458" r:id="rId189" display="http://www.6pm.com/etnies-fielder-vi-brown-beige-gum"/>
    <hyperlink ref="C459" r:id="rId190" display="http://www.6pm.com/columbia-monterosso-hawk"/>
    <hyperlink ref="C460" r:id="rId191" display="http://www.6pm.com/oakley-bottlecap-2-black-orange"/>
    <hyperlink ref="C461" r:id="rId192" display="http://www.6pm.com/bacco-bucci-cj-tan"/>
    <hyperlink ref="C462" r:id="rId193" display="http://www.6pm.com/garvalin-kids-092135-toddler-youth-white-leather"/>
    <hyperlink ref="C467" r:id="rId194" display="http://www.amazon.com/Prehistoric-Pets-Terrordactyl-Interactive-Dinosaur/dp/B00383PNKS/ref=ty_blfr10_up_to_50pctFDoc_1000639851_2_27_img?ie=UTF8&amp;m=ATVPDKIKX0DER&amp;s=toys-and-games&amp;pf_rd_p=1284790142&amp;pf_rd_s=center-2&amp;pf_rd_t=1401&amp;pf_rd_i=1000639851&amp;pf_rd_m=A"/>
    <hyperlink ref="C468" r:id="rId195" display="http://www.amazon.com/Disney-Flo-Die-Cast-Car/dp/B002FWW3R4/ref=sr_1_110?s=toys-and-games&amp;ie=UTF8&amp;qid=1293129917&amp;sr=1-110"/>
    <hyperlink ref="C469" r:id="rId196" display="http://www.amazon.com/Disney-Paddy-OConcrete-Monster-Truck/dp/B0047Q5I1O/ref=pd_bxgy_t_img_c"/>
    <hyperlink ref="C470" r:id="rId197" display="http://www.amazon.com/Disney-Cars-I-Screamer-Monster-Truck/dp/B0047Q78I0/ref=pd_bxgy_t_text_c"/>
    <hyperlink ref="C471" r:id="rId198" display="http://www.amazon.com/Fisher-Price-N5045-Medical-Kit/dp/B0015AM26E/ref=sr_1_2?s=toys-and-games&amp;ie=UTF8&amp;qid=1293176962&amp;sr=1-2"/>
    <hyperlink ref="C476" r:id="rId199" display="http://www.amazon.com/Wacom-CTH661-Bamboo-Fun-Tablet/dp/B002OOWC4C/ref=sr_1_2?s=electronics&amp;ie=UTF8&amp;qid=1293639471&amp;sr=1-2"/>
    <hyperlink ref="C481" r:id="rId200" display="http://cgi.ebay.com/ws/eBayISAPI.dll?ViewItem&amp;item=270685299317&amp;_trksid=p1000006.m2000041#shId"/>
    <hyperlink ref="C486" r:id="rId201" display="http://www.ae.com/web/browse/product.jsp?catId=cat200133&amp;productId=0186_9476&amp;initialSize=3000"/>
    <hyperlink ref="C487" r:id="rId202" display="http://www.ae.com/web/browse/product.jsp?catId=cat90090&amp;productId=prod390054&amp;initialSize=3000"/>
    <hyperlink ref="C488" r:id="rId203" display="http://www.ae.com/web/browse/product.jsp?catId=cat90070&amp;productId=1171_6403&amp;initialSize=3000"/>
    <hyperlink ref="C489" r:id="rId204" display="http://oldnavy.gap.com/browse/product.do?cid=54493&amp;vid=2&amp;pid=776370&amp;actFltr=true"/>
    <hyperlink ref="C490" r:id="rId205" display="http://www.gap.com/browse/product.do?pid=8054670020204&amp;cid=51964"/>
    <hyperlink ref="C495" r:id="rId206" display="http://www.mjrsales.com/ecko-red-banded-bottom-dress-sz-xs.html"/>
    <hyperlink ref="C496" r:id="rId207" display="http://www.mjrsales.com/buffalo-by-david-bitton-long-sleeve-v-neck-wrap-top-sz-xs-nwt-39509.html"/>
    <hyperlink ref="C501" r:id="rId208" display="http://www.amazon.com/Play-Doh-24-Pack-of-Colors/dp/B000V64HZ2/ref=sr_1_1?s=toys-and-games&amp;ie=UTF8&amp;qid=1294758541&amp;sr=1-1"/>
    <hyperlink ref="C502" r:id="rId209" display="http://www.amazon.com/Crayola-Color-Wonder-Sound-Studio/dp/B003P8FL1C/ref=sr_1_1?s=toys-and-games&amp;ie=UTF8&amp;qid=1294759732&amp;sr=1-1"/>
    <hyperlink ref="C503" r:id="rId210" display="http://www.amazon.com/Hasbro-23867-Play-Doh-Undersea-Adventure/dp/B00198S50E/ref=sr_1_53?s=toys-and-games&amp;ie=UTF8&amp;qid=1294759081&amp;sr=1-53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213"/>
  <legacyDrawing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 </cp:lastModifiedBy>
  <dcterms:modified xsi:type="dcterms:W3CDTF">2011-01-14T03:52:51Z</dcterms:modified>
  <cp:category/>
  <cp:version/>
  <cp:contentType/>
  <cp:contentStatus/>
  <cp:revision>347</cp:revision>
</cp:coreProperties>
</file>