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tabRatio="809" activeTab="0"/>
  </bookViews>
  <sheets>
    <sheet name="Stock-Price List" sheetId="1" r:id="rId1"/>
  </sheets>
  <definedNames>
    <definedName name="Bony_tongues">'Stock-Price List'!#REF!</definedName>
    <definedName name="Catfishes">'Stock-Price List'!$A$5:$H$57</definedName>
    <definedName name="Characins">'Stock-Price List'!$A$58:$H$67</definedName>
    <definedName name="Cichlids">'Stock-Price List'!$A$68:$H$80</definedName>
    <definedName name="Fish_hatchery">'Stock-Price List'!#REF!</definedName>
    <definedName name="Knifefishes">'Stock-Price List'!$A$81:$H$84</definedName>
    <definedName name="Plants">#REF!</definedName>
    <definedName name="Puffers">'Stock-Price List'!#REF!</definedName>
    <definedName name="Rays">'Stock-Price List'!$A$85:$H$92</definedName>
  </definedNames>
  <calcPr fullCalcOnLoad="1"/>
</workbook>
</file>

<file path=xl/sharedStrings.xml><?xml version="1.0" encoding="utf-8"?>
<sst xmlns="http://schemas.openxmlformats.org/spreadsheetml/2006/main" count="100" uniqueCount="100">
  <si>
    <t>L- 104 Clown pleco M</t>
  </si>
  <si>
    <t>L- 104 Clown pleco S</t>
  </si>
  <si>
    <t>L- 330 Watermelon pleco XL</t>
  </si>
  <si>
    <t>Ruby tetra M</t>
  </si>
  <si>
    <t>L- 243 M</t>
  </si>
  <si>
    <t>Redhump eartheater  M</t>
  </si>
  <si>
    <t>Callistus tetra M</t>
  </si>
  <si>
    <t>Red phantom tetra M</t>
  </si>
  <si>
    <t>Brown pencilfish M</t>
  </si>
  <si>
    <t>L- 152 Pineapple pleco L</t>
  </si>
  <si>
    <t>L- 152 Pineapple pleco M</t>
  </si>
  <si>
    <t>Emperor tetra M</t>
  </si>
  <si>
    <t>Pirapitinga / Red pacu S</t>
  </si>
  <si>
    <t>Blue acara M</t>
  </si>
  <si>
    <t>Blue acara S</t>
  </si>
  <si>
    <t>Black ghost S</t>
  </si>
  <si>
    <t>Brown ghost L</t>
  </si>
  <si>
    <t>Brown ghost M</t>
  </si>
  <si>
    <t>Glass knifefish M</t>
  </si>
  <si>
    <t>Ossa knife M</t>
  </si>
  <si>
    <t>Characins</t>
  </si>
  <si>
    <t>Catfishes</t>
  </si>
  <si>
    <t>Rays</t>
  </si>
  <si>
    <t>Arawana M</t>
  </si>
  <si>
    <t>Mottled twig catfish L</t>
  </si>
  <si>
    <t>L- 201 M</t>
  </si>
  <si>
    <t>L- 201 S</t>
  </si>
  <si>
    <t>Hypostomus sp L</t>
  </si>
  <si>
    <t>Hypostomus sp M</t>
  </si>
  <si>
    <t>Hypostomus sp S</t>
  </si>
  <si>
    <t>Hypostomus sp XL</t>
  </si>
  <si>
    <t>Giant whiptail L</t>
  </si>
  <si>
    <t>Giant whiptail M</t>
  </si>
  <si>
    <t>Cardinal tetra XL</t>
  </si>
  <si>
    <t>Uaru fernandezyepezi S</t>
  </si>
  <si>
    <t>Arawana S (Baby)</t>
  </si>
  <si>
    <t>Cardinal tetra M</t>
  </si>
  <si>
    <t>Cichlids</t>
  </si>
  <si>
    <t>L- 330 Watermelon pleco L</t>
  </si>
  <si>
    <t>L- 128 S</t>
  </si>
  <si>
    <t>L- 052 Butterfly pleco L</t>
  </si>
  <si>
    <t>Others</t>
  </si>
  <si>
    <t>L- 191 Dull eyed royal pleco M</t>
  </si>
  <si>
    <t>L- 191 Dull eyed royal pleco S</t>
  </si>
  <si>
    <t>L- 200 Green pleco L</t>
  </si>
  <si>
    <t>L- 200 Green pleco S</t>
  </si>
  <si>
    <t>L- 191 Dull eyed royal pleco L</t>
  </si>
  <si>
    <t>L- 146 Bola Pleco</t>
  </si>
  <si>
    <t>New or rare fish species</t>
  </si>
  <si>
    <t>Mottled twig catfish M</t>
  </si>
  <si>
    <t>Mottled twig catfish S</t>
  </si>
  <si>
    <t>L- 239 Blue panaque S</t>
  </si>
  <si>
    <t>L- 330 Watermelon pleco M</t>
  </si>
  <si>
    <t>L- 200 Green pleco Hi-fin M</t>
  </si>
  <si>
    <t>Oscar M</t>
  </si>
  <si>
    <t>Oscar S</t>
  </si>
  <si>
    <t>Rineloricaria sp (1) L</t>
  </si>
  <si>
    <t>Rineloricaria sp (1) M</t>
  </si>
  <si>
    <t>Rineloricaria sp (1) S</t>
  </si>
  <si>
    <t>Ancistrus sp (1) M</t>
  </si>
  <si>
    <t>Crenicichla sp orinoco L</t>
  </si>
  <si>
    <t>Crenicichla sp orinoco M</t>
  </si>
  <si>
    <t>Guitarrita / Banjo catfish M</t>
  </si>
  <si>
    <t>Guitarrita / Banjo catfish S</t>
  </si>
  <si>
    <t>Tete sea catfish  M</t>
  </si>
  <si>
    <t>South american bumblebee catfish L</t>
  </si>
  <si>
    <t>South american bumblebee catfish M</t>
  </si>
  <si>
    <t>Golden otocinclus S</t>
  </si>
  <si>
    <t>Bloch's catfish M</t>
  </si>
  <si>
    <t>Pictus cat / Angelicus pictus M</t>
  </si>
  <si>
    <t>Green gold catfish L</t>
  </si>
  <si>
    <t>LDA- 72 L</t>
  </si>
  <si>
    <t>Ram cichlid L</t>
  </si>
  <si>
    <t>Ram cichlid M</t>
  </si>
  <si>
    <t>LDA- 72 M</t>
  </si>
  <si>
    <t>LDA- 72 S</t>
  </si>
  <si>
    <t>L- 187b Striped bulldog pleco L</t>
  </si>
  <si>
    <t>L- 187b Striped bulldog pleco M</t>
  </si>
  <si>
    <t>L- 187b Striped bulldog pleco S</t>
  </si>
  <si>
    <t>L- 187a Spotted buldog pleco L</t>
  </si>
  <si>
    <t>L- 187a Spotted buldog pleco M</t>
  </si>
  <si>
    <t>L- 187a Spotted buldog pleco S</t>
  </si>
  <si>
    <t>L- 202 L</t>
  </si>
  <si>
    <t>Teacup stingray M</t>
  </si>
  <si>
    <t>Lamontichthys llanero L</t>
  </si>
  <si>
    <t>Corydoras sp CW51</t>
  </si>
  <si>
    <t>Caquetaia myersi M</t>
  </si>
  <si>
    <t>Caquetaia myersi S</t>
  </si>
  <si>
    <t>Gnatholebias zonatus</t>
  </si>
  <si>
    <t>Перепаковка коробки</t>
  </si>
  <si>
    <t>Всего за рыбу</t>
  </si>
  <si>
    <t>Всего заказ ( не включая 500 р при доставке до вокзала или 1500 при доставке до аэропорта)</t>
  </si>
  <si>
    <t>В наличии (коробок)</t>
  </si>
  <si>
    <t>рыб/в кор</t>
  </si>
  <si>
    <t>Местное название в Колумбии</t>
  </si>
  <si>
    <t xml:space="preserve">    Латиское название                                            (Follow the links to see the pictures)</t>
  </si>
  <si>
    <t xml:space="preserve">цена/ рыбки </t>
  </si>
  <si>
    <t>цена/коробки</t>
  </si>
  <si>
    <t>Зкаказ коробок (не менее 0,5 каждого вида)</t>
  </si>
  <si>
    <t>Сумма (в рублях)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</si>
</sst>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* #,##0_-;\-* #,##0_-;_-* &quot;-&quot;_-;_-@_-"/>
    <numFmt numFmtId="200" formatCode="_-&quot;$&quot;\ * #,##0.00_-;\-&quot;$&quot;\ * #,##0.00_-;_-&quot;$&quot;\ * &quot;-&quot;??_-;_-@_-"/>
    <numFmt numFmtId="201" formatCode="_-* #,##0.00_-;\-* #,##0.00_-;_-* &quot;-&quot;??_-;_-@_-"/>
    <numFmt numFmtId="202" formatCode="_ * #,##0_ ;_ * \-#,##0_ ;_ * &quot;-&quot;??_ ;_ @_ 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 * #,##0.000_ ;_ * \-#,##0.000_ ;_ * &quot;-&quot;??_ ;_ @_ "/>
    <numFmt numFmtId="208" formatCode="_ * #,##0.0000_ ;_ * \-#,##0.0000_ ;_ * &quot;-&quot;??_ ;_ @_ "/>
    <numFmt numFmtId="209" formatCode="_ * #,##0.0_ ;_ * \-#,##0.0_ ;_ * &quot;-&quot;??_ ;_ @_ "/>
    <numFmt numFmtId="210" formatCode="_ &quot;$&quot;\ * #,##0.0_ ;_ &quot;$&quot;\ * \-#,##0.0_ ;_ &quot;$&quot;\ * &quot;-&quot;??_ ;_ @_ "/>
    <numFmt numFmtId="211" formatCode="_ &quot;$&quot;\ * #,##0_ ;_ &quot;$&quot;\ * \-#,##0_ ;_ &quot;$&quot;\ * &quot;-&quot;??_ ;_ @_ "/>
    <numFmt numFmtId="212" formatCode="0.0%"/>
    <numFmt numFmtId="213" formatCode="0.000%"/>
    <numFmt numFmtId="214" formatCode="0.0000%"/>
    <numFmt numFmtId="215" formatCode="0.00000%"/>
    <numFmt numFmtId="216" formatCode="0.00_ ;[Red]\-0.00\ "/>
    <numFmt numFmtId="217" formatCode="000"/>
    <numFmt numFmtId="218" formatCode="&quot;$&quot;#,##0.00"/>
    <numFmt numFmtId="219" formatCode="_ &quot;$&quot;\ * #,##0.000_ ;_ &quot;$&quot;\ * \-#,##0.000_ ;_ &quot;$&quot;\ * &quot;-&quot;???_ ;_ @_ "/>
    <numFmt numFmtId="220" formatCode="0.0"/>
    <numFmt numFmtId="221" formatCode="#,##0&quot;р.&quot;"/>
    <numFmt numFmtId="222" formatCode="#,##0.00&quot;р.&quot;"/>
  </numFmts>
  <fonts count="47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omic Sans MS"/>
      <family val="4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33" applyFont="1" applyFill="1" applyBorder="1" applyAlignment="1">
      <alignment wrapText="1"/>
      <protection/>
    </xf>
    <xf numFmtId="0" fontId="8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202" fontId="7" fillId="33" borderId="10" xfId="61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2" fontId="8" fillId="0" borderId="12" xfId="61" applyNumberFormat="1" applyFont="1" applyBorder="1" applyAlignment="1">
      <alignment horizontal="center" vertical="center" wrapText="1"/>
    </xf>
    <xf numFmtId="12" fontId="7" fillId="33" borderId="10" xfId="61" applyNumberFormat="1" applyFont="1" applyFill="1" applyBorder="1" applyAlignment="1">
      <alignment horizontal="center"/>
    </xf>
    <xf numFmtId="12" fontId="4" fillId="0" borderId="10" xfId="0" applyNumberFormat="1" applyFont="1" applyBorder="1" applyAlignment="1">
      <alignment horizontal="center" wrapText="1"/>
    </xf>
    <xf numFmtId="12" fontId="0" fillId="0" borderId="0" xfId="61" applyNumberFormat="1" applyFont="1" applyFill="1" applyBorder="1" applyAlignment="1">
      <alignment horizontal="center"/>
    </xf>
    <xf numFmtId="13" fontId="4" fillId="0" borderId="10" xfId="0" applyNumberFormat="1" applyFont="1" applyBorder="1" applyAlignment="1">
      <alignment horizontal="center" wrapText="1"/>
    </xf>
    <xf numFmtId="13" fontId="8" fillId="0" borderId="10" xfId="61" applyNumberFormat="1" applyFont="1" applyBorder="1" applyAlignment="1">
      <alignment horizontal="center" vertical="center" wrapText="1"/>
    </xf>
    <xf numFmtId="13" fontId="5" fillId="0" borderId="14" xfId="61" applyNumberFormat="1" applyFont="1" applyFill="1" applyBorder="1" applyAlignment="1" applyProtection="1">
      <alignment horizontal="center" wrapText="1"/>
      <protection locked="0"/>
    </xf>
    <xf numFmtId="13" fontId="1" fillId="0" borderId="0" xfId="61" applyNumberFormat="1" applyFont="1" applyFill="1" applyBorder="1" applyAlignment="1">
      <alignment horizontal="center"/>
    </xf>
    <xf numFmtId="13" fontId="7" fillId="33" borderId="12" xfId="44" applyNumberFormat="1" applyFont="1" applyFill="1" applyBorder="1" applyAlignment="1">
      <alignment horizontal="center"/>
    </xf>
    <xf numFmtId="13" fontId="0" fillId="0" borderId="0" xfId="61" applyNumberFormat="1" applyFont="1" applyFill="1" applyBorder="1" applyAlignment="1">
      <alignment horizontal="center"/>
    </xf>
    <xf numFmtId="13" fontId="0" fillId="0" borderId="15" xfId="61" applyNumberFormat="1" applyFont="1" applyBorder="1" applyAlignment="1" applyProtection="1">
      <alignment horizontal="center"/>
      <protection locked="0"/>
    </xf>
    <xf numFmtId="2" fontId="7" fillId="33" borderId="12" xfId="61" applyNumberFormat="1" applyFont="1" applyFill="1" applyBorder="1" applyAlignment="1">
      <alignment horizontal="center"/>
    </xf>
    <xf numFmtId="12" fontId="5" fillId="0" borderId="11" xfId="61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02" fontId="8" fillId="0" borderId="10" xfId="61" applyNumberFormat="1" applyFont="1" applyBorder="1" applyAlignment="1">
      <alignment horizontal="center" vertical="center" wrapText="1"/>
    </xf>
    <xf numFmtId="202" fontId="5" fillId="0" borderId="14" xfId="61" applyNumberFormat="1" applyFont="1" applyFill="1" applyBorder="1" applyAlignment="1">
      <alignment horizontal="center" wrapText="1"/>
    </xf>
    <xf numFmtId="202" fontId="0" fillId="0" borderId="0" xfId="61" applyNumberFormat="1" applyFont="1" applyFill="1" applyBorder="1" applyAlignment="1">
      <alignment horizontal="center"/>
    </xf>
    <xf numFmtId="202" fontId="0" fillId="0" borderId="10" xfId="61" applyNumberFormat="1" applyFont="1" applyFill="1" applyBorder="1" applyAlignment="1">
      <alignment horizontal="center"/>
    </xf>
    <xf numFmtId="12" fontId="0" fillId="0" borderId="10" xfId="61" applyNumberFormat="1" applyFont="1" applyFill="1" applyBorder="1" applyAlignment="1">
      <alignment horizontal="center"/>
    </xf>
    <xf numFmtId="2" fontId="7" fillId="33" borderId="15" xfId="61" applyNumberFormat="1" applyFont="1" applyFill="1" applyBorder="1" applyAlignment="1" applyProtection="1">
      <alignment horizontal="center"/>
      <protection/>
    </xf>
    <xf numFmtId="2" fontId="7" fillId="33" borderId="13" xfId="0" applyNumberFormat="1" applyFont="1" applyFill="1" applyBorder="1" applyAlignment="1">
      <alignment horizontal="left"/>
    </xf>
    <xf numFmtId="2" fontId="7" fillId="33" borderId="10" xfId="0" applyNumberFormat="1" applyFont="1" applyFill="1" applyBorder="1" applyAlignment="1">
      <alignment horizontal="center"/>
    </xf>
    <xf numFmtId="2" fontId="7" fillId="33" borderId="10" xfId="61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6" fillId="34" borderId="11" xfId="33" applyFont="1" applyFill="1" applyBorder="1" applyAlignment="1">
      <alignment wrapText="1"/>
      <protection/>
    </xf>
    <xf numFmtId="202" fontId="6" fillId="34" borderId="14" xfId="61" applyNumberFormat="1" applyFont="1" applyFill="1" applyBorder="1" applyAlignment="1">
      <alignment horizontal="center" wrapText="1"/>
    </xf>
    <xf numFmtId="12" fontId="6" fillId="34" borderId="11" xfId="61" applyNumberFormat="1" applyFont="1" applyFill="1" applyBorder="1" applyAlignment="1">
      <alignment horizontal="center" wrapText="1"/>
    </xf>
    <xf numFmtId="13" fontId="6" fillId="34" borderId="14" xfId="61" applyNumberFormat="1" applyFont="1" applyFill="1" applyBorder="1" applyAlignment="1" applyProtection="1">
      <alignment horizontal="center" wrapText="1"/>
      <protection locked="0"/>
    </xf>
    <xf numFmtId="193" fontId="7" fillId="33" borderId="12" xfId="61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6" xfId="43" applyFill="1" applyBorder="1" applyAlignment="1" applyProtection="1">
      <alignment/>
      <protection/>
    </xf>
    <xf numFmtId="0" fontId="10" fillId="34" borderId="16" xfId="43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22" fontId="4" fillId="0" borderId="10" xfId="0" applyNumberFormat="1" applyFont="1" applyBorder="1" applyAlignment="1">
      <alignment wrapText="1"/>
    </xf>
    <xf numFmtId="222" fontId="0" fillId="0" borderId="10" xfId="44" applyNumberFormat="1" applyFont="1" applyFill="1" applyBorder="1" applyAlignment="1">
      <alignment/>
    </xf>
    <xf numFmtId="222" fontId="8" fillId="0" borderId="10" xfId="44" applyNumberFormat="1" applyFont="1" applyFill="1" applyBorder="1" applyAlignment="1">
      <alignment horizontal="center" vertical="center" wrapText="1"/>
    </xf>
    <xf numFmtId="222" fontId="9" fillId="33" borderId="10" xfId="44" applyNumberFormat="1" applyFont="1" applyFill="1" applyBorder="1" applyAlignment="1">
      <alignment horizontal="center"/>
    </xf>
    <xf numFmtId="222" fontId="5" fillId="0" borderId="14" xfId="44" applyNumberFormat="1" applyFont="1" applyFill="1" applyBorder="1" applyAlignment="1">
      <alignment horizontal="right" wrapText="1"/>
    </xf>
    <xf numFmtId="222" fontId="6" fillId="34" borderId="14" xfId="44" applyNumberFormat="1" applyFont="1" applyFill="1" applyBorder="1" applyAlignment="1">
      <alignment horizontal="right" wrapText="1"/>
    </xf>
    <xf numFmtId="222" fontId="0" fillId="0" borderId="0" xfId="44" applyNumberFormat="1" applyFont="1" applyFill="1" applyBorder="1" applyAlignment="1">
      <alignment/>
    </xf>
    <xf numFmtId="222" fontId="0" fillId="0" borderId="0" xfId="44" applyNumberFormat="1" applyFont="1" applyFill="1" applyBorder="1" applyAlignment="1">
      <alignment horizontal="center"/>
    </xf>
    <xf numFmtId="221" fontId="4" fillId="0" borderId="10" xfId="0" applyNumberFormat="1" applyFont="1" applyBorder="1" applyAlignment="1">
      <alignment wrapText="1"/>
    </xf>
    <xf numFmtId="221" fontId="0" fillId="0" borderId="10" xfId="44" applyNumberFormat="1" applyFont="1" applyBorder="1" applyAlignment="1" applyProtection="1">
      <alignment horizontal="left"/>
      <protection locked="0"/>
    </xf>
    <xf numFmtId="221" fontId="8" fillId="0" borderId="12" xfId="44" applyNumberFormat="1" applyFont="1" applyBorder="1" applyAlignment="1">
      <alignment horizontal="center" vertical="center" wrapText="1"/>
    </xf>
    <xf numFmtId="221" fontId="7" fillId="33" borderId="10" xfId="44" applyNumberFormat="1" applyFont="1" applyFill="1" applyBorder="1" applyAlignment="1">
      <alignment horizontal="center"/>
    </xf>
    <xf numFmtId="221" fontId="5" fillId="0" borderId="11" xfId="44" applyNumberFormat="1" applyFont="1" applyFill="1" applyBorder="1" applyAlignment="1">
      <alignment horizontal="right" wrapText="1"/>
    </xf>
    <xf numFmtId="221" fontId="0" fillId="0" borderId="0" xfId="44" applyNumberFormat="1" applyFont="1" applyFill="1" applyBorder="1" applyAlignment="1">
      <alignment/>
    </xf>
    <xf numFmtId="221" fontId="1" fillId="0" borderId="0" xfId="44" applyNumberFormat="1" applyFont="1" applyFill="1" applyBorder="1" applyAlignment="1">
      <alignment/>
    </xf>
    <xf numFmtId="221" fontId="4" fillId="0" borderId="15" xfId="44" applyNumberFormat="1" applyFont="1" applyBorder="1" applyAlignment="1" applyProtection="1">
      <alignment wrapText="1"/>
      <protection/>
    </xf>
    <xf numFmtId="221" fontId="0" fillId="0" borderId="15" xfId="44" applyNumberFormat="1" applyFont="1" applyFill="1" applyBorder="1" applyAlignment="1" applyProtection="1">
      <alignment/>
      <protection/>
    </xf>
    <xf numFmtId="221" fontId="8" fillId="0" borderId="17" xfId="44" applyNumberFormat="1" applyFont="1" applyFill="1" applyBorder="1" applyAlignment="1" applyProtection="1">
      <alignment horizontal="center" vertical="center" wrapText="1"/>
      <protection/>
    </xf>
    <xf numFmtId="221" fontId="7" fillId="33" borderId="15" xfId="44" applyNumberFormat="1" applyFont="1" applyFill="1" applyBorder="1" applyAlignment="1" applyProtection="1">
      <alignment horizontal="right"/>
      <protection/>
    </xf>
    <xf numFmtId="221" fontId="0" fillId="0" borderId="18" xfId="44" applyNumberFormat="1" applyFont="1" applyFill="1" applyBorder="1" applyAlignment="1" applyProtection="1">
      <alignment/>
      <protection/>
    </xf>
    <xf numFmtId="221" fontId="6" fillId="35" borderId="18" xfId="44" applyNumberFormat="1" applyFont="1" applyFill="1" applyBorder="1" applyAlignment="1" applyProtection="1">
      <alignment/>
      <protection/>
    </xf>
    <xf numFmtId="221" fontId="7" fillId="33" borderId="12" xfId="44" applyNumberFormat="1" applyFont="1" applyFill="1" applyBorder="1" applyAlignment="1">
      <alignment horizontal="center"/>
    </xf>
    <xf numFmtId="221" fontId="7" fillId="33" borderId="15" xfId="44" applyNumberFormat="1" applyFont="1" applyFill="1" applyBorder="1" applyAlignment="1" applyProtection="1">
      <alignment horizontal="center"/>
      <protection/>
    </xf>
    <xf numFmtId="221" fontId="0" fillId="0" borderId="0" xfId="44" applyNumberFormat="1" applyFont="1" applyFill="1" applyBorder="1" applyAlignment="1" applyProtection="1">
      <alignment/>
      <protection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Hoja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atfishes" /><Relationship Id="rId2" Type="http://schemas.openxmlformats.org/officeDocument/2006/relationships/hyperlink" Target="#Characins" /><Relationship Id="rId3" Type="http://schemas.openxmlformats.org/officeDocument/2006/relationships/hyperlink" Target="#Knifefishes" /><Relationship Id="rId4" Type="http://schemas.openxmlformats.org/officeDocument/2006/relationships/hyperlink" Target="#Cichlids" /><Relationship Id="rId5" Type="http://schemas.openxmlformats.org/officeDocument/2006/relationships/hyperlink" Target="#Rays" /><Relationship Id="rId6" Type="http://schemas.openxmlformats.org/officeDocument/2006/relationships/hyperlink" Target="http://www.aquatlantis.su/forum/files/" TargetMode="External" /><Relationship Id="rId7" Type="http://schemas.openxmlformats.org/officeDocument/2006/relationships/image" Target="../media/image1.jpeg" /><Relationship Id="rId8" Type="http://schemas.openxmlformats.org/officeDocument/2006/relationships/image" Target="../media/image2.jpeg" /><Relationship Id="rId9" Type="http://schemas.openxmlformats.org/officeDocument/2006/relationships/hyperlink" Target="#Catfishes" /><Relationship Id="rId10" Type="http://schemas.openxmlformats.org/officeDocument/2006/relationships/hyperlink" Target="#Characins" /><Relationship Id="rId11" Type="http://schemas.openxmlformats.org/officeDocument/2006/relationships/hyperlink" Target="#Knifefishes" /><Relationship Id="rId12" Type="http://schemas.openxmlformats.org/officeDocument/2006/relationships/hyperlink" Target="#Cichlids" /><Relationship Id="rId13" Type="http://schemas.openxmlformats.org/officeDocument/2006/relationships/hyperlink" Target="#Rays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733425</xdr:colOff>
      <xdr:row>0</xdr:row>
      <xdr:rowOff>942975</xdr:rowOff>
    </xdr:to>
    <xdr:sp>
      <xdr:nvSpPr>
        <xdr:cNvPr id="1" name="Rectangle 66"/>
        <xdr:cNvSpPr>
          <a:spLocks/>
        </xdr:cNvSpPr>
      </xdr:nvSpPr>
      <xdr:spPr>
        <a:xfrm>
          <a:off x="9525" y="9525"/>
          <a:ext cx="94678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1743075</xdr:colOff>
      <xdr:row>3</xdr:row>
      <xdr:rowOff>0</xdr:rowOff>
    </xdr:to>
    <xdr:sp>
      <xdr:nvSpPr>
        <xdr:cNvPr id="2" name="Text Box 58">
          <a:hlinkClick r:id="rId1"/>
        </xdr:cNvPr>
        <xdr:cNvSpPr txBox="1">
          <a:spLocks noChangeArrowheads="1"/>
        </xdr:cNvSpPr>
      </xdr:nvSpPr>
      <xdr:spPr>
        <a:xfrm>
          <a:off x="9525" y="1352550"/>
          <a:ext cx="173355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Catfishes</a:t>
          </a:r>
        </a:p>
      </xdr:txBody>
    </xdr:sp>
    <xdr:clientData/>
  </xdr:twoCellAnchor>
  <xdr:twoCellAnchor>
    <xdr:from>
      <xdr:col>0</xdr:col>
      <xdr:colOff>1743075</xdr:colOff>
      <xdr:row>3</xdr:row>
      <xdr:rowOff>0</xdr:rowOff>
    </xdr:from>
    <xdr:to>
      <xdr:col>1</xdr:col>
      <xdr:colOff>1028700</xdr:colOff>
      <xdr:row>3</xdr:row>
      <xdr:rowOff>0</xdr:rowOff>
    </xdr:to>
    <xdr:sp>
      <xdr:nvSpPr>
        <xdr:cNvPr id="3" name="Text Box 59">
          <a:hlinkClick r:id="rId2"/>
        </xdr:cNvPr>
        <xdr:cNvSpPr txBox="1">
          <a:spLocks noChangeArrowheads="1"/>
        </xdr:cNvSpPr>
      </xdr:nvSpPr>
      <xdr:spPr>
        <a:xfrm>
          <a:off x="1743075" y="1352550"/>
          <a:ext cx="173355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Characins</a:t>
          </a:r>
        </a:p>
      </xdr:txBody>
    </xdr:sp>
    <xdr:clientData/>
  </xdr:twoCellAnchor>
  <xdr:twoCellAnchor>
    <xdr:from>
      <xdr:col>2</xdr:col>
      <xdr:colOff>333375</xdr:colOff>
      <xdr:row>3</xdr:row>
      <xdr:rowOff>0</xdr:rowOff>
    </xdr:from>
    <xdr:to>
      <xdr:col>5</xdr:col>
      <xdr:colOff>285750</xdr:colOff>
      <xdr:row>3</xdr:row>
      <xdr:rowOff>0</xdr:rowOff>
    </xdr:to>
    <xdr:sp>
      <xdr:nvSpPr>
        <xdr:cNvPr id="4" name="Text Box 61">
          <a:hlinkClick r:id="rId3"/>
        </xdr:cNvPr>
        <xdr:cNvSpPr txBox="1">
          <a:spLocks noChangeArrowheads="1"/>
        </xdr:cNvSpPr>
      </xdr:nvSpPr>
      <xdr:spPr>
        <a:xfrm>
          <a:off x="5286375" y="1352550"/>
          <a:ext cx="184785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Others</a:t>
          </a:r>
        </a:p>
      </xdr:txBody>
    </xdr:sp>
    <xdr:clientData/>
  </xdr:twoCellAnchor>
  <xdr:twoCellAnchor>
    <xdr:from>
      <xdr:col>1</xdr:col>
      <xdr:colOff>1028700</xdr:colOff>
      <xdr:row>3</xdr:row>
      <xdr:rowOff>0</xdr:rowOff>
    </xdr:from>
    <xdr:to>
      <xdr:col>2</xdr:col>
      <xdr:colOff>333375</xdr:colOff>
      <xdr:row>3</xdr:row>
      <xdr:rowOff>0</xdr:rowOff>
    </xdr:to>
    <xdr:sp>
      <xdr:nvSpPr>
        <xdr:cNvPr id="5" name="Text Box 62">
          <a:hlinkClick r:id="rId4"/>
        </xdr:cNvPr>
        <xdr:cNvSpPr txBox="1">
          <a:spLocks noChangeArrowheads="1"/>
        </xdr:cNvSpPr>
      </xdr:nvSpPr>
      <xdr:spPr>
        <a:xfrm>
          <a:off x="3476625" y="1352550"/>
          <a:ext cx="180975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Cichlids</a:t>
          </a:r>
        </a:p>
      </xdr:txBody>
    </xdr:sp>
    <xdr:clientData/>
  </xdr:twoCellAnchor>
  <xdr:twoCellAnchor>
    <xdr:from>
      <xdr:col>5</xdr:col>
      <xdr:colOff>285750</xdr:colOff>
      <xdr:row>3</xdr:row>
      <xdr:rowOff>0</xdr:rowOff>
    </xdr:from>
    <xdr:to>
      <xdr:col>7</xdr:col>
      <xdr:colOff>723900</xdr:colOff>
      <xdr:row>3</xdr:row>
      <xdr:rowOff>0</xdr:rowOff>
    </xdr:to>
    <xdr:sp>
      <xdr:nvSpPr>
        <xdr:cNvPr id="6" name="Text Box 64">
          <a:hlinkClick r:id="rId5"/>
        </xdr:cNvPr>
        <xdr:cNvSpPr txBox="1">
          <a:spLocks noChangeArrowheads="1"/>
        </xdr:cNvSpPr>
      </xdr:nvSpPr>
      <xdr:spPr>
        <a:xfrm>
          <a:off x="7134225" y="1352550"/>
          <a:ext cx="2333625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Rays</a:t>
          </a:r>
        </a:p>
      </xdr:txBody>
    </xdr:sp>
    <xdr:clientData/>
  </xdr:twoCellAnchor>
  <xdr:twoCellAnchor>
    <xdr:from>
      <xdr:col>4</xdr:col>
      <xdr:colOff>57150</xdr:colOff>
      <xdr:row>0</xdr:row>
      <xdr:rowOff>47625</xdr:rowOff>
    </xdr:from>
    <xdr:to>
      <xdr:col>7</xdr:col>
      <xdr:colOff>657225</xdr:colOff>
      <xdr:row>0</xdr:row>
      <xdr:rowOff>914400</xdr:rowOff>
    </xdr:to>
    <xdr:sp>
      <xdr:nvSpPr>
        <xdr:cNvPr id="7" name="Text Box 65">
          <a:hlinkClick r:id="rId6"/>
        </xdr:cNvPr>
        <xdr:cNvSpPr txBox="1">
          <a:spLocks noChangeArrowheads="1"/>
        </xdr:cNvSpPr>
      </xdr:nvSpPr>
      <xdr:spPr>
        <a:xfrm>
          <a:off x="6134100" y="47625"/>
          <a:ext cx="32670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Chumachenko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co-aquamark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@mail.ru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Mobile: +7 916 394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18 00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Tel. +7 495 724 48 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Skype: max.chumachenko
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Visit our forum at www.aquatlantis.su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1381125</xdr:colOff>
      <xdr:row>0</xdr:row>
      <xdr:rowOff>904875</xdr:rowOff>
    </xdr:to>
    <xdr:pic>
      <xdr:nvPicPr>
        <xdr:cNvPr id="8" name="Picture 68" descr="logo 96dp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57150"/>
          <a:ext cx="3810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2066925</xdr:colOff>
      <xdr:row>0</xdr:row>
      <xdr:rowOff>142875</xdr:rowOff>
    </xdr:from>
    <xdr:to>
      <xdr:col>2</xdr:col>
      <xdr:colOff>323850</xdr:colOff>
      <xdr:row>0</xdr:row>
      <xdr:rowOff>914400</xdr:rowOff>
    </xdr:to>
    <xdr:grpSp>
      <xdr:nvGrpSpPr>
        <xdr:cNvPr id="9" name="Group 107"/>
        <xdr:cNvGrpSpPr>
          <a:grpSpLocks/>
        </xdr:cNvGrpSpPr>
      </xdr:nvGrpSpPr>
      <xdr:grpSpPr>
        <a:xfrm>
          <a:off x="4514850" y="142875"/>
          <a:ext cx="762000" cy="771525"/>
          <a:chOff x="944" y="4904"/>
          <a:chExt cx="72" cy="81"/>
        </a:xfrm>
        <a:solidFill>
          <a:srgbClr val="FFFFFF"/>
        </a:solidFill>
      </xdr:grpSpPr>
      <xdr:sp>
        <xdr:nvSpPr>
          <xdr:cNvPr id="10" name="Text Box 108"/>
          <xdr:cNvSpPr txBox="1">
            <a:spLocks noChangeArrowheads="1"/>
          </xdr:cNvSpPr>
        </xdr:nvSpPr>
        <xdr:spPr>
          <a:xfrm>
            <a:off x="944" y="4950"/>
            <a:ext cx="72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Colombian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fish species</a:t>
            </a:r>
          </a:p>
        </xdr:txBody>
      </xdr:sp>
      <xdr:pic>
        <xdr:nvPicPr>
          <xdr:cNvPr id="11" name="Picture 109" descr="Col_fla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46" y="4904"/>
            <a:ext cx="68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1743075</xdr:colOff>
      <xdr:row>2</xdr:row>
      <xdr:rowOff>190500</xdr:rowOff>
    </xdr:to>
    <xdr:sp>
      <xdr:nvSpPr>
        <xdr:cNvPr id="12" name="Text Box 118">
          <a:hlinkClick r:id="rId9"/>
        </xdr:cNvPr>
        <xdr:cNvSpPr txBox="1">
          <a:spLocks noChangeArrowheads="1"/>
        </xdr:cNvSpPr>
      </xdr:nvSpPr>
      <xdr:spPr>
        <a:xfrm>
          <a:off x="9525" y="1152525"/>
          <a:ext cx="1733550" cy="19050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Сомы</a:t>
          </a:r>
        </a:p>
      </xdr:txBody>
    </xdr:sp>
    <xdr:clientData/>
  </xdr:twoCellAnchor>
  <xdr:twoCellAnchor>
    <xdr:from>
      <xdr:col>0</xdr:col>
      <xdr:colOff>1743075</xdr:colOff>
      <xdr:row>2</xdr:row>
      <xdr:rowOff>0</xdr:rowOff>
    </xdr:from>
    <xdr:to>
      <xdr:col>1</xdr:col>
      <xdr:colOff>1028700</xdr:colOff>
      <xdr:row>2</xdr:row>
      <xdr:rowOff>190500</xdr:rowOff>
    </xdr:to>
    <xdr:sp>
      <xdr:nvSpPr>
        <xdr:cNvPr id="13" name="Text Box 119">
          <a:hlinkClick r:id="rId10"/>
        </xdr:cNvPr>
        <xdr:cNvSpPr txBox="1">
          <a:spLocks noChangeArrowheads="1"/>
        </xdr:cNvSpPr>
      </xdr:nvSpPr>
      <xdr:spPr>
        <a:xfrm>
          <a:off x="1743075" y="1152525"/>
          <a:ext cx="1733550" cy="19050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Харациновые</a:t>
          </a:r>
        </a:p>
      </xdr:txBody>
    </xdr:sp>
    <xdr:clientData/>
  </xdr:twoCellAnchor>
  <xdr:twoCellAnchor>
    <xdr:from>
      <xdr:col>2</xdr:col>
      <xdr:colOff>333375</xdr:colOff>
      <xdr:row>2</xdr:row>
      <xdr:rowOff>0</xdr:rowOff>
    </xdr:from>
    <xdr:to>
      <xdr:col>5</xdr:col>
      <xdr:colOff>285750</xdr:colOff>
      <xdr:row>2</xdr:row>
      <xdr:rowOff>190500</xdr:rowOff>
    </xdr:to>
    <xdr:sp>
      <xdr:nvSpPr>
        <xdr:cNvPr id="14" name="Text Box 120">
          <a:hlinkClick r:id="rId11"/>
        </xdr:cNvPr>
        <xdr:cNvSpPr txBox="1">
          <a:spLocks noChangeArrowheads="1"/>
        </xdr:cNvSpPr>
      </xdr:nvSpPr>
      <xdr:spPr>
        <a:xfrm>
          <a:off x="5286375" y="1152525"/>
          <a:ext cx="1847850" cy="19050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Прочие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рыбы</a:t>
          </a:r>
        </a:p>
      </xdr:txBody>
    </xdr:sp>
    <xdr:clientData/>
  </xdr:twoCellAnchor>
  <xdr:twoCellAnchor>
    <xdr:from>
      <xdr:col>1</xdr:col>
      <xdr:colOff>1028700</xdr:colOff>
      <xdr:row>2</xdr:row>
      <xdr:rowOff>0</xdr:rowOff>
    </xdr:from>
    <xdr:to>
      <xdr:col>2</xdr:col>
      <xdr:colOff>333375</xdr:colOff>
      <xdr:row>2</xdr:row>
      <xdr:rowOff>190500</xdr:rowOff>
    </xdr:to>
    <xdr:sp>
      <xdr:nvSpPr>
        <xdr:cNvPr id="15" name="Text Box 121">
          <a:hlinkClick r:id="rId12"/>
        </xdr:cNvPr>
        <xdr:cNvSpPr txBox="1">
          <a:spLocks noChangeArrowheads="1"/>
        </xdr:cNvSpPr>
      </xdr:nvSpPr>
      <xdr:spPr>
        <a:xfrm>
          <a:off x="3476625" y="1152525"/>
          <a:ext cx="1809750" cy="19050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Цихлиды</a:t>
          </a:r>
        </a:p>
      </xdr:txBody>
    </xdr:sp>
    <xdr:clientData/>
  </xdr:twoCellAnchor>
  <xdr:twoCellAnchor>
    <xdr:from>
      <xdr:col>5</xdr:col>
      <xdr:colOff>285750</xdr:colOff>
      <xdr:row>2</xdr:row>
      <xdr:rowOff>0</xdr:rowOff>
    </xdr:from>
    <xdr:to>
      <xdr:col>7</xdr:col>
      <xdr:colOff>723900</xdr:colOff>
      <xdr:row>2</xdr:row>
      <xdr:rowOff>190500</xdr:rowOff>
    </xdr:to>
    <xdr:sp>
      <xdr:nvSpPr>
        <xdr:cNvPr id="16" name="Text Box 122">
          <a:hlinkClick r:id="rId13"/>
        </xdr:cNvPr>
        <xdr:cNvSpPr txBox="1">
          <a:spLocks noChangeArrowheads="1"/>
        </xdr:cNvSpPr>
      </xdr:nvSpPr>
      <xdr:spPr>
        <a:xfrm>
          <a:off x="7134225" y="1152525"/>
          <a:ext cx="2333625" cy="19050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Скаты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pane ySplit="4" topLeftCell="A5" activePane="bottomLeft" state="frozen"/>
      <selection pane="topLeft" activeCell="A6" sqref="A6"/>
      <selection pane="bottomLeft" activeCell="J9" sqref="J9"/>
    </sheetView>
  </sheetViews>
  <sheetFormatPr defaultColWidth="11.421875" defaultRowHeight="12.75"/>
  <cols>
    <col min="1" max="1" width="36.7109375" style="3" customWidth="1"/>
    <col min="2" max="2" width="37.57421875" style="3" bestFit="1" customWidth="1"/>
    <col min="3" max="3" width="7.7109375" style="29" customWidth="1"/>
    <col min="4" max="4" width="9.140625" style="16" customWidth="1"/>
    <col min="5" max="5" width="11.57421875" style="54" customWidth="1"/>
    <col min="6" max="6" width="13.57421875" style="61" bestFit="1" customWidth="1"/>
    <col min="7" max="7" width="14.8515625" style="20" customWidth="1"/>
    <col min="8" max="8" width="11.140625" style="70" customWidth="1"/>
    <col min="9" max="16384" width="11.421875" style="2" customWidth="1"/>
  </cols>
  <sheetData>
    <row r="1" spans="1:8" s="1" customFormat="1" ht="75" customHeight="1" thickBot="1">
      <c r="A1" s="42"/>
      <c r="B1" s="12"/>
      <c r="C1" s="26"/>
      <c r="D1" s="15"/>
      <c r="E1" s="47"/>
      <c r="F1" s="55"/>
      <c r="G1" s="17"/>
      <c r="H1" s="62"/>
    </row>
    <row r="2" spans="1:8" s="1" customFormat="1" ht="15.75" customHeight="1" thickBot="1">
      <c r="A2" s="71" t="s">
        <v>48</v>
      </c>
      <c r="B2" s="72"/>
      <c r="C2" s="72"/>
      <c r="D2" s="72"/>
      <c r="E2" s="72"/>
      <c r="F2" s="72"/>
      <c r="G2" s="72"/>
      <c r="H2" s="73"/>
    </row>
    <row r="3" spans="1:8" s="1" customFormat="1" ht="15.75" customHeight="1" thickBot="1">
      <c r="A3" s="43"/>
      <c r="B3" s="4"/>
      <c r="C3" s="30"/>
      <c r="D3" s="31"/>
      <c r="E3" s="48"/>
      <c r="F3" s="56"/>
      <c r="G3" s="23"/>
      <c r="H3" s="63"/>
    </row>
    <row r="4" spans="1:8" s="5" customFormat="1" ht="42" customHeight="1" thickBot="1">
      <c r="A4" s="36" t="s">
        <v>95</v>
      </c>
      <c r="B4" s="8" t="s">
        <v>94</v>
      </c>
      <c r="C4" s="27" t="s">
        <v>93</v>
      </c>
      <c r="D4" s="13" t="s">
        <v>92</v>
      </c>
      <c r="E4" s="49" t="s">
        <v>96</v>
      </c>
      <c r="F4" s="57" t="s">
        <v>97</v>
      </c>
      <c r="G4" s="18" t="s">
        <v>98</v>
      </c>
      <c r="H4" s="64" t="s">
        <v>99</v>
      </c>
    </row>
    <row r="5" spans="1:8" s="6" customFormat="1" ht="13.5" thickBot="1">
      <c r="A5" s="9" t="s">
        <v>21</v>
      </c>
      <c r="B5" s="10"/>
      <c r="C5" s="11"/>
      <c r="D5" s="14"/>
      <c r="E5" s="50"/>
      <c r="F5" s="58"/>
      <c r="G5" s="24">
        <f>SUBTOTAL(9,G6:G59)</f>
        <v>0</v>
      </c>
      <c r="H5" s="65">
        <f>SUBTOTAL(9,H6:H59)</f>
        <v>0</v>
      </c>
    </row>
    <row r="6" spans="1:8" ht="12.75">
      <c r="A6" s="44" t="str">
        <f>HYPERLINK("http://www.aquamark.biz/htm/info.php?in=Bunocephalus coracoideus","Bunocephalus coracoideus M")</f>
        <v>Bunocephalus coracoideus M</v>
      </c>
      <c r="B6" s="7" t="s">
        <v>62</v>
      </c>
      <c r="C6" s="28">
        <v>300</v>
      </c>
      <c r="D6" s="25">
        <v>1</v>
      </c>
      <c r="E6" s="51">
        <v>45</v>
      </c>
      <c r="F6" s="59">
        <f>SUM(C6*E6)</f>
        <v>13500</v>
      </c>
      <c r="G6" s="19"/>
      <c r="H6" s="66">
        <f aca="true" t="shared" si="0" ref="H6:H22">G6*F6</f>
        <v>0</v>
      </c>
    </row>
    <row r="7" spans="1:8" ht="12.75">
      <c r="A7" s="44" t="str">
        <f>HYPERLINK("http://www.aquamark.biz/htm/info.php?in=Bunocephalus coracoideus","Bunocephalus coracoideus S")</f>
        <v>Bunocephalus coracoideus S</v>
      </c>
      <c r="B7" s="7" t="s">
        <v>63</v>
      </c>
      <c r="C7" s="28">
        <v>400</v>
      </c>
      <c r="D7" s="25">
        <v>1</v>
      </c>
      <c r="E7" s="51">
        <v>35</v>
      </c>
      <c r="F7" s="59">
        <f aca="true" t="shared" si="1" ref="F7:F70">SUM(C7*E7)</f>
        <v>14000</v>
      </c>
      <c r="G7" s="19"/>
      <c r="H7" s="66">
        <f t="shared" si="0"/>
        <v>0</v>
      </c>
    </row>
    <row r="8" spans="1:8" ht="12.75">
      <c r="A8" s="44" t="str">
        <f>HYPERLINK("http://www.aquamark.biz/htm/info.php?in=Farlowella gracilis","Farlowella gracilis L")</f>
        <v>Farlowella gracilis L</v>
      </c>
      <c r="B8" s="7" t="s">
        <v>24</v>
      </c>
      <c r="C8" s="28">
        <v>40</v>
      </c>
      <c r="D8" s="25">
        <v>3</v>
      </c>
      <c r="E8" s="51">
        <v>307</v>
      </c>
      <c r="F8" s="59">
        <f t="shared" si="1"/>
        <v>12280</v>
      </c>
      <c r="G8" s="19"/>
      <c r="H8" s="66">
        <f t="shared" si="0"/>
        <v>0</v>
      </c>
    </row>
    <row r="9" spans="1:8" ht="12.75">
      <c r="A9" s="44" t="str">
        <f>HYPERLINK("http://www.aquamark.biz/htm/info.php?in=Farlowella gracilis","Farlowella gracilis M")</f>
        <v>Farlowella gracilis M</v>
      </c>
      <c r="B9" s="7" t="s">
        <v>49</v>
      </c>
      <c r="C9" s="28">
        <v>60</v>
      </c>
      <c r="D9" s="25">
        <v>3</v>
      </c>
      <c r="E9" s="51">
        <v>207</v>
      </c>
      <c r="F9" s="59">
        <f t="shared" si="1"/>
        <v>12420</v>
      </c>
      <c r="G9" s="19"/>
      <c r="H9" s="66">
        <f t="shared" si="0"/>
        <v>0</v>
      </c>
    </row>
    <row r="10" spans="1:8" ht="12.75">
      <c r="A10" s="44" t="str">
        <f>HYPERLINK("http://www.aquamark.biz/htm/info.php?in=Farlowella gracilis","Farlowella gracilis S")</f>
        <v>Farlowella gracilis S</v>
      </c>
      <c r="B10" s="7" t="s">
        <v>50</v>
      </c>
      <c r="C10" s="28">
        <v>80</v>
      </c>
      <c r="D10" s="25">
        <v>3</v>
      </c>
      <c r="E10" s="51">
        <v>157</v>
      </c>
      <c r="F10" s="59">
        <f t="shared" si="1"/>
        <v>12560</v>
      </c>
      <c r="G10" s="19"/>
      <c r="H10" s="66">
        <f t="shared" si="0"/>
        <v>0</v>
      </c>
    </row>
    <row r="11" spans="1:8" ht="12.75">
      <c r="A11" s="44" t="str">
        <f>HYPERLINK("http://www.aquamark.biz/htm/info.php?in=Hexanematichthys seemanni","Hexanematichthys seemanni M")</f>
        <v>Hexanematichthys seemanni M</v>
      </c>
      <c r="B11" s="7" t="s">
        <v>64</v>
      </c>
      <c r="C11" s="28">
        <v>100</v>
      </c>
      <c r="D11" s="25">
        <v>3</v>
      </c>
      <c r="E11" s="51">
        <v>135</v>
      </c>
      <c r="F11" s="59">
        <f t="shared" si="1"/>
        <v>13500</v>
      </c>
      <c r="G11" s="19"/>
      <c r="H11" s="66">
        <f t="shared" si="0"/>
        <v>0</v>
      </c>
    </row>
    <row r="12" spans="1:8" ht="12.75">
      <c r="A12" s="45" t="str">
        <f>HYPERLINK("http://www.aquamark.biz/htm/info.php?in=Lamontichthys llanero","Lamontichthys llanero M")</f>
        <v>Lamontichthys llanero M</v>
      </c>
      <c r="B12" s="37" t="s">
        <v>84</v>
      </c>
      <c r="C12" s="38">
        <v>20</v>
      </c>
      <c r="D12" s="39">
        <v>1</v>
      </c>
      <c r="E12" s="52">
        <v>678</v>
      </c>
      <c r="F12" s="52">
        <f t="shared" si="1"/>
        <v>13560</v>
      </c>
      <c r="G12" s="40"/>
      <c r="H12" s="67">
        <f t="shared" si="0"/>
        <v>0</v>
      </c>
    </row>
    <row r="13" spans="1:8" ht="12.75">
      <c r="A13" s="44" t="str">
        <f>HYPERLINK("http://www.aquamark.biz/htm/info.php?in=Microglanis iheringi","Microglanis iheringi L")</f>
        <v>Microglanis iheringi L</v>
      </c>
      <c r="B13" s="7" t="s">
        <v>65</v>
      </c>
      <c r="C13" s="28">
        <v>200</v>
      </c>
      <c r="D13" s="25">
        <v>3</v>
      </c>
      <c r="E13" s="51">
        <v>67</v>
      </c>
      <c r="F13" s="59">
        <f t="shared" si="1"/>
        <v>13400</v>
      </c>
      <c r="G13" s="19"/>
      <c r="H13" s="66">
        <f t="shared" si="0"/>
        <v>0</v>
      </c>
    </row>
    <row r="14" spans="1:8" ht="12.75">
      <c r="A14" s="44" t="str">
        <f>HYPERLINK("http://www.aquamark.biz/htm/info.php?in=Microglanis iheringi","Microglanis iheringi M")</f>
        <v>Microglanis iheringi M</v>
      </c>
      <c r="B14" s="7" t="s">
        <v>66</v>
      </c>
      <c r="C14" s="28">
        <v>300</v>
      </c>
      <c r="D14" s="25">
        <v>3</v>
      </c>
      <c r="E14" s="51">
        <v>47</v>
      </c>
      <c r="F14" s="59">
        <f t="shared" si="1"/>
        <v>14100</v>
      </c>
      <c r="G14" s="19"/>
      <c r="H14" s="66">
        <f t="shared" si="0"/>
        <v>0</v>
      </c>
    </row>
    <row r="15" spans="1:8" ht="12.75">
      <c r="A15" s="44" t="str">
        <f>HYPERLINK("http://www.aquamark.biz/htm/info.php?in=Otocinclus affinis","Otocinclus affinis S")</f>
        <v>Otocinclus affinis S</v>
      </c>
      <c r="B15" s="7" t="s">
        <v>67</v>
      </c>
      <c r="C15" s="28">
        <v>500</v>
      </c>
      <c r="D15" s="25">
        <v>12</v>
      </c>
      <c r="E15" s="51">
        <v>28</v>
      </c>
      <c r="F15" s="59">
        <f t="shared" si="1"/>
        <v>14000</v>
      </c>
      <c r="G15" s="19"/>
      <c r="H15" s="66">
        <f t="shared" si="0"/>
        <v>0</v>
      </c>
    </row>
    <row r="16" spans="1:8" ht="12.75">
      <c r="A16" s="44" t="str">
        <f>HYPERLINK("http://www.aquamark.biz/htm/info.php?in=Pimelodus blochii","Pimelodus blochii M")</f>
        <v>Pimelodus blochii M</v>
      </c>
      <c r="B16" s="7" t="s">
        <v>68</v>
      </c>
      <c r="C16" s="28">
        <v>70</v>
      </c>
      <c r="D16" s="25">
        <v>3</v>
      </c>
      <c r="E16" s="51">
        <v>188</v>
      </c>
      <c r="F16" s="59">
        <f t="shared" si="1"/>
        <v>13160</v>
      </c>
      <c r="G16" s="19"/>
      <c r="H16" s="66">
        <f t="shared" si="0"/>
        <v>0</v>
      </c>
    </row>
    <row r="17" spans="1:8" ht="12.75">
      <c r="A17" s="45" t="str">
        <f>HYPERLINK("http://www.aquamark.biz/htm/info.php?in=Pimelodus pictus","Pimelodus pictus M")</f>
        <v>Pimelodus pictus M</v>
      </c>
      <c r="B17" s="37" t="s">
        <v>69</v>
      </c>
      <c r="C17" s="38">
        <v>80</v>
      </c>
      <c r="D17" s="39">
        <v>3</v>
      </c>
      <c r="E17" s="52">
        <v>189</v>
      </c>
      <c r="F17" s="52">
        <f t="shared" si="1"/>
        <v>15120</v>
      </c>
      <c r="G17" s="40"/>
      <c r="H17" s="67">
        <f t="shared" si="0"/>
        <v>0</v>
      </c>
    </row>
    <row r="18" spans="1:8" ht="12.75">
      <c r="A18" s="44" t="str">
        <f>HYPERLINK("http://www.aquamark.biz/htm/info.php?in=Rineloricaria sp (1)","Rineloricaria sp (1) L")</f>
        <v>Rineloricaria sp (1) L</v>
      </c>
      <c r="B18" s="7" t="s">
        <v>56</v>
      </c>
      <c r="C18" s="28">
        <v>50</v>
      </c>
      <c r="D18" s="25">
        <v>3</v>
      </c>
      <c r="E18" s="51">
        <v>245</v>
      </c>
      <c r="F18" s="59">
        <f t="shared" si="1"/>
        <v>12250</v>
      </c>
      <c r="G18" s="19"/>
      <c r="H18" s="66">
        <f t="shared" si="0"/>
        <v>0</v>
      </c>
    </row>
    <row r="19" spans="1:8" ht="12.75">
      <c r="A19" s="44" t="str">
        <f>HYPERLINK("http://www.aquamark.biz/htm/info.php?in=Rineloricaria sp (1)","Rineloricaria sp (1) M")</f>
        <v>Rineloricaria sp (1) M</v>
      </c>
      <c r="B19" s="7" t="s">
        <v>57</v>
      </c>
      <c r="C19" s="28">
        <v>70</v>
      </c>
      <c r="D19" s="25">
        <v>3</v>
      </c>
      <c r="E19" s="51">
        <v>176</v>
      </c>
      <c r="F19" s="59">
        <f t="shared" si="1"/>
        <v>12320</v>
      </c>
      <c r="G19" s="19"/>
      <c r="H19" s="66">
        <f t="shared" si="0"/>
        <v>0</v>
      </c>
    </row>
    <row r="20" spans="1:8" ht="12.75">
      <c r="A20" s="44" t="str">
        <f>HYPERLINK("http://www.aquamark.biz/htm/info.php?in=Rineloricaria sp (1)","Rineloricaria sp (1) S")</f>
        <v>Rineloricaria sp (1) S</v>
      </c>
      <c r="B20" s="7" t="s">
        <v>58</v>
      </c>
      <c r="C20" s="28">
        <v>100</v>
      </c>
      <c r="D20" s="25">
        <v>3</v>
      </c>
      <c r="E20" s="51">
        <v>125</v>
      </c>
      <c r="F20" s="59">
        <f t="shared" si="1"/>
        <v>12500</v>
      </c>
      <c r="G20" s="19"/>
      <c r="H20" s="66">
        <f t="shared" si="0"/>
        <v>0</v>
      </c>
    </row>
    <row r="21" spans="1:8" ht="12.75">
      <c r="A21" s="44" t="str">
        <f>HYPERLINK("http://www.aquamark.biz/htm/info.php?in=Sturisoma aureum","Sturisoma aureum L")</f>
        <v>Sturisoma aureum L</v>
      </c>
      <c r="B21" s="7" t="s">
        <v>31</v>
      </c>
      <c r="C21" s="28">
        <v>10</v>
      </c>
      <c r="D21" s="25">
        <v>3</v>
      </c>
      <c r="E21" s="51">
        <v>1278</v>
      </c>
      <c r="F21" s="59">
        <f t="shared" si="1"/>
        <v>12780</v>
      </c>
      <c r="G21" s="19"/>
      <c r="H21" s="66">
        <f t="shared" si="0"/>
        <v>0</v>
      </c>
    </row>
    <row r="22" spans="1:8" ht="12.75">
      <c r="A22" s="44" t="str">
        <f>HYPERLINK("http://www.aquamark.biz/htm/info.php?in=Sturisoma aureum","Sturisoma aureum M")</f>
        <v>Sturisoma aureum M</v>
      </c>
      <c r="B22" s="7" t="s">
        <v>32</v>
      </c>
      <c r="C22" s="28">
        <v>15</v>
      </c>
      <c r="D22" s="25">
        <v>3</v>
      </c>
      <c r="E22" s="51">
        <v>866</v>
      </c>
      <c r="F22" s="59">
        <f t="shared" si="1"/>
        <v>12990</v>
      </c>
      <c r="G22" s="19"/>
      <c r="H22" s="66">
        <f t="shared" si="0"/>
        <v>0</v>
      </c>
    </row>
    <row r="23" spans="1:8" ht="12.75">
      <c r="A23" s="44" t="str">
        <f>HYPERLINK("http://www.aquamark.biz/htm/info.php?in=Corydoras melanotaenia","Corydoras melanotaenia L")</f>
        <v>Corydoras melanotaenia L</v>
      </c>
      <c r="B23" s="7" t="s">
        <v>70</v>
      </c>
      <c r="C23" s="28">
        <v>100</v>
      </c>
      <c r="D23" s="25">
        <v>3</v>
      </c>
      <c r="E23" s="51">
        <v>127</v>
      </c>
      <c r="F23" s="59">
        <f t="shared" si="1"/>
        <v>12700</v>
      </c>
      <c r="G23" s="19"/>
      <c r="H23" s="66">
        <f>G23*F23</f>
        <v>0</v>
      </c>
    </row>
    <row r="24" spans="1:8" ht="12.75">
      <c r="A24" s="45" t="str">
        <f>HYPERLINK("http://www.aquamark.biz/htm/info.php?in=Corydoras sp CW51","Corydoras sp CW51")</f>
        <v>Corydoras sp CW51</v>
      </c>
      <c r="B24" s="37" t="s">
        <v>85</v>
      </c>
      <c r="C24" s="38">
        <v>50</v>
      </c>
      <c r="D24" s="39">
        <v>1</v>
      </c>
      <c r="E24" s="52">
        <v>570</v>
      </c>
      <c r="F24" s="52">
        <f t="shared" si="1"/>
        <v>28500</v>
      </c>
      <c r="G24" s="40"/>
      <c r="H24" s="67">
        <f aca="true" t="shared" si="2" ref="H24:H39">G24*F24</f>
        <v>0</v>
      </c>
    </row>
    <row r="25" spans="1:8" ht="12.75">
      <c r="A25" s="44" t="str">
        <f>HYPERLINK("http://www.aquamark.biz/htm/info.php?in=Ancistrinae sp (L128)","Ancistrinae sp (L128) S")</f>
        <v>Ancistrinae sp (L128) S</v>
      </c>
      <c r="B25" s="7" t="s">
        <v>39</v>
      </c>
      <c r="C25" s="28">
        <v>40</v>
      </c>
      <c r="D25" s="25">
        <v>1</v>
      </c>
      <c r="E25" s="51">
        <v>600</v>
      </c>
      <c r="F25" s="59">
        <f t="shared" si="1"/>
        <v>24000</v>
      </c>
      <c r="G25" s="19"/>
      <c r="H25" s="66">
        <f t="shared" si="2"/>
        <v>0</v>
      </c>
    </row>
    <row r="26" spans="1:8" ht="12.75">
      <c r="A26" s="44" t="str">
        <f>HYPERLINK("http://www.aquamark.biz/htm/info.php?in=Ancistrinae sp (L239)","Ancistrinae sp (L239) S")</f>
        <v>Ancistrinae sp (L239) S</v>
      </c>
      <c r="B26" s="7" t="s">
        <v>51</v>
      </c>
      <c r="C26" s="28">
        <v>40</v>
      </c>
      <c r="D26" s="25">
        <v>3</v>
      </c>
      <c r="E26" s="51">
        <v>528</v>
      </c>
      <c r="F26" s="59">
        <f t="shared" si="1"/>
        <v>21120</v>
      </c>
      <c r="G26" s="19"/>
      <c r="H26" s="66">
        <f t="shared" si="2"/>
        <v>0</v>
      </c>
    </row>
    <row r="27" spans="1:8" ht="12.75">
      <c r="A27" s="44" t="str">
        <f>HYPERLINK("http://www.aquamark.biz/htm/info.php?in=Ancistrus sp (1)","Ancistrus sp (1) M")</f>
        <v>Ancistrus sp (1) M</v>
      </c>
      <c r="B27" s="7" t="s">
        <v>59</v>
      </c>
      <c r="C27" s="28">
        <v>90</v>
      </c>
      <c r="D27" s="25">
        <v>3</v>
      </c>
      <c r="E27" s="51">
        <v>138</v>
      </c>
      <c r="F27" s="59">
        <f t="shared" si="1"/>
        <v>12420</v>
      </c>
      <c r="G27" s="19"/>
      <c r="H27" s="66">
        <f t="shared" si="2"/>
        <v>0</v>
      </c>
    </row>
    <row r="28" spans="1:8" ht="12.75">
      <c r="A28" s="44" t="str">
        <f>HYPERLINK("http://www.aquamark.biz/htm/info.php?in=Ancistrus triradiatus (LDA72)","Ancistrus triradiatus (LDA72) L")</f>
        <v>Ancistrus triradiatus (LDA72) L</v>
      </c>
      <c r="B28" s="7" t="s">
        <v>71</v>
      </c>
      <c r="C28" s="28">
        <v>25</v>
      </c>
      <c r="D28" s="25">
        <v>1</v>
      </c>
      <c r="E28" s="51">
        <v>494</v>
      </c>
      <c r="F28" s="59">
        <f t="shared" si="1"/>
        <v>12350</v>
      </c>
      <c r="G28" s="19"/>
      <c r="H28" s="66">
        <f t="shared" si="2"/>
        <v>0</v>
      </c>
    </row>
    <row r="29" spans="1:8" ht="12.75">
      <c r="A29" s="44" t="str">
        <f>HYPERLINK("http://www.aquamark.biz/htm/info.php?in=Ancistrus triradiatus (LDA72)","Ancistrus triradiatus (LDA72) M")</f>
        <v>Ancistrus triradiatus (LDA72) M</v>
      </c>
      <c r="B29" s="7" t="s">
        <v>74</v>
      </c>
      <c r="C29" s="28">
        <v>40</v>
      </c>
      <c r="D29" s="25">
        <v>1</v>
      </c>
      <c r="E29" s="51">
        <v>314</v>
      </c>
      <c r="F29" s="59">
        <f t="shared" si="1"/>
        <v>12560</v>
      </c>
      <c r="G29" s="19"/>
      <c r="H29" s="66">
        <f t="shared" si="2"/>
        <v>0</v>
      </c>
    </row>
    <row r="30" spans="1:8" ht="12.75">
      <c r="A30" s="44" t="str">
        <f>HYPERLINK("http://www.aquamark.biz/htm/info.php?in=Ancistrus triradiatus (LDA72)","Ancistrus triradiatus (LDA72) S")</f>
        <v>Ancistrus triradiatus (LDA72) S</v>
      </c>
      <c r="B30" s="7" t="s">
        <v>75</v>
      </c>
      <c r="C30" s="28">
        <v>60</v>
      </c>
      <c r="D30" s="25">
        <v>1</v>
      </c>
      <c r="E30" s="51">
        <v>214</v>
      </c>
      <c r="F30" s="59">
        <f t="shared" si="1"/>
        <v>12840</v>
      </c>
      <c r="G30" s="19"/>
      <c r="H30" s="66">
        <f t="shared" si="2"/>
        <v>0</v>
      </c>
    </row>
    <row r="31" spans="1:8" ht="12.75">
      <c r="A31" s="45" t="str">
        <f>HYPERLINK("http://www.aquamark.biz/htm/info.php?in=Ancistrinae sp Hi-fin (L200)","Baryancistrus demantoides (L200 Hi-fin) M")</f>
        <v>Baryancistrus demantoides (L200 Hi-fin) M</v>
      </c>
      <c r="B31" s="37" t="s">
        <v>53</v>
      </c>
      <c r="C31" s="38">
        <v>30</v>
      </c>
      <c r="D31" s="39">
        <v>1</v>
      </c>
      <c r="E31" s="52">
        <v>625</v>
      </c>
      <c r="F31" s="52">
        <f t="shared" si="1"/>
        <v>18750</v>
      </c>
      <c r="G31" s="40"/>
      <c r="H31" s="67">
        <f t="shared" si="2"/>
        <v>0</v>
      </c>
    </row>
    <row r="32" spans="1:8" ht="12.75">
      <c r="A32" s="44" t="str">
        <f>HYPERLINK("http://www.aquamark.biz/htm/info.php?in=Chaetostoma cf thomsoni (L187b)","Chaetostoma cf thomsoni (L187b) L")</f>
        <v>Chaetostoma cf thomsoni (L187b) L</v>
      </c>
      <c r="B32" s="7" t="s">
        <v>76</v>
      </c>
      <c r="C32" s="28">
        <v>80</v>
      </c>
      <c r="D32" s="25">
        <v>3</v>
      </c>
      <c r="E32" s="51">
        <v>155</v>
      </c>
      <c r="F32" s="59">
        <f t="shared" si="1"/>
        <v>12400</v>
      </c>
      <c r="G32" s="19"/>
      <c r="H32" s="66">
        <f t="shared" si="2"/>
        <v>0</v>
      </c>
    </row>
    <row r="33" spans="1:8" ht="12.75">
      <c r="A33" s="44" t="str">
        <f>HYPERLINK("http://www.aquamark.biz/htm/info.php?in=Chaetostoma cf thomsoni (L187b)","Chaetostoma cf thomsoni (L187b) M")</f>
        <v>Chaetostoma cf thomsoni (L187b) M</v>
      </c>
      <c r="B33" s="7" t="s">
        <v>77</v>
      </c>
      <c r="C33" s="28">
        <v>100</v>
      </c>
      <c r="D33" s="25">
        <v>3</v>
      </c>
      <c r="E33" s="51">
        <v>125</v>
      </c>
      <c r="F33" s="59">
        <f t="shared" si="1"/>
        <v>12500</v>
      </c>
      <c r="G33" s="19"/>
      <c r="H33" s="66">
        <f t="shared" si="2"/>
        <v>0</v>
      </c>
    </row>
    <row r="34" spans="1:8" ht="12.75">
      <c r="A34" s="44" t="str">
        <f>HYPERLINK("http://www.aquamark.biz/htm/info.php?in=Chaetostoma cf thomsoni (L187b)","Chaetostoma cf thomsoni (L187b) S")</f>
        <v>Chaetostoma cf thomsoni (L187b) S</v>
      </c>
      <c r="B34" s="7" t="s">
        <v>78</v>
      </c>
      <c r="C34" s="28">
        <v>120</v>
      </c>
      <c r="D34" s="25">
        <v>3</v>
      </c>
      <c r="E34" s="51">
        <v>105</v>
      </c>
      <c r="F34" s="59">
        <f t="shared" si="1"/>
        <v>12600</v>
      </c>
      <c r="G34" s="19"/>
      <c r="H34" s="66">
        <f t="shared" si="2"/>
        <v>0</v>
      </c>
    </row>
    <row r="35" spans="1:8" ht="12.75">
      <c r="A35" s="44" t="str">
        <f>HYPERLINK("http://www.aquamark.biz/htm/info.php?in=Chaetostoma sp (L187a)","Chaetostoma sp (L187a) L")</f>
        <v>Chaetostoma sp (L187a) L</v>
      </c>
      <c r="B35" s="7" t="s">
        <v>79</v>
      </c>
      <c r="C35" s="28">
        <v>30</v>
      </c>
      <c r="D35" s="25">
        <v>3</v>
      </c>
      <c r="E35" s="51">
        <v>409</v>
      </c>
      <c r="F35" s="59">
        <f t="shared" si="1"/>
        <v>12270</v>
      </c>
      <c r="G35" s="19"/>
      <c r="H35" s="66">
        <f t="shared" si="2"/>
        <v>0</v>
      </c>
    </row>
    <row r="36" spans="1:8" ht="12.75">
      <c r="A36" s="44" t="str">
        <f>HYPERLINK("http://www.aquamark.biz/htm/info.php?in=Chaetostoma sp (L187a)","Chaetostoma sp (L187a) M")</f>
        <v>Chaetostoma sp (L187a) M</v>
      </c>
      <c r="B36" s="7" t="s">
        <v>80</v>
      </c>
      <c r="C36" s="28">
        <v>50</v>
      </c>
      <c r="D36" s="25">
        <v>3</v>
      </c>
      <c r="E36" s="51">
        <v>249</v>
      </c>
      <c r="F36" s="59">
        <f t="shared" si="1"/>
        <v>12450</v>
      </c>
      <c r="G36" s="19"/>
      <c r="H36" s="66">
        <f t="shared" si="2"/>
        <v>0</v>
      </c>
    </row>
    <row r="37" spans="1:8" ht="12.75">
      <c r="A37" s="44" t="str">
        <f>HYPERLINK("http://www.aquamark.biz/htm/info.php?in=Chaetostoma sp (L187a)","Chaetostoma sp (L187a) S")</f>
        <v>Chaetostoma sp (L187a) S</v>
      </c>
      <c r="B37" s="7" t="s">
        <v>81</v>
      </c>
      <c r="C37" s="28">
        <v>80</v>
      </c>
      <c r="D37" s="25">
        <v>3</v>
      </c>
      <c r="E37" s="51">
        <v>159</v>
      </c>
      <c r="F37" s="59">
        <f t="shared" si="1"/>
        <v>12720</v>
      </c>
      <c r="G37" s="19"/>
      <c r="H37" s="66">
        <f t="shared" si="2"/>
        <v>0</v>
      </c>
    </row>
    <row r="38" spans="1:8" ht="12.75">
      <c r="A38" s="44" t="str">
        <f>HYPERLINK("http://www.aquamark.biz/htm/info.php?in=Dekeyseria pulcher (L052)","Dekeyseria pulcher (L052) L")</f>
        <v>Dekeyseria pulcher (L052) L</v>
      </c>
      <c r="B38" s="7" t="s">
        <v>40</v>
      </c>
      <c r="C38" s="28">
        <v>30</v>
      </c>
      <c r="D38" s="25">
        <v>1</v>
      </c>
      <c r="E38" s="51">
        <v>460</v>
      </c>
      <c r="F38" s="59">
        <f t="shared" si="1"/>
        <v>13800</v>
      </c>
      <c r="G38" s="19"/>
      <c r="H38" s="66">
        <f t="shared" si="2"/>
        <v>0</v>
      </c>
    </row>
    <row r="39" spans="1:8" ht="12.75">
      <c r="A39" s="44" t="str">
        <f>HYPERLINK("http://www.aquamark.biz/htm/info.php?in=Ancistrinae sp (L200)","Hemiancistrus subviridis (L200) L")</f>
        <v>Hemiancistrus subviridis (L200) L</v>
      </c>
      <c r="B39" s="7" t="s">
        <v>44</v>
      </c>
      <c r="C39" s="28">
        <v>20</v>
      </c>
      <c r="D39" s="25">
        <v>3</v>
      </c>
      <c r="E39" s="51">
        <v>825</v>
      </c>
      <c r="F39" s="59">
        <f t="shared" si="1"/>
        <v>16500</v>
      </c>
      <c r="G39" s="19"/>
      <c r="H39" s="66">
        <f t="shared" si="2"/>
        <v>0</v>
      </c>
    </row>
    <row r="40" spans="1:8" ht="12.75">
      <c r="A40" s="44" t="str">
        <f>HYPERLINK("http://www.aquamark.biz/htm/info.php?in=Ancistrinae sp (L200)","Hemiancistrus subviridis (L200) S")</f>
        <v>Hemiancistrus subviridis (L200) S</v>
      </c>
      <c r="B40" s="7" t="s">
        <v>45</v>
      </c>
      <c r="C40" s="28">
        <v>40</v>
      </c>
      <c r="D40" s="25">
        <v>3</v>
      </c>
      <c r="E40" s="51">
        <v>525</v>
      </c>
      <c r="F40" s="59">
        <f t="shared" si="1"/>
        <v>21000</v>
      </c>
      <c r="G40" s="19"/>
      <c r="H40" s="66">
        <f aca="true" t="shared" si="3" ref="H40:H48">G40*F40</f>
        <v>0</v>
      </c>
    </row>
    <row r="41" spans="1:8" ht="12.75">
      <c r="A41" s="44" t="str">
        <f>HYPERLINK("http://www.aquamark.biz/htm/info.php?in=Hypancistrus inspector (L201)","Hypancistrus inspector (L201) M")</f>
        <v>Hypancistrus inspector (L201) M</v>
      </c>
      <c r="B41" s="7" t="s">
        <v>25</v>
      </c>
      <c r="C41" s="28">
        <v>50</v>
      </c>
      <c r="D41" s="25">
        <v>3</v>
      </c>
      <c r="E41" s="51">
        <v>375</v>
      </c>
      <c r="F41" s="59">
        <f t="shared" si="1"/>
        <v>18750</v>
      </c>
      <c r="G41" s="19"/>
      <c r="H41" s="66">
        <f t="shared" si="3"/>
        <v>0</v>
      </c>
    </row>
    <row r="42" spans="1:8" ht="12.75">
      <c r="A42" s="44" t="str">
        <f>HYPERLINK("http://www.aquamark.biz/htm/info.php?in=Hypancistrus inspector (L201)","Hypancistrus inspector (L201) S")</f>
        <v>Hypancistrus inspector (L201) S</v>
      </c>
      <c r="B42" s="7" t="s">
        <v>26</v>
      </c>
      <c r="C42" s="28">
        <v>60</v>
      </c>
      <c r="D42" s="25">
        <v>3</v>
      </c>
      <c r="E42" s="51">
        <v>335</v>
      </c>
      <c r="F42" s="59">
        <f t="shared" si="1"/>
        <v>20100</v>
      </c>
      <c r="G42" s="19"/>
      <c r="H42" s="66">
        <f t="shared" si="3"/>
        <v>0</v>
      </c>
    </row>
    <row r="43" spans="1:8" ht="12.75">
      <c r="A43" s="44" t="str">
        <f>HYPERLINK("http://www.aquamark.biz/htm/info.php?in=Hypostomus plecostomus","Hypostomus sp L")</f>
        <v>Hypostomus sp L</v>
      </c>
      <c r="B43" s="7" t="s">
        <v>27</v>
      </c>
      <c r="C43" s="28">
        <v>40</v>
      </c>
      <c r="D43" s="25">
        <v>3</v>
      </c>
      <c r="E43" s="51">
        <v>308</v>
      </c>
      <c r="F43" s="59">
        <f t="shared" si="1"/>
        <v>12320</v>
      </c>
      <c r="G43" s="19"/>
      <c r="H43" s="66">
        <f t="shared" si="3"/>
        <v>0</v>
      </c>
    </row>
    <row r="44" spans="1:8" ht="12.75">
      <c r="A44" s="44" t="str">
        <f>HYPERLINK("http://www.aquamark.biz/htm/info.php?in=Hypostomus plecostomus","Hypostomus sp M")</f>
        <v>Hypostomus sp M</v>
      </c>
      <c r="B44" s="7" t="s">
        <v>28</v>
      </c>
      <c r="C44" s="28">
        <v>60</v>
      </c>
      <c r="D44" s="25">
        <v>3</v>
      </c>
      <c r="E44" s="51">
        <v>207</v>
      </c>
      <c r="F44" s="59">
        <f t="shared" si="1"/>
        <v>12420</v>
      </c>
      <c r="G44" s="19"/>
      <c r="H44" s="66">
        <f t="shared" si="3"/>
        <v>0</v>
      </c>
    </row>
    <row r="45" spans="1:8" ht="12.75">
      <c r="A45" s="44" t="str">
        <f>HYPERLINK("http://www.aquamark.biz/htm/info.php?in=Hypostomus plecostomus","Hypostomus sp S")</f>
        <v>Hypostomus sp S</v>
      </c>
      <c r="B45" s="7" t="s">
        <v>29</v>
      </c>
      <c r="C45" s="28">
        <v>80</v>
      </c>
      <c r="D45" s="25">
        <v>12</v>
      </c>
      <c r="E45" s="51">
        <v>157</v>
      </c>
      <c r="F45" s="59">
        <f t="shared" si="1"/>
        <v>12560</v>
      </c>
      <c r="G45" s="19"/>
      <c r="H45" s="66">
        <f t="shared" si="3"/>
        <v>0</v>
      </c>
    </row>
    <row r="46" spans="1:8" ht="12.75">
      <c r="A46" s="44" t="str">
        <f>HYPERLINK("http://www.aquamark.biz/htm/info.php?in=Hypostomus plecostomus","Hypostomus sp XL")</f>
        <v>Hypostomus sp XL</v>
      </c>
      <c r="B46" s="7" t="s">
        <v>30</v>
      </c>
      <c r="C46" s="28">
        <v>20</v>
      </c>
      <c r="D46" s="25">
        <v>3</v>
      </c>
      <c r="E46" s="51">
        <v>609</v>
      </c>
      <c r="F46" s="59">
        <f t="shared" si="1"/>
        <v>12180</v>
      </c>
      <c r="G46" s="19"/>
      <c r="H46" s="66">
        <f t="shared" si="3"/>
        <v>0</v>
      </c>
    </row>
    <row r="47" spans="1:8" ht="12.75">
      <c r="A47" s="44" t="str">
        <f>HYPERLINK("http://www.aquamark.biz/htm/info.php?in=Panaque maccus (L104)","Panaque maccus (L104) M")</f>
        <v>Panaque maccus (L104) M</v>
      </c>
      <c r="B47" s="7" t="s">
        <v>0</v>
      </c>
      <c r="C47" s="28">
        <v>100</v>
      </c>
      <c r="D47" s="25">
        <v>12</v>
      </c>
      <c r="E47" s="51">
        <v>143</v>
      </c>
      <c r="F47" s="59">
        <f t="shared" si="1"/>
        <v>14300</v>
      </c>
      <c r="G47" s="19"/>
      <c r="H47" s="66">
        <f t="shared" si="3"/>
        <v>0</v>
      </c>
    </row>
    <row r="48" spans="1:8" ht="12.75">
      <c r="A48" s="44" t="str">
        <f>HYPERLINK("http://www.aquamark.biz/htm/info.php?in=Panaque maccus (L104)","Panaque maccus (L104) S")</f>
        <v>Panaque maccus (L104) S</v>
      </c>
      <c r="B48" s="7" t="s">
        <v>1</v>
      </c>
      <c r="C48" s="28">
        <v>120</v>
      </c>
      <c r="D48" s="25">
        <v>12</v>
      </c>
      <c r="E48" s="51">
        <v>123</v>
      </c>
      <c r="F48" s="59">
        <f t="shared" si="1"/>
        <v>14760</v>
      </c>
      <c r="G48" s="19"/>
      <c r="H48" s="66">
        <f t="shared" si="3"/>
        <v>0</v>
      </c>
    </row>
    <row r="49" spans="1:8" ht="12.75">
      <c r="A49" s="44" t="str">
        <f>HYPERLINK("http://www.aquamark.biz/htm/info.php?in=Panaque sp (L191)","Panaque sp (L191) L")</f>
        <v>Panaque sp (L191) L</v>
      </c>
      <c r="B49" s="7" t="s">
        <v>46</v>
      </c>
      <c r="C49" s="28">
        <v>20</v>
      </c>
      <c r="D49" s="25">
        <v>3</v>
      </c>
      <c r="E49" s="51">
        <v>716</v>
      </c>
      <c r="F49" s="59">
        <f t="shared" si="1"/>
        <v>14320</v>
      </c>
      <c r="G49" s="19"/>
      <c r="H49" s="66">
        <f aca="true" t="shared" si="4" ref="H49:H59">G49*F49</f>
        <v>0</v>
      </c>
    </row>
    <row r="50" spans="1:8" ht="12.75">
      <c r="A50" s="44" t="str">
        <f>HYPERLINK("http://www.aquamark.biz/htm/info.php?in=Panaque sp (L191)","Panaque sp (L191) M")</f>
        <v>Panaque sp (L191) M</v>
      </c>
      <c r="B50" s="7" t="s">
        <v>42</v>
      </c>
      <c r="C50" s="28">
        <v>30</v>
      </c>
      <c r="D50" s="25">
        <v>1</v>
      </c>
      <c r="E50" s="51">
        <v>488</v>
      </c>
      <c r="F50" s="59">
        <f t="shared" si="1"/>
        <v>14640</v>
      </c>
      <c r="G50" s="19"/>
      <c r="H50" s="66">
        <f t="shared" si="4"/>
        <v>0</v>
      </c>
    </row>
    <row r="51" spans="1:8" ht="12.75">
      <c r="A51" s="44" t="str">
        <f>HYPERLINK("http://www.aquamark.biz/htm/info.php?in=Panaque sp (L191)","Panaque sp (L191) S")</f>
        <v>Panaque sp (L191) S</v>
      </c>
      <c r="B51" s="7" t="s">
        <v>43</v>
      </c>
      <c r="C51" s="28">
        <v>40</v>
      </c>
      <c r="D51" s="25">
        <v>1</v>
      </c>
      <c r="E51" s="51">
        <v>388</v>
      </c>
      <c r="F51" s="59">
        <f t="shared" si="1"/>
        <v>15520</v>
      </c>
      <c r="G51" s="19"/>
      <c r="H51" s="66">
        <f t="shared" si="4"/>
        <v>0</v>
      </c>
    </row>
    <row r="52" spans="1:8" ht="12.75">
      <c r="A52" s="44" t="str">
        <f>HYPERLINK("http://www.aquamark.biz/htm/info.php?in=Panaque sp (L330)","Panaque sp (L330) L")</f>
        <v>Panaque sp (L330) L</v>
      </c>
      <c r="B52" s="7" t="s">
        <v>38</v>
      </c>
      <c r="C52" s="28">
        <v>5</v>
      </c>
      <c r="D52" s="25">
        <v>3</v>
      </c>
      <c r="E52" s="51">
        <v>2661</v>
      </c>
      <c r="F52" s="59">
        <f t="shared" si="1"/>
        <v>13305</v>
      </c>
      <c r="G52" s="19"/>
      <c r="H52" s="66">
        <f t="shared" si="4"/>
        <v>0</v>
      </c>
    </row>
    <row r="53" spans="1:8" ht="12.75">
      <c r="A53" s="44" t="str">
        <f>HYPERLINK("http://www.aquamark.biz/htm/info.php?in=Panaque sp (L330)","Panaque sp (L330) M")</f>
        <v>Panaque sp (L330) M</v>
      </c>
      <c r="B53" s="7" t="s">
        <v>52</v>
      </c>
      <c r="C53" s="28">
        <v>8</v>
      </c>
      <c r="D53" s="25">
        <v>3</v>
      </c>
      <c r="E53" s="51">
        <v>1761</v>
      </c>
      <c r="F53" s="59">
        <f t="shared" si="1"/>
        <v>14088</v>
      </c>
      <c r="G53" s="19"/>
      <c r="H53" s="66">
        <f t="shared" si="4"/>
        <v>0</v>
      </c>
    </row>
    <row r="54" spans="1:8" ht="12.75">
      <c r="A54" s="44" t="str">
        <f>HYPERLINK("http://www.aquamark.biz/htm/info.php?in=Panaque sp (L330)","Panaque sp (L330) XL")</f>
        <v>Panaque sp (L330) XL</v>
      </c>
      <c r="B54" s="7" t="s">
        <v>2</v>
      </c>
      <c r="C54" s="28">
        <v>3</v>
      </c>
      <c r="D54" s="25">
        <v>3</v>
      </c>
      <c r="E54" s="51">
        <v>4261</v>
      </c>
      <c r="F54" s="59">
        <f t="shared" si="1"/>
        <v>12783</v>
      </c>
      <c r="G54" s="19"/>
      <c r="H54" s="66">
        <f t="shared" si="4"/>
        <v>0</v>
      </c>
    </row>
    <row r="55" spans="1:8" ht="12.75">
      <c r="A55" s="44" t="str">
        <f>HYPERLINK("http://www.aquamark.biz/htm/info.php?in=Peckoltia sp (L202)","Peckoltia sp (L202) L")</f>
        <v>Peckoltia sp (L202) L</v>
      </c>
      <c r="B55" s="7" t="s">
        <v>82</v>
      </c>
      <c r="C55" s="28">
        <v>20</v>
      </c>
      <c r="D55" s="25">
        <v>3</v>
      </c>
      <c r="E55" s="51">
        <v>756</v>
      </c>
      <c r="F55" s="59">
        <f t="shared" si="1"/>
        <v>15120</v>
      </c>
      <c r="G55" s="19"/>
      <c r="H55" s="66">
        <f t="shared" si="4"/>
        <v>0</v>
      </c>
    </row>
    <row r="56" spans="1:8" ht="12.75">
      <c r="A56" s="44" t="str">
        <f>HYPERLINK("http://www.aquamark.biz/htm/info.php?in=Peckoltia sp (L243)","Peckoltia sp (L243) M")</f>
        <v>Peckoltia sp (L243) M</v>
      </c>
      <c r="B56" s="7" t="s">
        <v>4</v>
      </c>
      <c r="C56" s="28">
        <v>30</v>
      </c>
      <c r="D56" s="25">
        <v>0.5</v>
      </c>
      <c r="E56" s="51">
        <v>580</v>
      </c>
      <c r="F56" s="59">
        <f t="shared" si="1"/>
        <v>17400</v>
      </c>
      <c r="G56" s="19"/>
      <c r="H56" s="66">
        <f t="shared" si="4"/>
        <v>0</v>
      </c>
    </row>
    <row r="57" spans="1:8" ht="12.75">
      <c r="A57" s="44" t="str">
        <f>HYPERLINK("http://www.aquamark.biz/htm/info.php?in=Peckoltia ucayalensis (L146)","Peckoltia ucayalensis (L146)")</f>
        <v>Peckoltia ucayalensis (L146)</v>
      </c>
      <c r="B57" s="7" t="s">
        <v>47</v>
      </c>
      <c r="C57" s="28">
        <v>25</v>
      </c>
      <c r="D57" s="25">
        <v>1</v>
      </c>
      <c r="E57" s="51">
        <v>645</v>
      </c>
      <c r="F57" s="59">
        <f t="shared" si="1"/>
        <v>16125</v>
      </c>
      <c r="G57" s="19"/>
      <c r="H57" s="66">
        <f t="shared" si="4"/>
        <v>0</v>
      </c>
    </row>
    <row r="58" spans="1:8" ht="12.75">
      <c r="A58" s="44" t="str">
        <f>HYPERLINK("http://www.aquamark.biz/htm/info.php?in=Pseudorinelepis sp (L152)","Pseudorinelepis sp (L152) L")</f>
        <v>Pseudorinelepis sp (L152) L</v>
      </c>
      <c r="B58" s="7" t="s">
        <v>9</v>
      </c>
      <c r="C58" s="28">
        <v>10</v>
      </c>
      <c r="D58" s="25">
        <v>3</v>
      </c>
      <c r="E58" s="51">
        <v>1380</v>
      </c>
      <c r="F58" s="59">
        <f t="shared" si="1"/>
        <v>13800</v>
      </c>
      <c r="G58" s="19"/>
      <c r="H58" s="66">
        <f t="shared" si="4"/>
        <v>0</v>
      </c>
    </row>
    <row r="59" spans="1:8" ht="13.5" thickBot="1">
      <c r="A59" s="44" t="str">
        <f>HYPERLINK("http://www.aquamark.biz/htm/info.php?in=Pseudorinelepis sp (L152)","Pseudorinelepis sp (L152) M")</f>
        <v>Pseudorinelepis sp (L152) M</v>
      </c>
      <c r="B59" s="7" t="s">
        <v>10</v>
      </c>
      <c r="C59" s="28">
        <v>30</v>
      </c>
      <c r="D59" s="25">
        <v>3</v>
      </c>
      <c r="E59" s="51">
        <v>550</v>
      </c>
      <c r="F59" s="59">
        <f t="shared" si="1"/>
        <v>16500</v>
      </c>
      <c r="G59" s="19"/>
      <c r="H59" s="66">
        <f t="shared" si="4"/>
        <v>0</v>
      </c>
    </row>
    <row r="60" spans="1:8" ht="13.5" thickBot="1">
      <c r="A60" s="9" t="s">
        <v>20</v>
      </c>
      <c r="B60" s="10"/>
      <c r="C60" s="11"/>
      <c r="D60" s="14"/>
      <c r="E60" s="50"/>
      <c r="F60" s="50"/>
      <c r="G60" s="24">
        <f>SUBTOTAL(9,G61:G68)</f>
        <v>0</v>
      </c>
      <c r="H60" s="65">
        <f>SUBTOTAL(9,H61:H68)</f>
        <v>0</v>
      </c>
    </row>
    <row r="61" spans="1:8" ht="12.75">
      <c r="A61" s="44" t="str">
        <f>HYPERLINK("http://www.aquamark.biz/htm/info.php?in=Axelrodia riesei","Axelrodia riesei M")</f>
        <v>Axelrodia riesei M</v>
      </c>
      <c r="B61" s="7" t="s">
        <v>3</v>
      </c>
      <c r="C61" s="28">
        <v>400</v>
      </c>
      <c r="D61" s="25">
        <v>3</v>
      </c>
      <c r="E61" s="51">
        <v>33</v>
      </c>
      <c r="F61" s="59">
        <f t="shared" si="1"/>
        <v>13200</v>
      </c>
      <c r="G61" s="19"/>
      <c r="H61" s="66">
        <f aca="true" t="shared" si="5" ref="H61:H68">G61*F61</f>
        <v>0</v>
      </c>
    </row>
    <row r="62" spans="1:8" ht="12.75">
      <c r="A62" s="44" t="str">
        <f>HYPERLINK("http://www.aquamark.biz/htm/info.php?in=Hyphessobrycon copelandi","Hyphessobrycon copelandi M")</f>
        <v>Hyphessobrycon copelandi M</v>
      </c>
      <c r="B62" s="7" t="s">
        <v>6</v>
      </c>
      <c r="C62" s="28">
        <v>600</v>
      </c>
      <c r="D62" s="25">
        <v>3</v>
      </c>
      <c r="E62" s="51">
        <v>24</v>
      </c>
      <c r="F62" s="59">
        <f t="shared" si="1"/>
        <v>14400</v>
      </c>
      <c r="G62" s="19"/>
      <c r="H62" s="66">
        <f t="shared" si="5"/>
        <v>0</v>
      </c>
    </row>
    <row r="63" spans="1:8" ht="12.75">
      <c r="A63" s="44" t="str">
        <f>HYPERLINK("http://www.aquamark.biz/htm/info.php?in=Hyphessobrycon sweglesi","Hyphessobrycon sweglesi M")</f>
        <v>Hyphessobrycon sweglesi M</v>
      </c>
      <c r="B63" s="7" t="s">
        <v>7</v>
      </c>
      <c r="C63" s="28">
        <v>600</v>
      </c>
      <c r="D63" s="25">
        <v>3</v>
      </c>
      <c r="E63" s="51">
        <v>24</v>
      </c>
      <c r="F63" s="59">
        <f t="shared" si="1"/>
        <v>14400</v>
      </c>
      <c r="G63" s="19"/>
      <c r="H63" s="66">
        <f t="shared" si="5"/>
        <v>0</v>
      </c>
    </row>
    <row r="64" spans="1:8" ht="12.75">
      <c r="A64" s="44" t="str">
        <f>HYPERLINK("http://www.aquamark.biz/htm/info.php?in=Nannostomus eques","Nannostomus eques M")</f>
        <v>Nannostomus eques M</v>
      </c>
      <c r="B64" s="7" t="s">
        <v>8</v>
      </c>
      <c r="C64" s="28">
        <v>300</v>
      </c>
      <c r="D64" s="25">
        <v>1</v>
      </c>
      <c r="E64" s="51">
        <v>45</v>
      </c>
      <c r="F64" s="59">
        <f t="shared" si="1"/>
        <v>13500</v>
      </c>
      <c r="G64" s="19"/>
      <c r="H64" s="66">
        <f t="shared" si="5"/>
        <v>0</v>
      </c>
    </row>
    <row r="65" spans="1:8" ht="12.75">
      <c r="A65" s="44" t="str">
        <f>HYPERLINK("http://www.aquamark.biz/htm/info.php?in=Nematobrycon palmeri","Nematobrycon palmeri M")</f>
        <v>Nematobrycon palmeri M</v>
      </c>
      <c r="B65" s="7" t="s">
        <v>11</v>
      </c>
      <c r="C65" s="28">
        <v>400</v>
      </c>
      <c r="D65" s="25">
        <v>3</v>
      </c>
      <c r="E65" s="51">
        <v>36</v>
      </c>
      <c r="F65" s="59">
        <f t="shared" si="1"/>
        <v>14400</v>
      </c>
      <c r="G65" s="19"/>
      <c r="H65" s="66">
        <f t="shared" si="5"/>
        <v>0</v>
      </c>
    </row>
    <row r="66" spans="1:8" ht="12.75">
      <c r="A66" s="44" t="str">
        <f>HYPERLINK("http://www.aquamark.biz/htm/info.php?in=Paracheirodon axelrodi","Paracheirodon axelrodi M")</f>
        <v>Paracheirodon axelrodi M</v>
      </c>
      <c r="B66" s="7" t="s">
        <v>36</v>
      </c>
      <c r="C66" s="28">
        <v>1000</v>
      </c>
      <c r="D66" s="25">
        <v>12</v>
      </c>
      <c r="E66" s="51">
        <v>14</v>
      </c>
      <c r="F66" s="59">
        <f t="shared" si="1"/>
        <v>14000</v>
      </c>
      <c r="G66" s="19"/>
      <c r="H66" s="66">
        <f t="shared" si="5"/>
        <v>0</v>
      </c>
    </row>
    <row r="67" spans="1:8" ht="12.75">
      <c r="A67" s="44" t="str">
        <f>HYPERLINK("http://www.aquamark.biz/htm/info.php?in=Paracheirodon axelrodi","Paracheirodon axelrodi XL")</f>
        <v>Paracheirodon axelrodi XL</v>
      </c>
      <c r="B67" s="7" t="s">
        <v>33</v>
      </c>
      <c r="C67" s="28">
        <v>600</v>
      </c>
      <c r="D67" s="25">
        <v>12</v>
      </c>
      <c r="E67" s="51">
        <v>24</v>
      </c>
      <c r="F67" s="59">
        <f t="shared" si="1"/>
        <v>14400</v>
      </c>
      <c r="G67" s="19"/>
      <c r="H67" s="66">
        <f t="shared" si="5"/>
        <v>0</v>
      </c>
    </row>
    <row r="68" spans="1:8" ht="13.5" thickBot="1">
      <c r="A68" s="44" t="str">
        <f>HYPERLINK("http://www.aquamark.biz/htm/info.php?in=Piaractus brachypomus","Piaractus brachypomus S")</f>
        <v>Piaractus brachypomus S</v>
      </c>
      <c r="B68" s="7" t="s">
        <v>12</v>
      </c>
      <c r="C68" s="28">
        <v>200</v>
      </c>
      <c r="D68" s="25">
        <v>3</v>
      </c>
      <c r="E68" s="51">
        <v>67</v>
      </c>
      <c r="F68" s="59">
        <f t="shared" si="1"/>
        <v>13400</v>
      </c>
      <c r="G68" s="19"/>
      <c r="H68" s="66">
        <f t="shared" si="5"/>
        <v>0</v>
      </c>
    </row>
    <row r="69" spans="1:8" ht="13.5" thickBot="1">
      <c r="A69" s="9" t="s">
        <v>37</v>
      </c>
      <c r="B69" s="10"/>
      <c r="C69" s="11"/>
      <c r="D69" s="14"/>
      <c r="E69" s="50"/>
      <c r="F69" s="50"/>
      <c r="G69" s="24">
        <f>SUBTOTAL(9,G70:G81)</f>
        <v>0</v>
      </c>
      <c r="H69" s="65">
        <f>SUBTOTAL(9,H70:H81)</f>
        <v>0</v>
      </c>
    </row>
    <row r="70" spans="1:8" ht="12.75">
      <c r="A70" s="44" t="str">
        <f>HYPERLINK("http://www.aquamark.biz/htm/info.php?in=Aequidens pulcher","Aequidens pulcher M")</f>
        <v>Aequidens pulcher M</v>
      </c>
      <c r="B70" s="7" t="s">
        <v>13</v>
      </c>
      <c r="C70" s="28">
        <v>60</v>
      </c>
      <c r="D70" s="25">
        <v>1</v>
      </c>
      <c r="E70" s="51">
        <v>208</v>
      </c>
      <c r="F70" s="59">
        <f t="shared" si="1"/>
        <v>12480</v>
      </c>
      <c r="G70" s="19"/>
      <c r="H70" s="66">
        <f aca="true" t="shared" si="6" ref="H70:H81">G70*F70</f>
        <v>0</v>
      </c>
    </row>
    <row r="71" spans="1:8" ht="12.75">
      <c r="A71" s="44" t="str">
        <f>HYPERLINK("http://www.aquamark.biz/htm/info.php?in=Aequidens pulcher","Aequidens pulcher S")</f>
        <v>Aequidens pulcher S</v>
      </c>
      <c r="B71" s="7" t="s">
        <v>14</v>
      </c>
      <c r="C71" s="28">
        <v>80</v>
      </c>
      <c r="D71" s="25">
        <v>1</v>
      </c>
      <c r="E71" s="51">
        <v>158</v>
      </c>
      <c r="F71" s="59">
        <f aca="true" t="shared" si="7" ref="F71:F92">SUM(C71*E71)</f>
        <v>12640</v>
      </c>
      <c r="G71" s="19"/>
      <c r="H71" s="66">
        <f t="shared" si="6"/>
        <v>0</v>
      </c>
    </row>
    <row r="72" spans="1:8" ht="12.75">
      <c r="A72" s="44" t="str">
        <f>HYPERLINK("http://www.aquamark.biz/htm/info.php?in=Astronotus ocellatus","Astronotus ocellatus M")</f>
        <v>Astronotus ocellatus M</v>
      </c>
      <c r="B72" s="7" t="s">
        <v>54</v>
      </c>
      <c r="C72" s="28">
        <v>60</v>
      </c>
      <c r="D72" s="25">
        <v>3</v>
      </c>
      <c r="E72" s="51">
        <v>239</v>
      </c>
      <c r="F72" s="59">
        <f t="shared" si="7"/>
        <v>14340</v>
      </c>
      <c r="G72" s="19"/>
      <c r="H72" s="66">
        <f t="shared" si="6"/>
        <v>0</v>
      </c>
    </row>
    <row r="73" spans="1:8" ht="12.75">
      <c r="A73" s="45" t="str">
        <f>HYPERLINK("http://www.aquamark.biz/htm/info.php?in=Astronotus ocellatus","Astronotus ocellatus S")</f>
        <v>Astronotus ocellatus S</v>
      </c>
      <c r="B73" s="37" t="s">
        <v>55</v>
      </c>
      <c r="C73" s="38">
        <v>100</v>
      </c>
      <c r="D73" s="39">
        <v>3</v>
      </c>
      <c r="E73" s="52">
        <v>159</v>
      </c>
      <c r="F73" s="52">
        <f t="shared" si="7"/>
        <v>15900</v>
      </c>
      <c r="G73" s="40"/>
      <c r="H73" s="67">
        <f t="shared" si="6"/>
        <v>0</v>
      </c>
    </row>
    <row r="74" spans="1:8" ht="12.75">
      <c r="A74" s="44" t="str">
        <f>HYPERLINK("http://www.aquamark.biz/htm/info.php?in=Caquetaia myersi","Caquetaia myersi M")</f>
        <v>Caquetaia myersi M</v>
      </c>
      <c r="B74" s="7" t="s">
        <v>86</v>
      </c>
      <c r="C74" s="28">
        <v>60</v>
      </c>
      <c r="D74" s="25">
        <v>3</v>
      </c>
      <c r="E74" s="51">
        <v>320</v>
      </c>
      <c r="F74" s="59">
        <f t="shared" si="7"/>
        <v>19200</v>
      </c>
      <c r="G74" s="19"/>
      <c r="H74" s="66">
        <f t="shared" si="6"/>
        <v>0</v>
      </c>
    </row>
    <row r="75" spans="1:8" ht="12.75">
      <c r="A75" s="45" t="str">
        <f>HYPERLINK("http://www.aquamark.biz/htm/info.php?in=Caquetaia myersi","Caquetaia myersi S")</f>
        <v>Caquetaia myersi S</v>
      </c>
      <c r="B75" s="37" t="s">
        <v>87</v>
      </c>
      <c r="C75" s="38">
        <v>80</v>
      </c>
      <c r="D75" s="39">
        <v>3</v>
      </c>
      <c r="E75" s="52">
        <v>270</v>
      </c>
      <c r="F75" s="52">
        <f t="shared" si="7"/>
        <v>21600</v>
      </c>
      <c r="G75" s="40"/>
      <c r="H75" s="67">
        <f t="shared" si="6"/>
        <v>0</v>
      </c>
    </row>
    <row r="76" spans="1:8" ht="12.75">
      <c r="A76" s="44" t="str">
        <f>HYPERLINK("http://www.aquamark.biz/htm/info.php?in=Crenicichla sp orinoco","Crenicichla sp orinoco L")</f>
        <v>Crenicichla sp orinoco L</v>
      </c>
      <c r="B76" s="7" t="s">
        <v>60</v>
      </c>
      <c r="C76" s="28">
        <v>30</v>
      </c>
      <c r="D76" s="25">
        <v>1</v>
      </c>
      <c r="E76" s="51">
        <v>616</v>
      </c>
      <c r="F76" s="59">
        <f t="shared" si="7"/>
        <v>18480</v>
      </c>
      <c r="G76" s="19"/>
      <c r="H76" s="66">
        <f t="shared" si="6"/>
        <v>0</v>
      </c>
    </row>
    <row r="77" spans="1:8" ht="12.75">
      <c r="A77" s="44" t="str">
        <f>HYPERLINK("http://www.aquamark.biz/htm/info.php?in=Crenicichla sp orinoco","Crenicichla sp orinoco M")</f>
        <v>Crenicichla sp orinoco M</v>
      </c>
      <c r="B77" s="7" t="s">
        <v>61</v>
      </c>
      <c r="C77" s="28">
        <v>50</v>
      </c>
      <c r="D77" s="25">
        <v>1</v>
      </c>
      <c r="E77" s="51">
        <v>366</v>
      </c>
      <c r="F77" s="59">
        <f t="shared" si="7"/>
        <v>18300</v>
      </c>
      <c r="G77" s="19"/>
      <c r="H77" s="66">
        <f t="shared" si="6"/>
        <v>0</v>
      </c>
    </row>
    <row r="78" spans="1:8" ht="12.75">
      <c r="A78" s="44" t="str">
        <f>HYPERLINK("http://www.aquamark.biz/htm/info.php?in=Geophagus steindachneri","Geophagus steindachneri M")</f>
        <v>Geophagus steindachneri M</v>
      </c>
      <c r="B78" s="7" t="s">
        <v>5</v>
      </c>
      <c r="C78" s="28">
        <v>40</v>
      </c>
      <c r="D78" s="25">
        <v>12</v>
      </c>
      <c r="E78" s="51">
        <v>344</v>
      </c>
      <c r="F78" s="59">
        <f t="shared" si="7"/>
        <v>13760</v>
      </c>
      <c r="G78" s="19"/>
      <c r="H78" s="66">
        <f t="shared" si="6"/>
        <v>0</v>
      </c>
    </row>
    <row r="79" spans="1:8" ht="12.75">
      <c r="A79" s="45" t="str">
        <f>HYPERLINK("http://www.aquamark.biz/htm/info.php?in=Mikrogeophagus ramirezi","Mikrogeophagus ramirezi L")</f>
        <v>Mikrogeophagus ramirezi L</v>
      </c>
      <c r="B79" s="37" t="s">
        <v>72</v>
      </c>
      <c r="C79" s="38">
        <v>120</v>
      </c>
      <c r="D79" s="39">
        <v>3</v>
      </c>
      <c r="E79" s="52">
        <v>107</v>
      </c>
      <c r="F79" s="52">
        <f t="shared" si="7"/>
        <v>12840</v>
      </c>
      <c r="G79" s="40"/>
      <c r="H79" s="67">
        <f t="shared" si="6"/>
        <v>0</v>
      </c>
    </row>
    <row r="80" spans="1:8" ht="12.75">
      <c r="A80" s="45" t="str">
        <f>HYPERLINK("http://www.aquamark.biz/htm/info.php?in=Mikrogeophagus ramirezi","Mikrogeophagus ramirezi M")</f>
        <v>Mikrogeophagus ramirezi M</v>
      </c>
      <c r="B80" s="37" t="s">
        <v>73</v>
      </c>
      <c r="C80" s="38">
        <v>140</v>
      </c>
      <c r="D80" s="39">
        <v>3</v>
      </c>
      <c r="E80" s="52">
        <v>93</v>
      </c>
      <c r="F80" s="52">
        <f t="shared" si="7"/>
        <v>13020</v>
      </c>
      <c r="G80" s="40"/>
      <c r="H80" s="67">
        <f t="shared" si="6"/>
        <v>0</v>
      </c>
    </row>
    <row r="81" spans="1:8" ht="13.5" thickBot="1">
      <c r="A81" s="44" t="str">
        <f>HYPERLINK("http://www.aquamark.biz/htm/info.php?in=Uaru fernandezyepezi MS","Uaru fernandezyepezi S")</f>
        <v>Uaru fernandezyepezi S</v>
      </c>
      <c r="B81" s="7" t="s">
        <v>34</v>
      </c>
      <c r="C81" s="28">
        <v>40</v>
      </c>
      <c r="D81" s="25">
        <v>0.5</v>
      </c>
      <c r="E81" s="51">
        <v>1050</v>
      </c>
      <c r="F81" s="59">
        <f t="shared" si="7"/>
        <v>42000</v>
      </c>
      <c r="G81" s="19"/>
      <c r="H81" s="66">
        <f t="shared" si="6"/>
        <v>0</v>
      </c>
    </row>
    <row r="82" spans="1:8" ht="13.5" thickBot="1">
      <c r="A82" s="9" t="s">
        <v>41</v>
      </c>
      <c r="B82" s="10"/>
      <c r="C82" s="11"/>
      <c r="D82" s="14"/>
      <c r="E82" s="50"/>
      <c r="F82" s="50"/>
      <c r="G82" s="24">
        <f>SUBTOTAL(9,G83:G90)</f>
        <v>0</v>
      </c>
      <c r="H82" s="68">
        <f>SUBTOTAL(9,H83:H90)</f>
        <v>0</v>
      </c>
    </row>
    <row r="83" spans="1:8" ht="12.75">
      <c r="A83" s="45" t="str">
        <f>HYPERLINK("http://www.aquamark.biz/htm/info.php?in=Gnatholebias zonatus","Gnatholebias zonatus")</f>
        <v>Gnatholebias zonatus</v>
      </c>
      <c r="B83" s="37" t="s">
        <v>88</v>
      </c>
      <c r="C83" s="38">
        <v>100</v>
      </c>
      <c r="D83" s="39">
        <v>3</v>
      </c>
      <c r="E83" s="52">
        <v>180</v>
      </c>
      <c r="F83" s="52">
        <f t="shared" si="7"/>
        <v>18000</v>
      </c>
      <c r="G83" s="40"/>
      <c r="H83" s="67">
        <f aca="true" t="shared" si="8" ref="H83:H90">G83*F83</f>
        <v>0</v>
      </c>
    </row>
    <row r="84" spans="1:8" ht="12.75">
      <c r="A84" s="44" t="str">
        <f>HYPERLINK("http://www.aquamark.biz/htm/info.php?in=Osteoglossum bicirrhosum","Osteoglossum bicirrhosum M")</f>
        <v>Osteoglossum bicirrhosum M</v>
      </c>
      <c r="B84" s="7" t="s">
        <v>23</v>
      </c>
      <c r="C84" s="28">
        <v>30</v>
      </c>
      <c r="D84" s="25">
        <v>3</v>
      </c>
      <c r="E84" s="51">
        <v>670</v>
      </c>
      <c r="F84" s="59">
        <f t="shared" si="7"/>
        <v>20100</v>
      </c>
      <c r="G84" s="19"/>
      <c r="H84" s="66">
        <f t="shared" si="8"/>
        <v>0</v>
      </c>
    </row>
    <row r="85" spans="1:8" ht="12.75">
      <c r="A85" s="44" t="str">
        <f>HYPERLINK("http://www.aquamark.biz/htm/info.php?in=Osteoglossum bicirrhosum (Baby)","Osteoglossum bicirrhosum S (Baby)")</f>
        <v>Osteoglossum bicirrhosum S (Baby)</v>
      </c>
      <c r="B85" s="7" t="s">
        <v>35</v>
      </c>
      <c r="C85" s="28">
        <v>100</v>
      </c>
      <c r="D85" s="25">
        <v>3</v>
      </c>
      <c r="E85" s="51">
        <v>205</v>
      </c>
      <c r="F85" s="59">
        <f t="shared" si="7"/>
        <v>20500</v>
      </c>
      <c r="G85" s="19"/>
      <c r="H85" s="66">
        <f t="shared" si="8"/>
        <v>0</v>
      </c>
    </row>
    <row r="86" spans="1:8" ht="12.75">
      <c r="A86" s="44" t="str">
        <f>HYPERLINK("http://www.aquamark.biz/htm/info.php?in=Apteronotus albifrons","Apteronotus albifrons S")</f>
        <v>Apteronotus albifrons S</v>
      </c>
      <c r="B86" s="7" t="s">
        <v>15</v>
      </c>
      <c r="C86" s="28">
        <v>50</v>
      </c>
      <c r="D86" s="25">
        <v>3</v>
      </c>
      <c r="E86" s="51">
        <v>299</v>
      </c>
      <c r="F86" s="59">
        <f t="shared" si="7"/>
        <v>14950</v>
      </c>
      <c r="G86" s="19"/>
      <c r="H86" s="66">
        <f t="shared" si="8"/>
        <v>0</v>
      </c>
    </row>
    <row r="87" spans="1:8" ht="12.75">
      <c r="A87" s="44" t="str">
        <f>HYPERLINK("http://www.aquamark.biz/htm/info.php?in=Apteronotus leptorhynchus","Apteronotus leptorhynchus L")</f>
        <v>Apteronotus leptorhynchus L</v>
      </c>
      <c r="B87" s="7" t="s">
        <v>16</v>
      </c>
      <c r="C87" s="28">
        <v>40</v>
      </c>
      <c r="D87" s="25">
        <v>1</v>
      </c>
      <c r="E87" s="51">
        <v>307</v>
      </c>
      <c r="F87" s="59">
        <f t="shared" si="7"/>
        <v>12280</v>
      </c>
      <c r="G87" s="19"/>
      <c r="H87" s="66">
        <f t="shared" si="8"/>
        <v>0</v>
      </c>
    </row>
    <row r="88" spans="1:8" ht="12.75">
      <c r="A88" s="44" t="str">
        <f>HYPERLINK("http://www.aquamark.biz/htm/info.php?in=Apteronotus leptorhynchus","Apteronotus leptorhynchus M")</f>
        <v>Apteronotus leptorhynchus M</v>
      </c>
      <c r="B88" s="7" t="s">
        <v>17</v>
      </c>
      <c r="C88" s="28">
        <v>60</v>
      </c>
      <c r="D88" s="25">
        <v>1</v>
      </c>
      <c r="E88" s="51">
        <v>207</v>
      </c>
      <c r="F88" s="59">
        <f t="shared" si="7"/>
        <v>12420</v>
      </c>
      <c r="G88" s="19"/>
      <c r="H88" s="66">
        <f t="shared" si="8"/>
        <v>0</v>
      </c>
    </row>
    <row r="89" spans="1:8" ht="12.75">
      <c r="A89" s="44" t="str">
        <f>HYPERLINK("http://www.aquamark.biz/htm/info.php?in=Eigenmannia virescens","Eigenmannia virescens M")</f>
        <v>Eigenmannia virescens M</v>
      </c>
      <c r="B89" s="7" t="s">
        <v>18</v>
      </c>
      <c r="C89" s="28">
        <v>140</v>
      </c>
      <c r="D89" s="25">
        <v>1</v>
      </c>
      <c r="E89" s="51">
        <v>93</v>
      </c>
      <c r="F89" s="59">
        <f t="shared" si="7"/>
        <v>13020</v>
      </c>
      <c r="G89" s="19"/>
      <c r="H89" s="66">
        <f t="shared" si="8"/>
        <v>0</v>
      </c>
    </row>
    <row r="90" spans="1:8" ht="13.5" thickBot="1">
      <c r="A90" s="44" t="str">
        <f>HYPERLINK("http://www.aquamark.biz/htm/info.php?in=Rhamphichthys rostratus","Rhamphichthys rostratus M")</f>
        <v>Rhamphichthys rostratus M</v>
      </c>
      <c r="B90" s="7" t="s">
        <v>19</v>
      </c>
      <c r="C90" s="28">
        <v>50</v>
      </c>
      <c r="D90" s="25">
        <v>1</v>
      </c>
      <c r="E90" s="51">
        <v>270</v>
      </c>
      <c r="F90" s="59">
        <f t="shared" si="7"/>
        <v>13500</v>
      </c>
      <c r="G90" s="19"/>
      <c r="H90" s="66">
        <f t="shared" si="8"/>
        <v>0</v>
      </c>
    </row>
    <row r="91" spans="1:8" ht="13.5" thickBot="1">
      <c r="A91" s="33" t="s">
        <v>22</v>
      </c>
      <c r="B91" s="34"/>
      <c r="C91" s="35"/>
      <c r="D91" s="35"/>
      <c r="E91" s="50"/>
      <c r="F91" s="50"/>
      <c r="G91" s="32">
        <f>SUBTOTAL(9,G92:G92)</f>
        <v>0</v>
      </c>
      <c r="H91" s="69">
        <f>SUBTOTAL(9,H92:H92)</f>
        <v>0</v>
      </c>
    </row>
    <row r="92" spans="1:8" ht="13.5" thickBot="1">
      <c r="A92" s="44" t="str">
        <f>HYPERLINK("http://www.aquamark.biz/htm/info.php?in=Potamotrygon laticeps","Potamotrygon laticeps M")</f>
        <v>Potamotrygon laticeps M</v>
      </c>
      <c r="B92" s="7" t="s">
        <v>83</v>
      </c>
      <c r="C92" s="28">
        <v>6</v>
      </c>
      <c r="D92" s="25">
        <v>1</v>
      </c>
      <c r="E92" s="51">
        <v>2150</v>
      </c>
      <c r="F92" s="59">
        <f t="shared" si="7"/>
        <v>12900</v>
      </c>
      <c r="G92" s="19"/>
      <c r="H92" s="66">
        <f>G92*F92</f>
        <v>0</v>
      </c>
    </row>
    <row r="93" spans="1:8" s="6" customFormat="1" ht="13.5" thickBot="1">
      <c r="A93" s="9" t="s">
        <v>90</v>
      </c>
      <c r="B93" s="10"/>
      <c r="C93" s="11"/>
      <c r="D93" s="14"/>
      <c r="E93" s="50"/>
      <c r="F93" s="58"/>
      <c r="G93" s="41"/>
      <c r="H93" s="69">
        <f>SUBTOTAL(9,H5:H92)</f>
        <v>0</v>
      </c>
    </row>
    <row r="94" spans="1:8" s="6" customFormat="1" ht="13.5" thickBot="1">
      <c r="A94" s="9" t="s">
        <v>89</v>
      </c>
      <c r="B94" s="10"/>
      <c r="C94" s="11"/>
      <c r="D94" s="14"/>
      <c r="E94" s="50"/>
      <c r="F94" s="58">
        <v>450</v>
      </c>
      <c r="G94" s="41">
        <f>SUBTOTAL(9,G5:G92)</f>
        <v>0</v>
      </c>
      <c r="H94" s="69">
        <f>G94*F94</f>
        <v>0</v>
      </c>
    </row>
    <row r="95" spans="1:8" ht="13.5" thickBot="1">
      <c r="A95" s="9" t="s">
        <v>91</v>
      </c>
      <c r="B95" s="10"/>
      <c r="C95" s="11"/>
      <c r="D95" s="14"/>
      <c r="E95" s="50"/>
      <c r="F95" s="58"/>
      <c r="G95" s="21"/>
      <c r="H95" s="69">
        <f>H94+H93</f>
        <v>0</v>
      </c>
    </row>
    <row r="96" spans="1:7" ht="12.75">
      <c r="A96" s="46"/>
      <c r="B96" s="2"/>
      <c r="E96" s="53"/>
      <c r="F96" s="60"/>
      <c r="G96" s="22"/>
    </row>
    <row r="97" spans="1:7" ht="12.75">
      <c r="A97" s="46"/>
      <c r="B97" s="2"/>
      <c r="E97" s="53"/>
      <c r="F97" s="60"/>
      <c r="G97" s="22"/>
    </row>
    <row r="98" spans="1:7" ht="12.75">
      <c r="A98" s="46"/>
      <c r="B98" s="2"/>
      <c r="E98" s="53"/>
      <c r="F98" s="60"/>
      <c r="G98" s="22"/>
    </row>
    <row r="99" spans="1:7" ht="12.75">
      <c r="A99" s="46"/>
      <c r="B99" s="2"/>
      <c r="E99" s="53"/>
      <c r="F99" s="60"/>
      <c r="G99" s="22"/>
    </row>
    <row r="100" spans="1:7" ht="12.75">
      <c r="A100" s="46"/>
      <c r="B100" s="2"/>
      <c r="E100" s="53"/>
      <c r="F100" s="60"/>
      <c r="G100" s="22"/>
    </row>
    <row r="101" spans="1:7" ht="12.75">
      <c r="A101" s="46"/>
      <c r="B101" s="2"/>
      <c r="E101" s="53"/>
      <c r="F101" s="60"/>
      <c r="G101" s="22"/>
    </row>
    <row r="102" spans="1:7" ht="12.75">
      <c r="A102" s="46"/>
      <c r="B102" s="2"/>
      <c r="E102" s="53"/>
      <c r="F102" s="60"/>
      <c r="G102" s="22"/>
    </row>
    <row r="103" spans="1:7" ht="12.75">
      <c r="A103" s="46"/>
      <c r="B103" s="2"/>
      <c r="E103" s="53"/>
      <c r="F103" s="60"/>
      <c r="G103" s="22"/>
    </row>
    <row r="104" spans="1:7" ht="12.75">
      <c r="A104" s="46"/>
      <c r="B104" s="2"/>
      <c r="E104" s="53"/>
      <c r="F104" s="60"/>
      <c r="G104" s="22"/>
    </row>
    <row r="105" spans="1:7" ht="12.75">
      <c r="A105" s="46"/>
      <c r="B105" s="2"/>
      <c r="E105" s="53"/>
      <c r="F105" s="60"/>
      <c r="G105" s="22"/>
    </row>
  </sheetData>
  <sheetProtection/>
  <mergeCells count="1">
    <mergeCell ref="A2:H2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administrator</cp:lastModifiedBy>
  <cp:lastPrinted>2005-01-11T22:45:31Z</cp:lastPrinted>
  <dcterms:created xsi:type="dcterms:W3CDTF">2004-10-06T13:34:58Z</dcterms:created>
  <dcterms:modified xsi:type="dcterms:W3CDTF">2011-05-28T11:12:20Z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