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2120" windowHeight="8865" activeTab="0"/>
  </bookViews>
  <sheets>
    <sheet name="посылки" sheetId="1" r:id="rId1"/>
    <sheet name="заказы" sheetId="2" state="hidden" r:id="rId2"/>
  </sheets>
  <definedNames/>
  <calcPr fullCalcOnLoad="1"/>
</workbook>
</file>

<file path=xl/sharedStrings.xml><?xml version="1.0" encoding="utf-8"?>
<sst xmlns="http://schemas.openxmlformats.org/spreadsheetml/2006/main" count="1383" uniqueCount="466">
  <si>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</si>
  <si>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</si>
  <si>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</si>
  <si>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</si>
  <si>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</si>
  <si>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</si>
  <si>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</si>
  <si>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Цена, $*</t>
  </si>
  <si>
    <t>ИТОГО</t>
  </si>
  <si>
    <t>Налог</t>
  </si>
  <si>
    <t>Итого</t>
  </si>
  <si>
    <t>в рублях</t>
  </si>
  <si>
    <t>оплата</t>
  </si>
  <si>
    <t>долг (-) / сдача (+)</t>
  </si>
  <si>
    <t>Вилия</t>
  </si>
  <si>
    <t>eiskhakov</t>
  </si>
  <si>
    <t>koalla</t>
  </si>
  <si>
    <t>black</t>
  </si>
  <si>
    <t>White</t>
  </si>
  <si>
    <t>Paris look</t>
  </si>
  <si>
    <t>XL</t>
  </si>
  <si>
    <t>MarishaNN</t>
  </si>
  <si>
    <t>Black</t>
  </si>
  <si>
    <t>velen</t>
  </si>
  <si>
    <t>Оплата2</t>
  </si>
  <si>
    <t>Кол-во</t>
  </si>
  <si>
    <t>Доставка до Шипито</t>
  </si>
  <si>
    <t>доставка</t>
  </si>
  <si>
    <t>Долг (-) Сдача(+)</t>
  </si>
  <si>
    <t>ОПЛАТА доставки до РФ</t>
  </si>
  <si>
    <t>вес в фунтах</t>
  </si>
  <si>
    <t>ebay</t>
  </si>
  <si>
    <t>G</t>
  </si>
  <si>
    <t>abrikoshka</t>
  </si>
  <si>
    <t>Оксана2009</t>
  </si>
  <si>
    <t>сёмамама</t>
  </si>
  <si>
    <t>L</t>
  </si>
  <si>
    <t>KsuKsu</t>
  </si>
  <si>
    <t>Раздача</t>
  </si>
  <si>
    <t>Тиффани</t>
  </si>
  <si>
    <t>cucumber</t>
  </si>
  <si>
    <t>розовый</t>
  </si>
  <si>
    <t>grey</t>
  </si>
  <si>
    <t>МаТаДа</t>
  </si>
  <si>
    <t>Blackberry</t>
  </si>
  <si>
    <t>Малышен</t>
  </si>
  <si>
    <t>JT*</t>
  </si>
  <si>
    <t>JT</t>
  </si>
  <si>
    <t>Ниса</t>
  </si>
  <si>
    <t>MariaP</t>
  </si>
  <si>
    <t>ниса</t>
  </si>
  <si>
    <t>Архив</t>
  </si>
  <si>
    <t>Остаток с выкупа</t>
  </si>
  <si>
    <t>Nys</t>
  </si>
  <si>
    <t>НадеждаАлександровна</t>
  </si>
  <si>
    <t>Punshpunsh</t>
  </si>
  <si>
    <t>Taisiya</t>
  </si>
  <si>
    <t>ideeli</t>
  </si>
  <si>
    <t>ибей</t>
  </si>
  <si>
    <t>7news</t>
  </si>
  <si>
    <t>White Leather</t>
  </si>
  <si>
    <t>чёрн</t>
  </si>
  <si>
    <t>tatanikol</t>
  </si>
  <si>
    <t xml:space="preserve">shchepalina </t>
  </si>
  <si>
    <t>amazon16</t>
  </si>
  <si>
    <t>KoKosinka</t>
  </si>
  <si>
    <t>6pm52</t>
  </si>
  <si>
    <t>6pm53</t>
  </si>
  <si>
    <t>6pm54</t>
  </si>
  <si>
    <t>N+M</t>
  </si>
  <si>
    <t xml:space="preserve">МаТаДа </t>
  </si>
  <si>
    <t>семамама</t>
  </si>
  <si>
    <t>вилия</t>
  </si>
  <si>
    <t>ershik</t>
  </si>
  <si>
    <t>amazon18</t>
  </si>
  <si>
    <t>amazon19</t>
  </si>
  <si>
    <t>Лана80</t>
  </si>
  <si>
    <t>http://www.6pm.com/tsubo-kirs-black-silver</t>
  </si>
  <si>
    <t xml:space="preserve">agysha </t>
  </si>
  <si>
    <t>Nisina</t>
  </si>
  <si>
    <t>http://www.6pm.com/umi-kids-marmalade-infant-toddler-white</t>
  </si>
  <si>
    <t>SKU #7604290</t>
  </si>
  <si>
    <t>Umi Kids Marmalade </t>
  </si>
  <si>
    <t>http://www.6pm.com/kid-express-galleria-infant-toddler-youth-rose-nubuck</t>
  </si>
  <si>
    <t>SKU #7746625</t>
  </si>
  <si>
    <t>Kid Express Galleria</t>
  </si>
  <si>
    <t>Rose Nubuck</t>
  </si>
  <si>
    <t>http://www.6pm.com/primigi-kids-minerva-e-toddler-youth-brown-leather</t>
  </si>
  <si>
    <t>SKU #7624984</t>
  </si>
  <si>
    <t>Primigi Kids Minerva-E </t>
  </si>
  <si>
    <t>серебр</t>
  </si>
  <si>
    <t>http://www.6pm.com/l-a-m-b-quincy-dark-brown</t>
  </si>
  <si>
    <t>SKU #7651676</t>
  </si>
  <si>
    <t>http://www.6pm.com/tsubo-edfu-silver-metallic-full-grain</t>
  </si>
  <si>
    <t xml:space="preserve">Tsubo Edfu </t>
  </si>
  <si>
    <t xml:space="preserve">Tsubo Kirs </t>
  </si>
  <si>
    <t>каштан</t>
  </si>
  <si>
    <t>http://www.6pm.com/perry-ellis-l-s-wide-skip-dent-majolica-blue</t>
  </si>
  <si>
    <t>SKU #7765007</t>
  </si>
  <si>
    <t xml:space="preserve">Perry Ellis L/S Wide Skip Dent </t>
  </si>
  <si>
    <t>Majolica Blue</t>
  </si>
  <si>
    <t>http://www.6pm.com/tailorbyrd-classic-button-down-plaid-shirt-blue</t>
  </si>
  <si>
    <t>SKU #7767645</t>
  </si>
  <si>
    <t xml:space="preserve">TailorByrd Classic Button Down Plaid Shirt </t>
  </si>
  <si>
    <t>Blue</t>
  </si>
  <si>
    <t xml:space="preserve">Radistka Cat  </t>
  </si>
  <si>
    <t>http://www.6pm.com/tsubo-vassi-rose-quartz-metallic-full-grain-leather</t>
  </si>
  <si>
    <t>http://www.6pm.com/born-stowaway-champagne-metallic</t>
  </si>
  <si>
    <t>SKU #7602475</t>
  </si>
  <si>
    <t>Born Stowaway</t>
  </si>
  <si>
    <t>Champagne Metallic</t>
  </si>
  <si>
    <t>6pm55</t>
  </si>
  <si>
    <t xml:space="preserve">Natalie_n </t>
  </si>
  <si>
    <t>http://www.6pm.com/reebok-easytone-go-outside-ii-black-pewter</t>
  </si>
  <si>
    <t>#7655951</t>
  </si>
  <si>
    <t>Reebok Easytone Go Outside II</t>
  </si>
  <si>
    <t>Black/Pewter</t>
  </si>
  <si>
    <t>Missha M Perfect Cover BB Cream 50ml(Natural Beige #23)</t>
  </si>
  <si>
    <t>shchepalina</t>
  </si>
  <si>
    <t>http://www.amazon.com/Kiddopotamus-Cradler-Adjustable-Newborns-Toddlers/dp/B0007CQ6XG/ref=pd_sim_ba_4</t>
  </si>
  <si>
    <t>Kiddopotamus Cradler Adjustable Head Support for Newborns to Toddlers</t>
  </si>
  <si>
    <t>Ivory Teddy Bears</t>
  </si>
  <si>
    <t>0 months-5 years</t>
  </si>
  <si>
    <t>http://cgi.ebay.com/Personality-Silicone-Baby-Dummy-Pacifier-Little-Brother-/230559621573?pt=Baby_Toys&amp;hash=item35ae6ca1c5</t>
  </si>
  <si>
    <t>Personality Silicone Baby Dummy Pacifier Little Brother</t>
  </si>
  <si>
    <t>http://cgi.ebay.com/Luvable-Friends-2-Pack-Love-Hooded-Towels-/270725715374?pt=LH_DefaultDomain_0&amp;var=&amp;hash=item84b7a7b207</t>
  </si>
  <si>
    <t>Luvable Friends 2-Pack I Love Hooded Towels</t>
  </si>
  <si>
    <t>Blue dad</t>
  </si>
  <si>
    <t>http://cgi.ebay.com/Cartoon-Baby-Children-Backpack-Rucksack-Schoolbag-Czh-/250744423317?pt=US_CSA_MWA_Backpacks&amp;var=&amp;hash=item800fc20fcf</t>
  </si>
  <si>
    <t>Cartoon Baby Children Backpack Rucksack Schoolbag Czh</t>
  </si>
  <si>
    <t>searcher22</t>
  </si>
  <si>
    <t>http://cgi.ebay.com/Missha-M-Perfect-Cover-BB-Cream-50ml-Natural-Beige-23-/320544367728?pt=US_Makeup_Face&amp;hash=item4aa1eee470</t>
  </si>
  <si>
    <t>Anney-M</t>
  </si>
  <si>
    <t>http://www.amazon.com/SwissGear-SA1109-Swiss-Accents-Backpack/dp/B002SXMRM6/ref=sr_1_9?ie=UTF8&amp;qid=1299012460&amp;sr=8-9</t>
  </si>
  <si>
    <t>SwissGear SA1109 Silver Gray with Swiss Red Accents Backpack</t>
  </si>
  <si>
    <t>Silver Gray</t>
  </si>
  <si>
    <t>http://www.amazon.com/gp/product/B004FNNT6K/ref=twister_dp_update?ie=UTF8&amp;psc=1</t>
  </si>
  <si>
    <t>Brinley Womens Short Rain Boots</t>
  </si>
  <si>
    <t>http://www.amazon.com/Fun-Factory-Heartbreaker-II-Black/dp/B000SBAZRO/ref=sr_1_442?s=hpc&amp;ie=UTF8&amp;qid=1301066638&amp;sr=1-442</t>
  </si>
  <si>
    <t>XFF02708</t>
  </si>
  <si>
    <t>Fun Factory, Heartbreaker II, Black</t>
  </si>
  <si>
    <t>http://www.amazon.com/gp/product/B001FZXEMA/ref=twister_dp_update?ie=UTF8&amp;psc=1</t>
  </si>
  <si>
    <t>Converse Women's Revival Ox Casual Shoe Black, Gray, Turquoise</t>
  </si>
  <si>
    <t>Black, Gray, Turquoise</t>
  </si>
  <si>
    <t xml:space="preserve">Red Eye Skulls One Size Canvas Military Web Belt With Silver Slider Buckle </t>
  </si>
  <si>
    <t xml:space="preserve">Disney Princes Girls Pink Winter Hat and Gloves Set 2x Disney Princes Girls Pink Winter Hat and Gloves Set </t>
  </si>
  <si>
    <t xml:space="preserve">Girl's Hello Kitty  Short XS </t>
  </si>
  <si>
    <t xml:space="preserve">Girls' Hello Kitty Glitter Tee XS(4-5) </t>
  </si>
  <si>
    <t>amazon20</t>
  </si>
  <si>
    <t>на посылку № 19</t>
  </si>
  <si>
    <t>gala72</t>
  </si>
  <si>
    <t>DiAnna</t>
  </si>
  <si>
    <t>agysha</t>
  </si>
  <si>
    <t xml:space="preserve">KoKosinka </t>
  </si>
  <si>
    <t>6pm56</t>
  </si>
  <si>
    <t>6pm57</t>
  </si>
  <si>
    <t>6pm58</t>
  </si>
  <si>
    <t>6pm59</t>
  </si>
  <si>
    <t>6pm60</t>
  </si>
  <si>
    <t>6pm61</t>
  </si>
  <si>
    <t>6pm62</t>
  </si>
  <si>
    <t xml:space="preserve">eiskhakov </t>
  </si>
  <si>
    <t>am-nn</t>
  </si>
  <si>
    <t>http://www.6pm.com/new-balance-kids-kx503wp-infant-toddler-white-pink</t>
  </si>
  <si>
    <t>SKU #7528629</t>
  </si>
  <si>
    <t xml:space="preserve">New Balance Kids KX503WP (Infant/Toddler) </t>
  </si>
  <si>
    <t xml:space="preserve">White/Pink </t>
  </si>
  <si>
    <t>8,5 W</t>
  </si>
  <si>
    <t>http://www.6pm.com/donald-j-pliner-peggy-black-15</t>
  </si>
  <si>
    <t>SKU #7501527</t>
  </si>
  <si>
    <t>Donald J Pliner Peggy</t>
  </si>
  <si>
    <t>black shine nappa</t>
  </si>
  <si>
    <t>http://www.6pm.com/fila-massaggio-m-black-white-chinese-red</t>
  </si>
  <si>
    <t>SKU #7735516</t>
  </si>
  <si>
    <t xml:space="preserve"> Massaggio M</t>
  </si>
  <si>
    <t>Black/White/Chinese Red</t>
  </si>
  <si>
    <t>http://www.6pm.com/vaneli-neala-red-smack-patent</t>
  </si>
  <si>
    <t>SKU #7807007</t>
  </si>
  <si>
    <t xml:space="preserve">Vaneli Neala </t>
  </si>
  <si>
    <t>red patent</t>
  </si>
  <si>
    <t>N(AA)   7,5</t>
  </si>
  <si>
    <t>http://www.6pm.com/calvin-klein-73735-black-black</t>
  </si>
  <si>
    <t>SKU #7731690</t>
  </si>
  <si>
    <t xml:space="preserve">Calvin Klein 73735 </t>
  </si>
  <si>
    <t>http://www.6pm.com/calvin-klein-jeans-5gg-air-force-full-zip-hoodie-black</t>
  </si>
  <si>
    <t>SKU #7701355</t>
  </si>
  <si>
    <t xml:space="preserve">Calvin Klein Jeans 5GG Air Force Full Zip Hoodie </t>
  </si>
  <si>
    <t>http://www.6pm.com/ecco-kids-arctic-toddler-youth-coffee-espresso</t>
  </si>
  <si>
    <t>Ecco Kids Arctic (Toddler/Youth)</t>
  </si>
  <si>
    <t>Coffee/Espresso</t>
  </si>
  <si>
    <t>http://www.6pm.com/ecco-kids-aerial-toddler-youth-navajo-brown-navajo-brown</t>
  </si>
  <si>
    <t>SKU #7608415</t>
  </si>
  <si>
    <t>Ecco Kids Aerial (Toddler/Youth) SKU #7608415</t>
  </si>
  <si>
    <t>http://www.6pm.com/ecco-kids-terra-vg-toddler-youth-licorice-warm-grey</t>
  </si>
  <si>
    <t>SKU #7666003</t>
  </si>
  <si>
    <t>Ecco Kids Terra VG (Toddler/Youth) SKU #7666003</t>
  </si>
  <si>
    <t>Licorice/Warm Grey</t>
  </si>
  <si>
    <t>перенесла из лэнсэнда</t>
  </si>
  <si>
    <t>http://www.6pm.com/calvin-klein-klarissa-blue-suede-patent</t>
  </si>
  <si>
    <t>SKU #7749248</t>
  </si>
  <si>
    <t>Klarissa</t>
  </si>
  <si>
    <t>Blue Suede/Patent</t>
  </si>
  <si>
    <t>http://www.6pm.com/naturino-sport-157-toddler-pink</t>
  </si>
  <si>
    <t>SKU #7668362</t>
  </si>
  <si>
    <t>Sport 157 (Toddler)</t>
  </si>
  <si>
    <t>Pink</t>
  </si>
  <si>
    <t>27(US 10 Todler)</t>
  </si>
  <si>
    <t>nimadava</t>
  </si>
  <si>
    <t>www.6pm.com/puma-sugie-suede-wns-choclolate-brown-tortoise-shell</t>
  </si>
  <si>
    <t>Sugie Suede Wn's</t>
  </si>
  <si>
    <t>коричневый</t>
  </si>
  <si>
    <t>размер 6.5</t>
  </si>
  <si>
    <t>http://www.6pm.com/case-logic-18-inch-urban-simplicity-duffel-black</t>
  </si>
  <si>
    <t>SKU #7777979</t>
  </si>
  <si>
    <t xml:space="preserve">Case Logic 18-inch Urban Simplicity Duffel </t>
  </si>
  <si>
    <t>http://www.6pm.com/calvin-klein-l-s-liquid-cotton-full-zip-mock-neck-fatigue</t>
  </si>
  <si>
    <t>SKU #7724598</t>
  </si>
  <si>
    <t xml:space="preserve">Calvin Klein L/S Liquid Cotton Full Zip Mock Neck </t>
  </si>
  <si>
    <t>http://www.6pm.com/calvin-klein-jeans-maritime-blue-low-rise-slim-body-dark-wash</t>
  </si>
  <si>
    <t>SKU #7701822</t>
  </si>
  <si>
    <t xml:space="preserve">Calvin Klein Jeans Maritime Blue Low Rise Slim Body </t>
  </si>
  <si>
    <t>34/32</t>
  </si>
  <si>
    <t>http://www.6pm.com/rip-curl-prairie-patchwork-dress-black</t>
  </si>
  <si>
    <t>SKU #7703551</t>
  </si>
  <si>
    <t>Rip Curl Prairie Patchwork Dress</t>
  </si>
  <si>
    <t>XS</t>
  </si>
  <si>
    <t>Spysy</t>
  </si>
  <si>
    <t>№20 (FC)</t>
  </si>
  <si>
    <t>http://www.amazon.com/Harry-Mason-Earcuff-Sterling-Silver/dp/B002WG2F2G/ref=sr_1_153?s=jewelry&amp;ie=UTF8&amp;qid=1301658891&amp;sr=1-153</t>
  </si>
  <si>
    <t>Earcuff 9LSS Sterling Silver</t>
  </si>
  <si>
    <t>http://www.amazon.com/Stainless-Steel-Snake-Chain-Necklace/dp/B001BFRVLO/ref=sr_1_64?s=jewelry&amp;ie=UTF8&amp;qid=1301979669&amp;sr=1-64</t>
  </si>
  <si>
    <t>2mm Stainless Steel Snake Chain Necklace 20 Inch</t>
  </si>
  <si>
    <t>Юлянечка</t>
  </si>
  <si>
    <t>http://www.amazon.com/Lauren-Ralph-Womens-Farima-Platform/dp/B003XQH5MY/ref=sr_1_121?s=shoes&amp;ie=UTF8&amp;qid=1302366563&amp;sr=1-121</t>
  </si>
  <si>
    <t>Lauren Ralph Lauren Women's Farima Platform Sandal</t>
  </si>
  <si>
    <t>http://www.amazon.com/BCBGeneration-Womens-Rouge-Sandal-Black/dp/B004CXEDRC/ref=sr_1_14?s=shoes&amp;ie=UTF8&amp;qid=1302361460&amp;sr=1-14</t>
  </si>
  <si>
    <t>BCBGeneration Women's Rouge Flat Sandal</t>
  </si>
  <si>
    <t>warm cream</t>
  </si>
  <si>
    <t>amazon21</t>
  </si>
  <si>
    <t>http://www.amazon.com/gp/product/B002LAQUX8/ref=twister_dp_update?ie=UTF8&amp;psc=1</t>
  </si>
  <si>
    <t>ecco Toddler/Little Kid Freeride Boot</t>
  </si>
  <si>
    <t>amazon22</t>
  </si>
  <si>
    <t>№21</t>
  </si>
  <si>
    <t>маечка</t>
  </si>
  <si>
    <t>http://trkcnfrm1.smi.usps.com/PTSInternetWeb/InterLabelInquiry.do?strOrigTrackNum=EE970004511US</t>
  </si>
  <si>
    <t>6pm55,59,60</t>
  </si>
  <si>
    <t>http://www.amazon.com/HARDY-Mens-Lowrise-Black-12-0/dp/B002FTYUPA/ref=sr_1_7?s=shoes&amp;ie=UTF8&amp;qid=1303375547&amp;sr=1-7</t>
  </si>
  <si>
    <t>Ed Hardy Men's Lowrise 100 Lowrise Sneaker</t>
  </si>
  <si>
    <t xml:space="preserve">Black
</t>
  </si>
  <si>
    <t xml:space="preserve">12 D(M) US </t>
  </si>
  <si>
    <t>amazon23</t>
  </si>
  <si>
    <t>http://www.6pm.com/product/7750828/color/3</t>
  </si>
  <si>
    <t>SKU #7750828</t>
  </si>
  <si>
    <t>SKECHERS Work Revv Air 3.0 SR</t>
  </si>
  <si>
    <t>6pm63</t>
  </si>
  <si>
    <t>Esenka</t>
  </si>
  <si>
    <t>http://www.6pm.com/gabriella-rocha-sallee-grey-suede</t>
  </si>
  <si>
    <t xml:space="preserve">Gabriella Rocha Sallee </t>
  </si>
  <si>
    <t>brown suede</t>
  </si>
  <si>
    <t>http://www.6pm.com/lounge-by-mark-nason-oxnard-grey</t>
  </si>
  <si>
    <t xml:space="preserve">Lounge by Mark Nason Oxnard </t>
  </si>
  <si>
    <t>jirabasik</t>
  </si>
  <si>
    <t>амазон</t>
  </si>
  <si>
    <t>семена 4шт</t>
  </si>
  <si>
    <t xml:space="preserve">MILAIA </t>
  </si>
  <si>
    <t>http://trkcnfrm1.smi.usps.com/PTSInternetWeb/InterLabelInquiry.do?strOrigTrackNum=EE970058545US</t>
  </si>
  <si>
    <t>amazon24</t>
  </si>
  <si>
    <t>amazon25</t>
  </si>
  <si>
    <t>http://www.amazon.com/LeapFrog-Leapster-Explorer-Camera-Recorder/dp/B0042MAKAW/ref=sr_1_1?ie=UTF8&amp;s=toys-and-games&amp;qid=1303679372&amp;sr=1-1</t>
  </si>
  <si>
    <t>LeapFrog Leapster Explorer Camera and Video Recorder</t>
  </si>
  <si>
    <t>http://www.amazon.com/LeapFrog-Leapster-Learning-Game-Case/dp/B001W32FHU/ref=sr_1_16?s=toys-and-games&amp;ie=UTF8&amp;qid=1303679312&amp;sr=1-16</t>
  </si>
  <si>
    <t>LeapFrog Leapster 2 Learning Game Case</t>
  </si>
  <si>
    <t>ideeli 20.04</t>
  </si>
  <si>
    <t>Едут в Россию</t>
  </si>
  <si>
    <t>http://www.6pm.com/trotters-marian-mocha-kid-suede-snake-suede</t>
  </si>
  <si>
    <t>SKU #7574198</t>
  </si>
  <si>
    <t>Trotters Marian</t>
  </si>
  <si>
    <t>Mocha Kid Suede/Snake Suede</t>
  </si>
  <si>
    <t>7/ W(D)</t>
  </si>
  <si>
    <t>http://www.6pm.com/vaneli-laticia-bronze-cipria</t>
  </si>
  <si>
    <t>SKU #7806787</t>
  </si>
  <si>
    <t>Vaneli Laticia</t>
  </si>
  <si>
    <t>Bronze Cipria</t>
  </si>
  <si>
    <t>7/D</t>
  </si>
  <si>
    <t>6pm64</t>
  </si>
  <si>
    <t>http://www.6pm.com/cushe-manuka-craft-lo-tan-leather</t>
  </si>
  <si>
    <t>Cushe Manuka Craft Lo</t>
  </si>
  <si>
    <t>Black Leather44</t>
  </si>
  <si>
    <t>44(us 11)</t>
  </si>
  <si>
    <t>401р на 6рм64</t>
  </si>
  <si>
    <t>nivyh</t>
  </si>
  <si>
    <t>6pm65</t>
  </si>
  <si>
    <t>№22</t>
  </si>
  <si>
    <t>6pm58,61</t>
  </si>
  <si>
    <t>6pm58,amazon22</t>
  </si>
  <si>
    <t xml:space="preserve">ideeli </t>
  </si>
  <si>
    <t>Элли17</t>
  </si>
  <si>
    <t>BelaDonna</t>
  </si>
  <si>
    <t xml:space="preserve">сёмамама  </t>
  </si>
  <si>
    <t>http://trkcnfrm1.smi.usps.com/PTSInternetWeb/InterLabelInquiry.do?strOrigTrackNum=EE970157089US</t>
  </si>
  <si>
    <t>sarcino</t>
  </si>
  <si>
    <t>6pm66</t>
  </si>
  <si>
    <t>6pm67</t>
  </si>
  <si>
    <t>6pm68</t>
  </si>
  <si>
    <t>6pm69</t>
  </si>
  <si>
    <t>№23</t>
  </si>
  <si>
    <t>http://trkcnfrm1.smi.usps.com/PTSInternetWeb/InterLabelInquiry.do?strOrigTrackNum=EE970210411US</t>
  </si>
  <si>
    <t>27р на ибей</t>
  </si>
  <si>
    <t>СветлаяЯ</t>
  </si>
  <si>
    <t>Картинка</t>
  </si>
  <si>
    <t xml:space="preserve">Вилия  </t>
  </si>
  <si>
    <t>24р на №22</t>
  </si>
  <si>
    <t>40р на №22</t>
  </si>
  <si>
    <t>43р на №23</t>
  </si>
  <si>
    <t>на 6рм73</t>
  </si>
  <si>
    <t>диаперс</t>
  </si>
  <si>
    <t>30р на левис</t>
  </si>
  <si>
    <t>T Y R A</t>
  </si>
  <si>
    <t>6pm70</t>
  </si>
  <si>
    <t>6pm71</t>
  </si>
  <si>
    <t>6pm72</t>
  </si>
  <si>
    <t>6pm73</t>
  </si>
  <si>
    <t>6pm74</t>
  </si>
  <si>
    <t>inngga</t>
  </si>
  <si>
    <t xml:space="preserve">lilen  </t>
  </si>
  <si>
    <t>6pm75</t>
  </si>
  <si>
    <t>6pm76</t>
  </si>
  <si>
    <t>6pm79</t>
  </si>
  <si>
    <t>6pm80</t>
  </si>
  <si>
    <t>amazon26</t>
  </si>
  <si>
    <t>amazon27</t>
  </si>
  <si>
    <t>кофты</t>
  </si>
  <si>
    <t>amazon29</t>
  </si>
  <si>
    <t xml:space="preserve">katrin13 </t>
  </si>
  <si>
    <t xml:space="preserve">velen </t>
  </si>
  <si>
    <t>бидз</t>
  </si>
  <si>
    <t>heavybrother</t>
  </si>
  <si>
    <t>Kudryash</t>
  </si>
  <si>
    <t>6рм80</t>
  </si>
  <si>
    <t>Miss18</t>
  </si>
  <si>
    <t>№24</t>
  </si>
  <si>
    <t>bobetta</t>
  </si>
  <si>
    <t>margarita3434</t>
  </si>
  <si>
    <t>Melinda</t>
  </si>
  <si>
    <t>maria62</t>
  </si>
  <si>
    <t>Екатеринка</t>
  </si>
  <si>
    <t>6pm68,71</t>
  </si>
  <si>
    <t>маджи</t>
  </si>
  <si>
    <t>diapers</t>
  </si>
  <si>
    <t>№25</t>
  </si>
  <si>
    <t>esenka</t>
  </si>
  <si>
    <t>malek</t>
  </si>
  <si>
    <t xml:space="preserve"> 52vesna</t>
  </si>
  <si>
    <t>Алиюша</t>
  </si>
  <si>
    <t>Младшая Сестра</t>
  </si>
  <si>
    <t>6рм77</t>
  </si>
  <si>
    <t>6рм78</t>
  </si>
  <si>
    <t>129р с орла</t>
  </si>
  <si>
    <t>http://trkcnfrm1.smi.usps.com/PTSInternetWeb/InterLabelInquiry.do?strOrigTrackNum=EE970354407US</t>
  </si>
  <si>
    <t>http://trkcnfrm1.smi.usps.com/PTSInternetWeb/InterLabelInquiry.do?strOrigTrackNum=EE970357054US</t>
  </si>
  <si>
    <t>amazon31</t>
  </si>
  <si>
    <t>6рм81</t>
  </si>
  <si>
    <t>№26</t>
  </si>
  <si>
    <t>http://trkcnfrm1.smi.usps.com/PTSInternetWeb/InterLabelInquiry.do?strOrigTrackNum=EE970445553US</t>
  </si>
  <si>
    <t>TURUNCU</t>
  </si>
  <si>
    <t>amazon28,30</t>
  </si>
  <si>
    <t>28р на №24</t>
  </si>
  <si>
    <t>21р на №25</t>
  </si>
  <si>
    <t>6pm82</t>
  </si>
  <si>
    <t>6pm83</t>
  </si>
  <si>
    <t>amazon32</t>
  </si>
  <si>
    <t>на 6рм83 319р</t>
  </si>
  <si>
    <t>305р на амазон32</t>
  </si>
  <si>
    <t>№27</t>
  </si>
  <si>
    <t>http://trkcnfrm1.smi.usps.com/PTSInternetWeb/InterLabelInquiry.do?strOrigTrackNum=EE970483667US</t>
  </si>
  <si>
    <t>Selena-</t>
  </si>
  <si>
    <t>Nastinamama</t>
  </si>
  <si>
    <t>стилистика</t>
  </si>
  <si>
    <t xml:space="preserve">Nataly_ </t>
  </si>
  <si>
    <t xml:space="preserve">sarcino  </t>
  </si>
  <si>
    <t>449р на № 27</t>
  </si>
  <si>
    <t>144р на №27</t>
  </si>
  <si>
    <t xml:space="preserve"> -149р на № 27</t>
  </si>
  <si>
    <t xml:space="preserve"> -149р с № 23</t>
  </si>
  <si>
    <t>151р на №27</t>
  </si>
  <si>
    <t>131р на № 27</t>
  </si>
  <si>
    <t>418р на № 27</t>
  </si>
  <si>
    <t>649р на № 27</t>
  </si>
  <si>
    <t>223р на амазон32</t>
  </si>
  <si>
    <t>6pm84</t>
  </si>
  <si>
    <t>amazon33</t>
  </si>
  <si>
    <t>6рм85</t>
  </si>
  <si>
    <t>amazon35</t>
  </si>
  <si>
    <t>@Svet@</t>
  </si>
  <si>
    <t>картерс</t>
  </si>
  <si>
    <t>№28</t>
  </si>
  <si>
    <t>amazon36</t>
  </si>
  <si>
    <t>Фан-Фан</t>
  </si>
  <si>
    <t>34р на №28</t>
  </si>
  <si>
    <t>623р с орла</t>
  </si>
  <si>
    <t>орел и духи</t>
  </si>
  <si>
    <t>6рм87</t>
  </si>
  <si>
    <t>jcrew</t>
  </si>
  <si>
    <t>6рм88</t>
  </si>
  <si>
    <t>Sgelena</t>
  </si>
  <si>
    <t>6рм90</t>
  </si>
  <si>
    <t>valema</t>
  </si>
  <si>
    <t>juls7</t>
  </si>
  <si>
    <t>invysotskaya</t>
  </si>
  <si>
    <t>atlantica</t>
  </si>
  <si>
    <t>6рм91</t>
  </si>
  <si>
    <t>6рм93</t>
  </si>
  <si>
    <t>CIRCUIT</t>
  </si>
  <si>
    <t>yallo2</t>
  </si>
  <si>
    <t>amazon37</t>
  </si>
  <si>
    <t>6рм94</t>
  </si>
  <si>
    <t>http://trkcnfrm1.smi.usps.com/PTSInternetWeb/InterLabelInquiry.do?strOrigTrackNum=EE970575010US</t>
  </si>
  <si>
    <t>№29</t>
  </si>
  <si>
    <t>sweetss</t>
  </si>
  <si>
    <t>amazon38</t>
  </si>
  <si>
    <t>lionsya</t>
  </si>
  <si>
    <t>юли 112</t>
  </si>
  <si>
    <t>Алёна-Лена</t>
  </si>
  <si>
    <t>6рм86,89</t>
  </si>
  <si>
    <t>№30</t>
  </si>
  <si>
    <t>Acasha</t>
  </si>
  <si>
    <t>Сестра Старшая</t>
  </si>
  <si>
    <t>amazon34,36</t>
  </si>
  <si>
    <t>6рм91,92</t>
  </si>
  <si>
    <t>http://trkcnfrm1.smi.usps.com/PTSInternetWeb/InterLabelInquiry.do?strOrigTrackNum=EE970650665US</t>
  </si>
  <si>
    <t>http://trkcnfrm1.smi.usps.com/PTSInternetWeb/InterLabelInquiry.do?strOrigTrackNum=EE970679933US</t>
  </si>
  <si>
    <t>+</t>
  </si>
  <si>
    <t>22р на № 28</t>
  </si>
  <si>
    <t>295 и 177</t>
  </si>
  <si>
    <t>6рм95</t>
  </si>
  <si>
    <t>6рм96</t>
  </si>
  <si>
    <t>nata1975_75</t>
  </si>
  <si>
    <t>miss18</t>
  </si>
  <si>
    <t>amazon40</t>
  </si>
  <si>
    <t>Хайди</t>
  </si>
  <si>
    <t>6рм98</t>
  </si>
  <si>
    <t>Lenik83</t>
  </si>
  <si>
    <t xml:space="preserve">yallo2 </t>
  </si>
  <si>
    <t>ЁжиквНН</t>
  </si>
  <si>
    <t>на №29 239р</t>
  </si>
  <si>
    <t>mam55560</t>
  </si>
  <si>
    <t>6рм100</t>
  </si>
  <si>
    <t>№31</t>
  </si>
  <si>
    <t>№32</t>
  </si>
  <si>
    <t>http://trkcnfrm1.smi.usps.com/PTSInternetWeb/InterLabelInquiry.do?strOrigTrackNum=EE970784070US</t>
  </si>
  <si>
    <t>oganes.arutunov</t>
  </si>
  <si>
    <t>к Алене-Лене</t>
  </si>
  <si>
    <t>http://trkcnfrm1.smi.usps.com/PTSInternetWeb/InterLabelInquiry.do?strOrigTrackNum=EE970834880US</t>
  </si>
  <si>
    <t>204р на № 32</t>
  </si>
  <si>
    <t>на ибей 313р</t>
  </si>
  <si>
    <t>6рм96, amazon39</t>
  </si>
  <si>
    <t>6рм97, ebay</t>
  </si>
  <si>
    <t>215р на № 32</t>
  </si>
  <si>
    <t>127р на №32</t>
  </si>
  <si>
    <t>52р на №32</t>
  </si>
  <si>
    <t>№33</t>
  </si>
  <si>
    <t>npo100tak</t>
  </si>
  <si>
    <t>6рм99,01 amaz41,43</t>
  </si>
  <si>
    <t>Светланочка</t>
  </si>
  <si>
    <t>amazon42,44</t>
  </si>
  <si>
    <t>http://trkcnfrm1.smi.usps.com/PTSInternetWeb/InterLabelInquiry.do?strOrigTrackNum=EE970891737US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</si>
</sst>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0"/>
      <color indexed="40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 Black"/>
      <family val="2"/>
    </font>
    <font>
      <b/>
      <sz val="14"/>
      <color indexed="10"/>
      <name val="Arial Black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23"/>
      <name val="Arial Black"/>
      <family val="2"/>
    </font>
    <font>
      <sz val="11"/>
      <color indexed="22"/>
      <name val="Calibri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u val="single"/>
      <sz val="10"/>
      <color indexed="22"/>
      <name val="Arial"/>
      <family val="2"/>
    </font>
    <font>
      <i/>
      <sz val="8"/>
      <color indexed="22"/>
      <name val="Arial"/>
      <family val="2"/>
    </font>
    <font>
      <b/>
      <i/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B0F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sz val="9"/>
      <color theme="1"/>
      <name val="Arial"/>
      <family val="2"/>
    </font>
    <font>
      <sz val="11"/>
      <color theme="0" tint="-0.1499900072813034"/>
      <name val="Calibri"/>
      <family val="2"/>
    </font>
    <font>
      <sz val="10"/>
      <color theme="0" tint="-0.1499900072813034"/>
      <name val="Arial"/>
      <family val="2"/>
    </font>
    <font>
      <u val="single"/>
      <sz val="10"/>
      <color theme="0" tint="-0.1499900072813034"/>
      <name val="Arial"/>
      <family val="2"/>
    </font>
    <font>
      <i/>
      <sz val="8"/>
      <color theme="0" tint="-0.1499900072813034"/>
      <name val="Arial"/>
      <family val="2"/>
    </font>
    <font>
      <b/>
      <sz val="10"/>
      <color theme="0" tint="-0.1499900072813034"/>
      <name val="Arial"/>
      <family val="2"/>
    </font>
    <font>
      <i/>
      <sz val="10"/>
      <color theme="0" tint="-0.1499900072813034"/>
      <name val="Arial"/>
      <family val="2"/>
    </font>
    <font>
      <b/>
      <i/>
      <sz val="10"/>
      <color theme="0" tint="-0.1499900072813034"/>
      <name val="Arial"/>
      <family val="2"/>
    </font>
    <font>
      <b/>
      <sz val="14"/>
      <color theme="0" tint="-0.4999699890613556"/>
      <name val="Arial Black"/>
      <family val="2"/>
    </font>
    <font>
      <b/>
      <sz val="14"/>
      <color rgb="FFFF0000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ABFF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DBD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/>
      <bottom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3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Alignment="1">
      <alignment/>
    </xf>
    <xf numFmtId="0" fontId="64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/>
    </xf>
    <xf numFmtId="2" fontId="64" fillId="0" borderId="1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2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5" fillId="0" borderId="0" xfId="0" applyFont="1" applyFill="1" applyAlignment="1">
      <alignment horizontal="right"/>
    </xf>
    <xf numFmtId="14" fontId="67" fillId="0" borderId="0" xfId="0" applyNumberFormat="1" applyFont="1" applyAlignment="1">
      <alignment/>
    </xf>
    <xf numFmtId="0" fontId="15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10" xfId="0" applyFont="1" applyFill="1" applyBorder="1" applyAlignment="1">
      <alignment horizontal="right"/>
    </xf>
    <xf numFmtId="2" fontId="2" fillId="0" borderId="10" xfId="42" applyNumberFormat="1" applyFont="1" applyFill="1" applyBorder="1" applyAlignment="1" applyProtection="1">
      <alignment horizontal="left" wrapText="1"/>
      <protection/>
    </xf>
    <xf numFmtId="2" fontId="63" fillId="0" borderId="0" xfId="0" applyNumberFormat="1" applyFont="1" applyAlignment="1">
      <alignment/>
    </xf>
    <xf numFmtId="0" fontId="17" fillId="0" borderId="0" xfId="0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2" fontId="7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2" fontId="1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6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" fontId="2" fillId="34" borderId="10" xfId="42" applyNumberFormat="1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>
      <alignment horizontal="right"/>
    </xf>
    <xf numFmtId="0" fontId="64" fillId="34" borderId="10" xfId="0" applyFont="1" applyFill="1" applyBorder="1" applyAlignment="1">
      <alignment horizontal="left"/>
    </xf>
    <xf numFmtId="0" fontId="64" fillId="34" borderId="10" xfId="0" applyFont="1" applyFill="1" applyBorder="1" applyAlignment="1">
      <alignment horizontal="right"/>
    </xf>
    <xf numFmtId="0" fontId="64" fillId="34" borderId="10" xfId="0" applyFont="1" applyFill="1" applyBorder="1" applyAlignment="1">
      <alignment/>
    </xf>
    <xf numFmtId="2" fontId="64" fillId="34" borderId="10" xfId="0" applyNumberFormat="1" applyFont="1" applyFill="1" applyBorder="1" applyAlignment="1">
      <alignment/>
    </xf>
    <xf numFmtId="2" fontId="2" fillId="34" borderId="10" xfId="42" applyNumberFormat="1" applyFill="1" applyBorder="1" applyAlignment="1" applyProtection="1">
      <alignment horizontal="left" wrapText="1"/>
      <protection/>
    </xf>
    <xf numFmtId="2" fontId="0" fillId="0" borderId="11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6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2" fontId="2" fillId="35" borderId="10" xfId="42" applyNumberFormat="1" applyFont="1" applyFill="1" applyBorder="1" applyAlignment="1" applyProtection="1">
      <alignment horizontal="left" wrapText="1"/>
      <protection/>
    </xf>
    <xf numFmtId="0" fontId="6" fillId="35" borderId="10" xfId="0" applyFont="1" applyFill="1" applyBorder="1" applyAlignment="1">
      <alignment horizontal="right"/>
    </xf>
    <xf numFmtId="0" fontId="64" fillId="35" borderId="10" xfId="0" applyFont="1" applyFill="1" applyBorder="1" applyAlignment="1">
      <alignment horizontal="left"/>
    </xf>
    <xf numFmtId="0" fontId="64" fillId="35" borderId="10" xfId="0" applyFont="1" applyFill="1" applyBorder="1" applyAlignment="1">
      <alignment horizontal="right"/>
    </xf>
    <xf numFmtId="0" fontId="64" fillId="35" borderId="10" xfId="0" applyFont="1" applyFill="1" applyBorder="1" applyAlignment="1">
      <alignment/>
    </xf>
    <xf numFmtId="2" fontId="64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2" fontId="2" fillId="35" borderId="10" xfId="42" applyNumberFormat="1" applyFill="1" applyBorder="1" applyAlignment="1" applyProtection="1">
      <alignment horizontal="left" wrapText="1"/>
      <protection/>
    </xf>
    <xf numFmtId="0" fontId="62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2" fontId="4" fillId="9" borderId="10" xfId="0" applyNumberFormat="1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2" fontId="2" fillId="9" borderId="10" xfId="42" applyNumberFormat="1" applyFont="1" applyFill="1" applyBorder="1" applyAlignment="1" applyProtection="1">
      <alignment horizontal="left" wrapText="1"/>
      <protection/>
    </xf>
    <xf numFmtId="0" fontId="6" fillId="9" borderId="10" xfId="0" applyFont="1" applyFill="1" applyBorder="1" applyAlignment="1">
      <alignment horizontal="right"/>
    </xf>
    <xf numFmtId="0" fontId="64" fillId="9" borderId="10" xfId="0" applyFont="1" applyFill="1" applyBorder="1" applyAlignment="1">
      <alignment horizontal="left"/>
    </xf>
    <xf numFmtId="0" fontId="64" fillId="9" borderId="10" xfId="0" applyFont="1" applyFill="1" applyBorder="1" applyAlignment="1">
      <alignment horizontal="right"/>
    </xf>
    <xf numFmtId="0" fontId="64" fillId="9" borderId="10" xfId="0" applyFont="1" applyFill="1" applyBorder="1" applyAlignment="1">
      <alignment/>
    </xf>
    <xf numFmtId="2" fontId="64" fillId="9" borderId="10" xfId="0" applyNumberFormat="1" applyFont="1" applyFill="1" applyBorder="1" applyAlignment="1">
      <alignment/>
    </xf>
    <xf numFmtId="2" fontId="2" fillId="9" borderId="10" xfId="42" applyNumberFormat="1" applyFill="1" applyBorder="1" applyAlignment="1" applyProtection="1">
      <alignment horizontal="left" wrapText="1"/>
      <protection/>
    </xf>
    <xf numFmtId="0" fontId="15" fillId="9" borderId="10" xfId="0" applyFont="1" applyFill="1" applyBorder="1" applyAlignment="1">
      <alignment horizontal="left"/>
    </xf>
    <xf numFmtId="0" fontId="16" fillId="35" borderId="10" xfId="0" applyFont="1" applyFill="1" applyBorder="1" applyAlignment="1">
      <alignment horizontal="center" vertical="center"/>
    </xf>
    <xf numFmtId="0" fontId="2" fillId="35" borderId="10" xfId="42" applyFill="1" applyBorder="1" applyAlignment="1">
      <alignment horizontal="right" vertical="center"/>
    </xf>
    <xf numFmtId="0" fontId="2" fillId="0" borderId="0" xfId="42" applyAlignment="1">
      <alignment/>
    </xf>
    <xf numFmtId="0" fontId="16" fillId="36" borderId="10" xfId="0" applyFont="1" applyFill="1" applyBorder="1" applyAlignment="1">
      <alignment horizontal="center" vertical="center"/>
    </xf>
    <xf numFmtId="0" fontId="2" fillId="36" borderId="10" xfId="42" applyFill="1" applyBorder="1" applyAlignment="1">
      <alignment horizontal="right" vertical="center"/>
    </xf>
    <xf numFmtId="0" fontId="6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2" fontId="2" fillId="36" borderId="10" xfId="42" applyNumberFormat="1" applyFont="1" applyFill="1" applyBorder="1" applyAlignment="1" applyProtection="1">
      <alignment horizontal="left" wrapText="1"/>
      <protection/>
    </xf>
    <xf numFmtId="0" fontId="6" fillId="36" borderId="10" xfId="0" applyFont="1" applyFill="1" applyBorder="1" applyAlignment="1">
      <alignment horizontal="right"/>
    </xf>
    <xf numFmtId="0" fontId="64" fillId="36" borderId="10" xfId="0" applyFont="1" applyFill="1" applyBorder="1" applyAlignment="1">
      <alignment horizontal="left"/>
    </xf>
    <xf numFmtId="0" fontId="64" fillId="36" borderId="10" xfId="0" applyFont="1" applyFill="1" applyBorder="1" applyAlignment="1">
      <alignment horizontal="right"/>
    </xf>
    <xf numFmtId="0" fontId="64" fillId="36" borderId="10" xfId="0" applyFont="1" applyFill="1" applyBorder="1" applyAlignment="1">
      <alignment/>
    </xf>
    <xf numFmtId="2" fontId="64" fillId="36" borderId="10" xfId="0" applyNumberFormat="1" applyFont="1" applyFill="1" applyBorder="1" applyAlignment="1">
      <alignment/>
    </xf>
    <xf numFmtId="2" fontId="2" fillId="36" borderId="10" xfId="42" applyNumberFormat="1" applyFill="1" applyBorder="1" applyAlignment="1" applyProtection="1">
      <alignment horizontal="left" wrapText="1"/>
      <protection/>
    </xf>
    <xf numFmtId="0" fontId="16" fillId="37" borderId="10" xfId="0" applyFont="1" applyFill="1" applyBorder="1" applyAlignment="1">
      <alignment horizontal="center" vertical="center"/>
    </xf>
    <xf numFmtId="0" fontId="2" fillId="37" borderId="10" xfId="42" applyFill="1" applyBorder="1" applyAlignment="1">
      <alignment horizontal="right" vertical="center"/>
    </xf>
    <xf numFmtId="0" fontId="62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2" fontId="2" fillId="37" borderId="10" xfId="42" applyNumberFormat="1" applyFont="1" applyFill="1" applyBorder="1" applyAlignment="1" applyProtection="1">
      <alignment horizontal="left" wrapText="1"/>
      <protection/>
    </xf>
    <xf numFmtId="0" fontId="6" fillId="37" borderId="10" xfId="0" applyFont="1" applyFill="1" applyBorder="1" applyAlignment="1">
      <alignment horizontal="right"/>
    </xf>
    <xf numFmtId="0" fontId="64" fillId="37" borderId="10" xfId="0" applyFont="1" applyFill="1" applyBorder="1" applyAlignment="1">
      <alignment horizontal="left"/>
    </xf>
    <xf numFmtId="0" fontId="64" fillId="37" borderId="10" xfId="0" applyFont="1" applyFill="1" applyBorder="1" applyAlignment="1">
      <alignment horizontal="right"/>
    </xf>
    <xf numFmtId="0" fontId="64" fillId="37" borderId="10" xfId="0" applyFont="1" applyFill="1" applyBorder="1" applyAlignment="1">
      <alignment/>
    </xf>
    <xf numFmtId="2" fontId="64" fillId="37" borderId="10" xfId="0" applyNumberFormat="1" applyFont="1" applyFill="1" applyBorder="1" applyAlignment="1">
      <alignment/>
    </xf>
    <xf numFmtId="2" fontId="2" fillId="37" borderId="10" xfId="42" applyNumberFormat="1" applyFill="1" applyBorder="1" applyAlignment="1" applyProtection="1">
      <alignment horizontal="left" wrapText="1"/>
      <protection/>
    </xf>
    <xf numFmtId="0" fontId="16" fillId="34" borderId="10" xfId="0" applyFont="1" applyFill="1" applyBorder="1" applyAlignment="1">
      <alignment horizontal="center" vertical="center"/>
    </xf>
    <xf numFmtId="0" fontId="2" fillId="34" borderId="10" xfId="42" applyFill="1" applyBorder="1" applyAlignment="1">
      <alignment horizontal="right" vertical="center"/>
    </xf>
    <xf numFmtId="0" fontId="16" fillId="5" borderId="10" xfId="0" applyFont="1" applyFill="1" applyBorder="1" applyAlignment="1">
      <alignment horizontal="center" vertical="center"/>
    </xf>
    <xf numFmtId="0" fontId="2" fillId="5" borderId="10" xfId="42" applyFill="1" applyBorder="1" applyAlignment="1">
      <alignment horizontal="right" vertical="center"/>
    </xf>
    <xf numFmtId="0" fontId="16" fillId="38" borderId="10" xfId="0" applyFont="1" applyFill="1" applyBorder="1" applyAlignment="1">
      <alignment horizontal="center" vertical="center"/>
    </xf>
    <xf numFmtId="0" fontId="2" fillId="38" borderId="10" xfId="42" applyFill="1" applyBorder="1" applyAlignment="1">
      <alignment horizontal="right" vertical="center"/>
    </xf>
    <xf numFmtId="0" fontId="16" fillId="39" borderId="10" xfId="0" applyFont="1" applyFill="1" applyBorder="1" applyAlignment="1">
      <alignment horizontal="center" vertical="center"/>
    </xf>
    <xf numFmtId="0" fontId="2" fillId="39" borderId="10" xfId="42" applyFill="1" applyBorder="1" applyAlignment="1">
      <alignment horizontal="right" vertical="center"/>
    </xf>
    <xf numFmtId="0" fontId="16" fillId="8" borderId="10" xfId="0" applyFont="1" applyFill="1" applyBorder="1" applyAlignment="1">
      <alignment horizontal="center" vertical="center"/>
    </xf>
    <xf numFmtId="0" fontId="2" fillId="8" borderId="10" xfId="42" applyFill="1" applyBorder="1" applyAlignment="1">
      <alignment horizontal="right" vertical="center"/>
    </xf>
    <xf numFmtId="0" fontId="16" fillId="40" borderId="10" xfId="0" applyFont="1" applyFill="1" applyBorder="1" applyAlignment="1">
      <alignment horizontal="center" vertical="center"/>
    </xf>
    <xf numFmtId="0" fontId="2" fillId="40" borderId="10" xfId="42" applyFill="1" applyBorder="1" applyAlignment="1">
      <alignment horizontal="right" vertical="center"/>
    </xf>
    <xf numFmtId="0" fontId="68" fillId="0" borderId="0" xfId="0" applyFont="1" applyFill="1" applyAlignment="1">
      <alignment/>
    </xf>
    <xf numFmtId="0" fontId="69" fillId="35" borderId="10" xfId="0" applyFont="1" applyFill="1" applyBorder="1" applyAlignment="1">
      <alignment horizontal="center" vertical="center"/>
    </xf>
    <xf numFmtId="0" fontId="70" fillId="35" borderId="10" xfId="42" applyFont="1" applyFill="1" applyBorder="1" applyAlignment="1">
      <alignment horizontal="right" vertical="center"/>
    </xf>
    <xf numFmtId="0" fontId="69" fillId="0" borderId="0" xfId="0" applyFont="1" applyAlignment="1">
      <alignment/>
    </xf>
    <xf numFmtId="2" fontId="69" fillId="0" borderId="0" xfId="0" applyNumberFormat="1" applyFont="1" applyAlignment="1">
      <alignment/>
    </xf>
    <xf numFmtId="0" fontId="70" fillId="0" borderId="0" xfId="42" applyFont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49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2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4" fontId="68" fillId="0" borderId="1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164" fontId="72" fillId="0" borderId="10" xfId="0" applyNumberFormat="1" applyFont="1" applyBorder="1" applyAlignment="1">
      <alignment/>
    </xf>
    <xf numFmtId="2" fontId="68" fillId="0" borderId="0" xfId="0" applyNumberFormat="1" applyFont="1" applyFill="1" applyAlignment="1">
      <alignment/>
    </xf>
    <xf numFmtId="164" fontId="69" fillId="0" borderId="0" xfId="0" applyNumberFormat="1" applyFont="1" applyAlignment="1">
      <alignment/>
    </xf>
    <xf numFmtId="0" fontId="69" fillId="0" borderId="10" xfId="0" applyFont="1" applyBorder="1" applyAlignment="1">
      <alignment/>
    </xf>
    <xf numFmtId="49" fontId="68" fillId="0" borderId="10" xfId="0" applyNumberFormat="1" applyFont="1" applyBorder="1" applyAlignment="1">
      <alignment horizontal="left"/>
    </xf>
    <xf numFmtId="2" fontId="73" fillId="33" borderId="10" xfId="0" applyNumberFormat="1" applyFont="1" applyFill="1" applyBorder="1" applyAlignment="1">
      <alignment/>
    </xf>
    <xf numFmtId="2" fontId="74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164" fontId="68" fillId="0" borderId="10" xfId="0" applyNumberFormat="1" applyFont="1" applyBorder="1" applyAlignment="1">
      <alignment/>
    </xf>
    <xf numFmtId="4" fontId="68" fillId="0" borderId="0" xfId="0" applyNumberFormat="1" applyFont="1" applyAlignment="1">
      <alignment/>
    </xf>
    <xf numFmtId="2" fontId="68" fillId="0" borderId="11" xfId="0" applyNumberFormat="1" applyFont="1" applyFill="1" applyBorder="1" applyAlignment="1">
      <alignment/>
    </xf>
    <xf numFmtId="0" fontId="69" fillId="9" borderId="10" xfId="0" applyFont="1" applyFill="1" applyBorder="1" applyAlignment="1">
      <alignment horizontal="center" vertical="center"/>
    </xf>
    <xf numFmtId="0" fontId="70" fillId="9" borderId="10" xfId="42" applyFont="1" applyFill="1" applyBorder="1" applyAlignment="1">
      <alignment horizontal="right" vertical="center"/>
    </xf>
    <xf numFmtId="2" fontId="68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6" fillId="41" borderId="10" xfId="0" applyFont="1" applyFill="1" applyBorder="1" applyAlignment="1">
      <alignment horizontal="center" vertical="center"/>
    </xf>
    <xf numFmtId="0" fontId="2" fillId="41" borderId="10" xfId="42" applyFill="1" applyBorder="1" applyAlignment="1">
      <alignment horizontal="right" vertical="center"/>
    </xf>
    <xf numFmtId="0" fontId="19" fillId="42" borderId="0" xfId="0" applyFont="1" applyFill="1" applyBorder="1" applyAlignment="1">
      <alignment horizontal="center" vertical="center"/>
    </xf>
    <xf numFmtId="1" fontId="12" fillId="8" borderId="12" xfId="0" applyNumberFormat="1" applyFont="1" applyFill="1" applyBorder="1" applyAlignment="1">
      <alignment horizontal="left" vertical="center" indent="5"/>
    </xf>
    <xf numFmtId="1" fontId="12" fillId="8" borderId="13" xfId="0" applyNumberFormat="1" applyFont="1" applyFill="1" applyBorder="1" applyAlignment="1">
      <alignment horizontal="left" vertical="center" indent="5"/>
    </xf>
    <xf numFmtId="1" fontId="12" fillId="8" borderId="14" xfId="0" applyNumberFormat="1" applyFont="1" applyFill="1" applyBorder="1" applyAlignment="1">
      <alignment horizontal="left" vertical="center" indent="5"/>
    </xf>
    <xf numFmtId="1" fontId="12" fillId="40" borderId="12" xfId="0" applyNumberFormat="1" applyFont="1" applyFill="1" applyBorder="1" applyAlignment="1">
      <alignment horizontal="left" vertical="center" indent="5"/>
    </xf>
    <xf numFmtId="1" fontId="12" fillId="40" borderId="13" xfId="0" applyNumberFormat="1" applyFont="1" applyFill="1" applyBorder="1" applyAlignment="1">
      <alignment horizontal="left" vertical="center" indent="5"/>
    </xf>
    <xf numFmtId="1" fontId="12" fillId="40" borderId="14" xfId="0" applyNumberFormat="1" applyFont="1" applyFill="1" applyBorder="1" applyAlignment="1">
      <alignment horizontal="left" vertical="center" indent="5"/>
    </xf>
    <xf numFmtId="0" fontId="75" fillId="43" borderId="0" xfId="0" applyFont="1" applyFill="1" applyBorder="1" applyAlignment="1">
      <alignment horizontal="center"/>
    </xf>
    <xf numFmtId="0" fontId="19" fillId="44" borderId="0" xfId="0" applyFont="1" applyFill="1" applyBorder="1" applyAlignment="1">
      <alignment horizontal="center" vertical="center"/>
    </xf>
    <xf numFmtId="0" fontId="76" fillId="45" borderId="0" xfId="0" applyFont="1" applyFill="1" applyBorder="1" applyAlignment="1">
      <alignment horizontal="center"/>
    </xf>
    <xf numFmtId="1" fontId="12" fillId="41" borderId="12" xfId="0" applyNumberFormat="1" applyFont="1" applyFill="1" applyBorder="1" applyAlignment="1">
      <alignment horizontal="left" vertical="center" indent="5"/>
    </xf>
    <xf numFmtId="1" fontId="12" fillId="41" borderId="13" xfId="0" applyNumberFormat="1" applyFont="1" applyFill="1" applyBorder="1" applyAlignment="1">
      <alignment horizontal="left" vertical="center" indent="5"/>
    </xf>
    <xf numFmtId="1" fontId="12" fillId="41" borderId="14" xfId="0" applyNumberFormat="1" applyFont="1" applyFill="1" applyBorder="1" applyAlignment="1">
      <alignment horizontal="left" vertical="center" indent="5"/>
    </xf>
    <xf numFmtId="1" fontId="12" fillId="38" borderId="12" xfId="0" applyNumberFormat="1" applyFont="1" applyFill="1" applyBorder="1" applyAlignment="1">
      <alignment horizontal="left" vertical="center" indent="5"/>
    </xf>
    <xf numFmtId="1" fontId="12" fillId="38" borderId="13" xfId="0" applyNumberFormat="1" applyFont="1" applyFill="1" applyBorder="1" applyAlignment="1">
      <alignment horizontal="left" vertical="center" indent="5"/>
    </xf>
    <xf numFmtId="1" fontId="12" fillId="38" borderId="14" xfId="0" applyNumberFormat="1" applyFont="1" applyFill="1" applyBorder="1" applyAlignment="1">
      <alignment horizontal="left" vertical="center" indent="5"/>
    </xf>
    <xf numFmtId="1" fontId="12" fillId="5" borderId="12" xfId="0" applyNumberFormat="1" applyFont="1" applyFill="1" applyBorder="1" applyAlignment="1">
      <alignment horizontal="left" vertical="center" indent="5"/>
    </xf>
    <xf numFmtId="1" fontId="12" fillId="5" borderId="13" xfId="0" applyNumberFormat="1" applyFont="1" applyFill="1" applyBorder="1" applyAlignment="1">
      <alignment horizontal="left" vertical="center" indent="5"/>
    </xf>
    <xf numFmtId="1" fontId="12" fillId="5" borderId="14" xfId="0" applyNumberFormat="1" applyFont="1" applyFill="1" applyBorder="1" applyAlignment="1">
      <alignment horizontal="left" vertical="center" indent="5"/>
    </xf>
    <xf numFmtId="1" fontId="12" fillId="39" borderId="12" xfId="0" applyNumberFormat="1" applyFont="1" applyFill="1" applyBorder="1" applyAlignment="1">
      <alignment horizontal="left" vertical="center" indent="5"/>
    </xf>
    <xf numFmtId="1" fontId="12" fillId="39" borderId="13" xfId="0" applyNumberFormat="1" applyFont="1" applyFill="1" applyBorder="1" applyAlignment="1">
      <alignment horizontal="left" vertical="center" indent="5"/>
    </xf>
    <xf numFmtId="1" fontId="12" fillId="39" borderId="14" xfId="0" applyNumberFormat="1" applyFont="1" applyFill="1" applyBorder="1" applyAlignment="1">
      <alignment horizontal="left" vertical="center" indent="5"/>
    </xf>
    <xf numFmtId="1" fontId="12" fillId="35" borderId="12" xfId="0" applyNumberFormat="1" applyFont="1" applyFill="1" applyBorder="1" applyAlignment="1">
      <alignment horizontal="left" vertical="center" indent="5"/>
    </xf>
    <xf numFmtId="1" fontId="12" fillId="35" borderId="13" xfId="0" applyNumberFormat="1" applyFont="1" applyFill="1" applyBorder="1" applyAlignment="1">
      <alignment horizontal="left" vertical="center" indent="5"/>
    </xf>
    <xf numFmtId="1" fontId="12" fillId="35" borderId="14" xfId="0" applyNumberFormat="1" applyFont="1" applyFill="1" applyBorder="1" applyAlignment="1">
      <alignment horizontal="left" vertical="center" indent="5"/>
    </xf>
    <xf numFmtId="1" fontId="12" fillId="34" borderId="12" xfId="0" applyNumberFormat="1" applyFont="1" applyFill="1" applyBorder="1" applyAlignment="1">
      <alignment horizontal="left" vertical="center" indent="5"/>
    </xf>
    <xf numFmtId="1" fontId="12" fillId="34" borderId="13" xfId="0" applyNumberFormat="1" applyFont="1" applyFill="1" applyBorder="1" applyAlignment="1">
      <alignment horizontal="left" vertical="center" indent="5"/>
    </xf>
    <xf numFmtId="1" fontId="12" fillId="34" borderId="14" xfId="0" applyNumberFormat="1" applyFont="1" applyFill="1" applyBorder="1" applyAlignment="1">
      <alignment horizontal="left" vertical="center" indent="5"/>
    </xf>
    <xf numFmtId="1" fontId="72" fillId="9" borderId="12" xfId="0" applyNumberFormat="1" applyFont="1" applyFill="1" applyBorder="1" applyAlignment="1">
      <alignment horizontal="left" vertical="center" indent="5"/>
    </xf>
    <xf numFmtId="1" fontId="72" fillId="9" borderId="13" xfId="0" applyNumberFormat="1" applyFont="1" applyFill="1" applyBorder="1" applyAlignment="1">
      <alignment horizontal="left" vertical="center" indent="5"/>
    </xf>
    <xf numFmtId="1" fontId="72" fillId="9" borderId="14" xfId="0" applyNumberFormat="1" applyFont="1" applyFill="1" applyBorder="1" applyAlignment="1">
      <alignment horizontal="left" vertical="center" indent="5"/>
    </xf>
    <xf numFmtId="1" fontId="12" fillId="37" borderId="12" xfId="0" applyNumberFormat="1" applyFont="1" applyFill="1" applyBorder="1" applyAlignment="1">
      <alignment horizontal="left" vertical="center" indent="5"/>
    </xf>
    <xf numFmtId="1" fontId="12" fillId="37" borderId="13" xfId="0" applyNumberFormat="1" applyFont="1" applyFill="1" applyBorder="1" applyAlignment="1">
      <alignment horizontal="left" vertical="center" indent="5"/>
    </xf>
    <xf numFmtId="1" fontId="12" fillId="37" borderId="14" xfId="0" applyNumberFormat="1" applyFont="1" applyFill="1" applyBorder="1" applyAlignment="1">
      <alignment horizontal="left" vertical="center" indent="5"/>
    </xf>
    <xf numFmtId="1" fontId="72" fillId="35" borderId="12" xfId="0" applyNumberFormat="1" applyFont="1" applyFill="1" applyBorder="1" applyAlignment="1">
      <alignment horizontal="left" vertical="center" indent="5"/>
    </xf>
    <xf numFmtId="1" fontId="72" fillId="35" borderId="13" xfId="0" applyNumberFormat="1" applyFont="1" applyFill="1" applyBorder="1" applyAlignment="1">
      <alignment horizontal="left" vertical="center" indent="5"/>
    </xf>
    <xf numFmtId="1" fontId="72" fillId="35" borderId="14" xfId="0" applyNumberFormat="1" applyFont="1" applyFill="1" applyBorder="1" applyAlignment="1">
      <alignment horizontal="left" vertical="center" indent="5"/>
    </xf>
    <xf numFmtId="1" fontId="12" fillId="36" borderId="12" xfId="0" applyNumberFormat="1" applyFont="1" applyFill="1" applyBorder="1" applyAlignment="1">
      <alignment horizontal="left" vertical="center" indent="5"/>
    </xf>
    <xf numFmtId="1" fontId="12" fillId="36" borderId="13" xfId="0" applyNumberFormat="1" applyFont="1" applyFill="1" applyBorder="1" applyAlignment="1">
      <alignment horizontal="left" vertical="center" indent="5"/>
    </xf>
    <xf numFmtId="1" fontId="12" fillId="36" borderId="14" xfId="0" applyNumberFormat="1" applyFont="1" applyFill="1" applyBorder="1" applyAlignment="1">
      <alignment horizontal="left" vertical="center" indent="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kcnfrm1.smi.usps.com/PTSInternetWeb/InterLabelInquiry.do?strOrigTrackNum=EE970004511US" TargetMode="External" /><Relationship Id="rId2" Type="http://schemas.openxmlformats.org/officeDocument/2006/relationships/hyperlink" Target="http://trkcnfrm1.smi.usps.com/PTSInternetWeb/InterLabelInquiry.do?strOrigTrackNum=EE970058545US" TargetMode="External" /><Relationship Id="rId3" Type="http://schemas.openxmlformats.org/officeDocument/2006/relationships/hyperlink" Target="http://trkcnfrm1.smi.usps.com/PTSInternetWeb/InterLabelInquiry.do?strOrigTrackNum=EE970157089US" TargetMode="External" /><Relationship Id="rId4" Type="http://schemas.openxmlformats.org/officeDocument/2006/relationships/hyperlink" Target="http://trkcnfrm1.smi.usps.com/PTSInternetWeb/InterLabelInquiry.do?strOrigTrackNum=EE970210411US" TargetMode="External" /><Relationship Id="rId5" Type="http://schemas.openxmlformats.org/officeDocument/2006/relationships/hyperlink" Target="http://trkcnfrm1.smi.usps.com/PTSInternetWeb/InterLabelInquiry.do?strOrigTrackNum=EE970354407US" TargetMode="External" /><Relationship Id="rId6" Type="http://schemas.openxmlformats.org/officeDocument/2006/relationships/hyperlink" Target="http://trkcnfrm1.smi.usps.com/PTSInternetWeb/InterLabelInquiry.do?strOrigTrackNum=EE970357054US" TargetMode="External" /><Relationship Id="rId7" Type="http://schemas.openxmlformats.org/officeDocument/2006/relationships/hyperlink" Target="http://trkcnfrm1.smi.usps.com/PTSInternetWeb/InterLabelInquiry.do?strOrigTrackNum=EE970445553US" TargetMode="External" /><Relationship Id="rId8" Type="http://schemas.openxmlformats.org/officeDocument/2006/relationships/hyperlink" Target="http://trkcnfrm1.smi.usps.com/PTSInternetWeb/InterLabelInquiry.do?strOrigTrackNum=EE970483667US" TargetMode="External" /><Relationship Id="rId9" Type="http://schemas.openxmlformats.org/officeDocument/2006/relationships/hyperlink" Target="http://trkcnfrm1.smi.usps.com/PTSInternetWeb/InterLabelInquiry.do?strOrigTrackNum=EE970575010US" TargetMode="External" /><Relationship Id="rId10" Type="http://schemas.openxmlformats.org/officeDocument/2006/relationships/hyperlink" Target="http://trkcnfrm1.smi.usps.com/PTSInternetWeb/InterLabelInquiry.do?strOrigTrackNum=EE970650665US" TargetMode="External" /><Relationship Id="rId11" Type="http://schemas.openxmlformats.org/officeDocument/2006/relationships/hyperlink" Target="http://trkcnfrm1.smi.usps.com/PTSInternetWeb/InterLabelInquiry.do?strOrigTrackNum=EE970679933US" TargetMode="External" /><Relationship Id="rId12" Type="http://schemas.openxmlformats.org/officeDocument/2006/relationships/hyperlink" Target="http://trkcnfrm1.smi.usps.com/PTSInternetWeb/InterLabelInquiry.do?strOrigTrackNum=EE970784070US" TargetMode="External" /><Relationship Id="rId13" Type="http://schemas.openxmlformats.org/officeDocument/2006/relationships/hyperlink" Target="http://trkcnfrm1.smi.usps.com/PTSInternetWeb/InterLabelInquiry.do?strOrigTrackNum=EE970834880US" TargetMode="External" /><Relationship Id="rId14" Type="http://schemas.openxmlformats.org/officeDocument/2006/relationships/hyperlink" Target="http://trkcnfrm1.smi.usps.com/PTSInternetWeb/InterLabelInquiry.do?strOrigTrackNum=EE970891737US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l-a-m-b-quincy-dark-brown" TargetMode="External" /><Relationship Id="rId2" Type="http://schemas.openxmlformats.org/officeDocument/2006/relationships/hyperlink" Target="http://www.6pm.com/tsubo-edfu-silver-metallic-full-grain" TargetMode="External" /><Relationship Id="rId3" Type="http://schemas.openxmlformats.org/officeDocument/2006/relationships/hyperlink" Target="http://www.6pm.com/tsubo-kirs-black-silver" TargetMode="External" /><Relationship Id="rId4" Type="http://schemas.openxmlformats.org/officeDocument/2006/relationships/hyperlink" Target="http://www.6pm.com/tsubo-edfu-silver-metallic-full-grain" TargetMode="External" /><Relationship Id="rId5" Type="http://schemas.openxmlformats.org/officeDocument/2006/relationships/hyperlink" Target="http://www.6pm.com/umi-kids-marmalade-infant-toddler-white" TargetMode="External" /><Relationship Id="rId6" Type="http://schemas.openxmlformats.org/officeDocument/2006/relationships/hyperlink" Target="http://www.6pm.com/fila-massaggio-m-black-white-chinese-red" TargetMode="External" /><Relationship Id="rId7" Type="http://schemas.openxmlformats.org/officeDocument/2006/relationships/hyperlink" Target="http://www.6pm.com/reebok-easytone-go-outside-ii-black-pewter" TargetMode="External" /><Relationship Id="rId8" Type="http://schemas.openxmlformats.org/officeDocument/2006/relationships/hyperlink" Target="http://www.6pm.com/calvin-klein-klarissa-blue-suede-patent" TargetMode="External" /><Relationship Id="rId9" Type="http://schemas.openxmlformats.org/officeDocument/2006/relationships/hyperlink" Target="http://www.amazon.com/Lauren-Ralph-Womens-Farima-Platform/dp/B003XQH5MY/ref=sr_1_121?s=shoes&amp;ie=UTF8&amp;qid=1302366563&amp;sr=1-121" TargetMode="External" /><Relationship Id="rId10" Type="http://schemas.openxmlformats.org/officeDocument/2006/relationships/hyperlink" Target="http://www.amazon.com/BCBGeneration-Womens-Rouge-Sandal-Black/dp/B004CXEDRC/ref=sr_1_14?s=shoes&amp;ie=UTF8&amp;qid=1302361460&amp;sr=1-14" TargetMode="External" /><Relationship Id="rId11" Type="http://schemas.openxmlformats.org/officeDocument/2006/relationships/hyperlink" Target="http://www.6pm.com/born-stowaway-champagne-metallic" TargetMode="External" /><Relationship Id="rId12" Type="http://schemas.openxmlformats.org/officeDocument/2006/relationships/hyperlink" Target="http://www.6pm.com/new-balance-kids-kx503wp-infant-toddler-white-pink" TargetMode="External" /><Relationship Id="rId13" Type="http://schemas.openxmlformats.org/officeDocument/2006/relationships/hyperlink" Target="http://www.6pm.com/donald-j-pliner-peggy-black-15" TargetMode="External" /><Relationship Id="rId14" Type="http://schemas.openxmlformats.org/officeDocument/2006/relationships/hyperlink" Target="http://www.6pm.com/ecco-kids-aerial-toddler-youth-navajo-brown-navajo-brown" TargetMode="External" /><Relationship Id="rId15" Type="http://schemas.openxmlformats.org/officeDocument/2006/relationships/hyperlink" Target="http://www.6pm.com/ecco-kids-terra-vg-toddler-youth-licorice-warm-grey" TargetMode="External" /><Relationship Id="rId16" Type="http://schemas.openxmlformats.org/officeDocument/2006/relationships/hyperlink" Target="http://www.6pm.com/naturino-sport-157-toddler-pink" TargetMode="External" /><Relationship Id="rId17" Type="http://schemas.openxmlformats.org/officeDocument/2006/relationships/hyperlink" Target="http://www.6pm.com/puma-sugie-suede-wns-choclolate-brown-tortoise-shell" TargetMode="External" /><Relationship Id="rId18" Type="http://schemas.openxmlformats.org/officeDocument/2006/relationships/hyperlink" Target="http://www.6pm.com/vaneli-neala-red-smack-patent" TargetMode="External" /><Relationship Id="rId19" Type="http://schemas.openxmlformats.org/officeDocument/2006/relationships/hyperlink" Target="http://www.amazon.com/HARDY-Mens-Lowrise-Black-12-0/dp/B002FTYUPA/ref=sr_1_7?s=shoes&amp;ie=UTF8&amp;qid=1303375547&amp;sr=1-7" TargetMode="External" /><Relationship Id="rId20" Type="http://schemas.openxmlformats.org/officeDocument/2006/relationships/hyperlink" Target="http://www.6pm.com/case-logic-18-inch-urban-simplicity-duffel-black" TargetMode="External" /><Relationship Id="rId21" Type="http://schemas.openxmlformats.org/officeDocument/2006/relationships/hyperlink" Target="http://www.6pm.com/calvin-klein-73735-black-black" TargetMode="External" /><Relationship Id="rId22" Type="http://schemas.openxmlformats.org/officeDocument/2006/relationships/hyperlink" Target="http://www.6pm.com/calvin-klein-l-s-liquid-cotton-full-zip-mock-neck-fatigue" TargetMode="External" /><Relationship Id="rId23" Type="http://schemas.openxmlformats.org/officeDocument/2006/relationships/hyperlink" Target="http://www.6pm.com/calvin-klein-jeans-maritime-blue-low-rise-slim-body-dark-wash" TargetMode="External" /><Relationship Id="rId24" Type="http://schemas.openxmlformats.org/officeDocument/2006/relationships/hyperlink" Target="http://www.6pm.com/ecco-kids-arctic-toddler-youth-coffee-espresso" TargetMode="External" /><Relationship Id="rId25" Type="http://schemas.openxmlformats.org/officeDocument/2006/relationships/hyperlink" Target="http://www.6pm.com/calvin-klein-73735-black-black" TargetMode="External" /><Relationship Id="rId26" Type="http://schemas.openxmlformats.org/officeDocument/2006/relationships/hyperlink" Target="http://www.6pm.com/calvin-klein-jeans-5gg-air-force-full-zip-hoodie-black" TargetMode="External" /><Relationship Id="rId27" Type="http://schemas.openxmlformats.org/officeDocument/2006/relationships/hyperlink" Target="http://www.6pm.com/cushe-manuka-craft-lo-tan-leather" TargetMode="External" /><Relationship Id="rId28" Type="http://schemas.openxmlformats.org/officeDocument/2006/relationships/hyperlink" Target="http://www.6pm.com/trotters-marian-mocha-kid-suede-snake-suede" TargetMode="External" /><Relationship Id="rId29" Type="http://schemas.openxmlformats.org/officeDocument/2006/relationships/hyperlink" Target="http://www.6pm.com/vaneli-laticia-bronze-cipria" TargetMode="External" /><Relationship Id="rId30" Type="http://schemas.openxmlformats.org/officeDocument/2006/relationships/hyperlink" Target="http://www.6pm.com/product/7750828/color/3" TargetMode="External" /><Relationship Id="rId31" Type="http://schemas.openxmlformats.org/officeDocument/2006/relationships/hyperlink" Target="http://www.6pm.com/gabriella-rocha-sallee-grey-suede" TargetMode="External" /><Relationship Id="rId32" Type="http://schemas.openxmlformats.org/officeDocument/2006/relationships/hyperlink" Target="http://www.6pm.com/lounge-by-mark-nason-oxnard-grey" TargetMode="External" /><Relationship Id="rId3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78"/>
  <sheetViews>
    <sheetView tabSelected="1" zoomScalePageLayoutView="0" workbookViewId="0" topLeftCell="A1">
      <selection activeCell="K29" sqref="K29:M35"/>
    </sheetView>
  </sheetViews>
  <sheetFormatPr defaultColWidth="9.140625" defaultRowHeight="15"/>
  <cols>
    <col min="1" max="1" width="9.140625" style="32" customWidth="1"/>
    <col min="2" max="2" width="15.140625" style="0" customWidth="1"/>
    <col min="3" max="3" width="17.00390625" style="0" bestFit="1" customWidth="1"/>
    <col min="5" max="5" width="10.8515625" style="0" customWidth="1"/>
    <col min="6" max="6" width="12.140625" style="0" customWidth="1"/>
    <col min="7" max="7" width="13.140625" style="0" customWidth="1"/>
    <col min="8" max="8" width="12.28125" style="0" customWidth="1"/>
    <col min="9" max="9" width="16.140625" style="0" customWidth="1"/>
    <col min="10" max="10" width="9.140625" style="32" customWidth="1"/>
  </cols>
  <sheetData>
    <row r="3" spans="2:9" ht="19.5">
      <c r="B3" s="176" t="s">
        <v>273</v>
      </c>
      <c r="C3" s="176"/>
      <c r="D3" s="176"/>
      <c r="E3" s="176"/>
      <c r="F3" s="176"/>
      <c r="G3" s="176"/>
      <c r="H3" s="176"/>
      <c r="I3" s="176"/>
    </row>
    <row r="5" spans="2:9" ht="19.5">
      <c r="B5" s="184" t="s">
        <v>29</v>
      </c>
      <c r="C5" s="184"/>
      <c r="D5" s="184"/>
      <c r="E5" s="184"/>
      <c r="F5" s="184"/>
      <c r="G5" s="184"/>
      <c r="H5" s="184"/>
      <c r="I5" s="184"/>
    </row>
    <row r="8" spans="1:13" s="30" customFormat="1" ht="15">
      <c r="A8" s="33"/>
      <c r="B8" s="189" t="s">
        <v>460</v>
      </c>
      <c r="C8" s="190"/>
      <c r="D8" s="190"/>
      <c r="E8" s="190"/>
      <c r="F8" s="190"/>
      <c r="G8" s="191"/>
      <c r="H8" s="135"/>
      <c r="I8" s="136" t="s">
        <v>465</v>
      </c>
      <c r="J8" s="33"/>
      <c r="K8" s="28"/>
      <c r="L8" s="29"/>
      <c r="M8" s="98"/>
    </row>
    <row r="9" spans="1:12" s="30" customFormat="1" ht="23.25">
      <c r="A9" s="33"/>
      <c r="B9" s="34"/>
      <c r="C9" s="35"/>
      <c r="D9" s="46" t="s">
        <v>30</v>
      </c>
      <c r="E9" s="37" t="s">
        <v>27</v>
      </c>
      <c r="F9" s="36" t="s">
        <v>11</v>
      </c>
      <c r="G9" s="46" t="s">
        <v>52</v>
      </c>
      <c r="H9" s="38" t="s">
        <v>24</v>
      </c>
      <c r="I9" s="39" t="s">
        <v>28</v>
      </c>
      <c r="J9" s="33"/>
      <c r="K9" s="28"/>
      <c r="L9" s="29"/>
    </row>
    <row r="10" spans="1:12" s="30" customFormat="1" ht="15">
      <c r="A10" s="33"/>
      <c r="B10" s="34" t="s">
        <v>461</v>
      </c>
      <c r="C10" s="36" t="s">
        <v>31</v>
      </c>
      <c r="D10" s="48">
        <v>0.2</v>
      </c>
      <c r="E10" s="40">
        <f>D10/$D$19*$E$19+2</f>
        <v>3.3741078838174277</v>
      </c>
      <c r="F10" s="40">
        <f>ROUNDUP(E10*27.8,)</f>
        <v>94</v>
      </c>
      <c r="G10" s="40">
        <v>387</v>
      </c>
      <c r="H10" s="40"/>
      <c r="I10" s="41">
        <f>H10-F10+G10</f>
        <v>293</v>
      </c>
      <c r="J10" s="50"/>
      <c r="K10" s="66"/>
      <c r="L10" s="29"/>
    </row>
    <row r="11" spans="1:17" s="30" customFormat="1" ht="15">
      <c r="A11" s="33"/>
      <c r="B11" s="34" t="s">
        <v>445</v>
      </c>
      <c r="C11" s="36" t="s">
        <v>462</v>
      </c>
      <c r="D11" s="48">
        <v>5</v>
      </c>
      <c r="E11" s="40">
        <f>D11/$D$19*$E$19+2+2+2+2+1</f>
        <v>43.35269709543569</v>
      </c>
      <c r="F11" s="40">
        <f>ROUNDUP(E11*27.8,)</f>
        <v>1206</v>
      </c>
      <c r="G11" s="40">
        <v>1901</v>
      </c>
      <c r="H11" s="40"/>
      <c r="I11" s="41">
        <f>H11-F11+G11</f>
        <v>695</v>
      </c>
      <c r="J11" s="50"/>
      <c r="K11" s="28"/>
      <c r="L11" s="28"/>
      <c r="M11" s="28"/>
      <c r="N11" s="28"/>
      <c r="O11" s="28"/>
      <c r="P11" s="28"/>
      <c r="Q11" s="28"/>
    </row>
    <row r="12" spans="1:17" s="30" customFormat="1" ht="15">
      <c r="A12" s="33"/>
      <c r="B12" s="34" t="s">
        <v>463</v>
      </c>
      <c r="C12" s="36" t="s">
        <v>464</v>
      </c>
      <c r="D12" s="48">
        <v>7</v>
      </c>
      <c r="E12" s="40">
        <f>D12/$D$19*$E$19+2+2+2+2+2+2+1</f>
        <v>61.093775933609955</v>
      </c>
      <c r="F12" s="40">
        <f aca="true" t="shared" si="0" ref="F12:F18">ROUNDUP(E12*27.8,)</f>
        <v>1699</v>
      </c>
      <c r="G12" s="40">
        <v>2636</v>
      </c>
      <c r="H12" s="24"/>
      <c r="I12" s="41">
        <f>H12-F12+G12</f>
        <v>937</v>
      </c>
      <c r="J12" s="50"/>
      <c r="K12" s="28"/>
      <c r="L12" s="28"/>
      <c r="M12" s="28"/>
      <c r="N12" s="28"/>
      <c r="O12" s="28"/>
      <c r="P12" s="28"/>
      <c r="Q12" s="28"/>
    </row>
    <row r="13" spans="1:17" s="30" customFormat="1" ht="15">
      <c r="A13" s="33"/>
      <c r="B13" s="34" t="s">
        <v>56</v>
      </c>
      <c r="C13" s="36" t="s">
        <v>348</v>
      </c>
      <c r="D13" s="48">
        <v>7.5</v>
      </c>
      <c r="E13" s="40">
        <f>D13/$D$19*$E$19+2</f>
        <v>53.52904564315353</v>
      </c>
      <c r="F13" s="40">
        <f t="shared" si="0"/>
        <v>1489</v>
      </c>
      <c r="G13" s="40">
        <v>518</v>
      </c>
      <c r="H13" s="40"/>
      <c r="I13" s="41">
        <f>H13-F13+G13</f>
        <v>-971</v>
      </c>
      <c r="J13" s="50"/>
      <c r="K13" s="28"/>
      <c r="L13" s="28"/>
      <c r="M13" s="28"/>
      <c r="N13" s="28"/>
      <c r="O13" s="28"/>
      <c r="P13" s="28"/>
      <c r="Q13" s="28"/>
    </row>
    <row r="14" spans="1:17" s="30" customFormat="1" ht="15">
      <c r="A14" s="33"/>
      <c r="B14" s="34" t="s">
        <v>450</v>
      </c>
      <c r="C14" s="36" t="s">
        <v>31</v>
      </c>
      <c r="D14" s="48">
        <v>1</v>
      </c>
      <c r="E14" s="40">
        <f>D14/$D$19*$E$19+2+2</f>
        <v>10.870539419087137</v>
      </c>
      <c r="F14" s="40">
        <f t="shared" si="0"/>
        <v>303</v>
      </c>
      <c r="G14" s="40">
        <v>426</v>
      </c>
      <c r="H14" s="40"/>
      <c r="I14" s="41">
        <f>H14-F14+G14</f>
        <v>123</v>
      </c>
      <c r="J14" s="50"/>
      <c r="K14" s="28"/>
      <c r="L14" s="28"/>
      <c r="M14" s="28"/>
      <c r="N14" s="28"/>
      <c r="O14" s="28"/>
      <c r="P14" s="28"/>
      <c r="Q14" s="28"/>
    </row>
    <row r="15" spans="1:17" s="30" customFormat="1" ht="15">
      <c r="A15" s="33"/>
      <c r="B15" s="34" t="s">
        <v>45</v>
      </c>
      <c r="C15" s="36" t="s">
        <v>31</v>
      </c>
      <c r="D15" s="48">
        <v>0.3</v>
      </c>
      <c r="E15" s="40">
        <f>D15/$D$19*$E$19+2</f>
        <v>4.061161825726141</v>
      </c>
      <c r="F15" s="40">
        <f t="shared" si="0"/>
        <v>113</v>
      </c>
      <c r="G15" s="40"/>
      <c r="H15" s="40"/>
      <c r="I15" s="41">
        <f>H15-F15+G15</f>
        <v>-113</v>
      </c>
      <c r="J15" s="50"/>
      <c r="K15" s="28"/>
      <c r="L15" s="28"/>
      <c r="M15" s="28"/>
      <c r="N15" s="28"/>
      <c r="O15" s="28"/>
      <c r="P15" s="28"/>
      <c r="Q15" s="28"/>
    </row>
    <row r="16" spans="1:17" s="30" customFormat="1" ht="15">
      <c r="A16" s="33"/>
      <c r="B16" s="34" t="s">
        <v>65</v>
      </c>
      <c r="C16" s="36" t="s">
        <v>57</v>
      </c>
      <c r="D16" s="48">
        <v>0.6</v>
      </c>
      <c r="E16" s="40">
        <f>D16/$D$19*$E$19+2/3</f>
        <v>4.788990318118949</v>
      </c>
      <c r="F16" s="40">
        <f t="shared" si="0"/>
        <v>134</v>
      </c>
      <c r="G16" s="40"/>
      <c r="H16" s="40"/>
      <c r="I16" s="41">
        <f>H16-F16+G16</f>
        <v>-134</v>
      </c>
      <c r="J16" s="50"/>
      <c r="K16" s="28"/>
      <c r="L16" s="28"/>
      <c r="M16" s="28"/>
      <c r="N16" s="28"/>
      <c r="O16" s="28"/>
      <c r="P16" s="28"/>
      <c r="Q16" s="28"/>
    </row>
    <row r="17" spans="1:17" s="30" customFormat="1" ht="15">
      <c r="A17" s="33"/>
      <c r="B17" s="34" t="s">
        <v>418</v>
      </c>
      <c r="C17" s="36" t="s">
        <v>57</v>
      </c>
      <c r="D17" s="48">
        <v>0.8</v>
      </c>
      <c r="E17" s="40">
        <f>D17/$D$19*$E$19+2/3</f>
        <v>6.163098201936377</v>
      </c>
      <c r="F17" s="40">
        <f t="shared" si="0"/>
        <v>172</v>
      </c>
      <c r="G17" s="40"/>
      <c r="H17" s="40"/>
      <c r="I17" s="41">
        <f>H17-F17+G17</f>
        <v>-172</v>
      </c>
      <c r="J17" s="50"/>
      <c r="K17" s="66"/>
      <c r="L17" s="28"/>
      <c r="M17" s="28"/>
      <c r="N17" s="28"/>
      <c r="O17" s="28"/>
      <c r="P17" s="28"/>
      <c r="Q17" s="28"/>
    </row>
    <row r="18" spans="1:17" s="30" customFormat="1" ht="15">
      <c r="A18" s="33"/>
      <c r="B18" s="34" t="s">
        <v>378</v>
      </c>
      <c r="C18" s="36" t="s">
        <v>57</v>
      </c>
      <c r="D18" s="48">
        <v>1.7</v>
      </c>
      <c r="E18" s="40">
        <f>D18/$D$19*$E$19+2/3</f>
        <v>12.346583679114799</v>
      </c>
      <c r="F18" s="40">
        <f t="shared" si="0"/>
        <v>344</v>
      </c>
      <c r="G18" s="40">
        <v>189</v>
      </c>
      <c r="H18" s="40"/>
      <c r="I18" s="41">
        <f>H18-F18+G18</f>
        <v>-155</v>
      </c>
      <c r="J18" s="50"/>
      <c r="K18" s="66"/>
      <c r="L18" s="28"/>
      <c r="M18" s="28"/>
      <c r="N18" s="28"/>
      <c r="O18" s="28"/>
      <c r="P18" s="28"/>
      <c r="Q18" s="28"/>
    </row>
    <row r="19" spans="2:11" ht="15">
      <c r="B19" s="34"/>
      <c r="C19" s="42"/>
      <c r="D19" s="48">
        <v>24.1</v>
      </c>
      <c r="E19" s="43">
        <f>199.58-34</f>
        <v>165.58</v>
      </c>
      <c r="F19" s="47">
        <f>SUM(F10:F18)</f>
        <v>5554</v>
      </c>
      <c r="G19" s="44">
        <f>SUM(G10:G18)</f>
        <v>6057</v>
      </c>
      <c r="H19" s="44"/>
      <c r="I19" s="45">
        <f>SUM(I10:I18)</f>
        <v>503</v>
      </c>
      <c r="J19" s="50"/>
      <c r="K19" s="31"/>
    </row>
    <row r="20" spans="4:6" ht="15">
      <c r="D20" s="31">
        <f>SUM(D10:D18)</f>
        <v>24.1</v>
      </c>
      <c r="E20" s="31">
        <f>SUM(E10:E18)</f>
        <v>199.57999999999998</v>
      </c>
      <c r="F20" s="65"/>
    </row>
    <row r="22" spans="1:13" s="30" customFormat="1" ht="15">
      <c r="A22" s="33"/>
      <c r="B22" s="186" t="s">
        <v>448</v>
      </c>
      <c r="C22" s="187"/>
      <c r="D22" s="187"/>
      <c r="E22" s="187"/>
      <c r="F22" s="187"/>
      <c r="G22" s="188"/>
      <c r="H22" s="174"/>
      <c r="I22" s="175" t="s">
        <v>452</v>
      </c>
      <c r="J22" s="33"/>
      <c r="K22" s="28" t="s">
        <v>451</v>
      </c>
      <c r="L22" s="29"/>
      <c r="M22" s="98"/>
    </row>
    <row r="23" spans="1:12" s="30" customFormat="1" ht="23.25">
      <c r="A23" s="33"/>
      <c r="B23" s="34"/>
      <c r="C23" s="35"/>
      <c r="D23" s="46" t="s">
        <v>30</v>
      </c>
      <c r="E23" s="37" t="s">
        <v>27</v>
      </c>
      <c r="F23" s="36" t="s">
        <v>11</v>
      </c>
      <c r="G23" s="46" t="s">
        <v>52</v>
      </c>
      <c r="H23" s="38" t="s">
        <v>24</v>
      </c>
      <c r="I23" s="39" t="s">
        <v>28</v>
      </c>
      <c r="J23" s="33"/>
      <c r="K23" s="28"/>
      <c r="L23" s="29"/>
    </row>
    <row r="24" spans="1:12" s="30" customFormat="1" ht="15">
      <c r="A24" s="33"/>
      <c r="B24" s="34" t="s">
        <v>441</v>
      </c>
      <c r="C24" s="36" t="s">
        <v>435</v>
      </c>
      <c r="D24" s="48">
        <v>3.2</v>
      </c>
      <c r="E24" s="40">
        <f>D24/$D$35*$E$35+1</f>
        <v>24.62167487684729</v>
      </c>
      <c r="F24" s="40">
        <f>ROUNDUP(E24*28.2,)</f>
        <v>695</v>
      </c>
      <c r="G24" s="40">
        <v>1396</v>
      </c>
      <c r="H24" s="40"/>
      <c r="I24" s="41">
        <f aca="true" t="shared" si="1" ref="I24:I34">H24-F24+G24</f>
        <v>701</v>
      </c>
      <c r="J24" s="50"/>
      <c r="K24" s="66"/>
      <c r="L24" s="29"/>
    </row>
    <row r="25" spans="1:17" s="30" customFormat="1" ht="15">
      <c r="A25" s="33"/>
      <c r="B25" s="34" t="s">
        <v>309</v>
      </c>
      <c r="C25" s="36" t="s">
        <v>455</v>
      </c>
      <c r="D25" s="48">
        <v>3.3</v>
      </c>
      <c r="E25" s="40">
        <f>D25/$D$35*$E$35+1+6</f>
        <v>31.359852216748767</v>
      </c>
      <c r="F25" s="40">
        <f aca="true" t="shared" si="2" ref="F25:F34">ROUNDUP(E25*28.2,)</f>
        <v>885</v>
      </c>
      <c r="G25" s="40">
        <v>753</v>
      </c>
      <c r="H25" s="40">
        <v>52</v>
      </c>
      <c r="I25" s="41">
        <f t="shared" si="1"/>
        <v>-80</v>
      </c>
      <c r="J25" s="50"/>
      <c r="K25" s="28"/>
      <c r="L25" s="28"/>
      <c r="M25" s="28"/>
      <c r="N25" s="28"/>
      <c r="O25" s="28"/>
      <c r="P25" s="28"/>
      <c r="Q25" s="28"/>
    </row>
    <row r="26" spans="1:17" s="30" customFormat="1" ht="15">
      <c r="A26" s="33"/>
      <c r="B26" s="34" t="s">
        <v>436</v>
      </c>
      <c r="C26" s="36" t="s">
        <v>456</v>
      </c>
      <c r="D26" s="48">
        <v>3.5</v>
      </c>
      <c r="E26" s="40">
        <f>D26/$D$35*$E$35+2+2</f>
        <v>29.836206896551722</v>
      </c>
      <c r="F26" s="40">
        <f t="shared" si="2"/>
        <v>842</v>
      </c>
      <c r="G26" s="40">
        <v>954</v>
      </c>
      <c r="H26" s="24"/>
      <c r="I26" s="41">
        <f t="shared" si="1"/>
        <v>112</v>
      </c>
      <c r="J26" s="50"/>
      <c r="K26" s="28"/>
      <c r="L26" s="28"/>
      <c r="M26" s="28"/>
      <c r="N26" s="28"/>
      <c r="O26" s="28"/>
      <c r="P26" s="28"/>
      <c r="Q26" s="28"/>
    </row>
    <row r="27" spans="1:17" s="30" customFormat="1" ht="15">
      <c r="A27" s="33"/>
      <c r="B27" s="34" t="s">
        <v>437</v>
      </c>
      <c r="C27" s="36" t="s">
        <v>438</v>
      </c>
      <c r="D27" s="48">
        <v>1</v>
      </c>
      <c r="E27" s="40">
        <f>D27/$D$35*$E$35+2+2</f>
        <v>11.381773399014778</v>
      </c>
      <c r="F27" s="40">
        <f t="shared" si="2"/>
        <v>321</v>
      </c>
      <c r="G27" s="40">
        <v>27</v>
      </c>
      <c r="H27" s="40"/>
      <c r="I27" s="41">
        <f t="shared" si="1"/>
        <v>-294</v>
      </c>
      <c r="J27" s="50"/>
      <c r="K27" s="28"/>
      <c r="L27" s="28"/>
      <c r="M27" s="28"/>
      <c r="N27" s="28"/>
      <c r="O27" s="28"/>
      <c r="P27" s="28"/>
      <c r="Q27" s="28"/>
    </row>
    <row r="28" spans="1:17" s="30" customFormat="1" ht="15">
      <c r="A28" s="33"/>
      <c r="B28" s="34" t="s">
        <v>422</v>
      </c>
      <c r="C28" s="36" t="s">
        <v>31</v>
      </c>
      <c r="D28" s="48">
        <v>4.2</v>
      </c>
      <c r="E28" s="40">
        <f>D28/$D$35*$E$35+2+2</f>
        <v>35.00344827586207</v>
      </c>
      <c r="F28" s="40">
        <f t="shared" si="2"/>
        <v>988</v>
      </c>
      <c r="G28" s="40">
        <v>57</v>
      </c>
      <c r="H28" s="40">
        <f>215+127</f>
        <v>342</v>
      </c>
      <c r="I28" s="41">
        <f t="shared" si="1"/>
        <v>-589</v>
      </c>
      <c r="J28" s="50"/>
      <c r="K28" s="28"/>
      <c r="L28" s="28"/>
      <c r="M28" s="28"/>
      <c r="N28" s="28"/>
      <c r="O28" s="28"/>
      <c r="P28" s="28"/>
      <c r="Q28" s="28"/>
    </row>
    <row r="29" spans="1:17" s="30" customFormat="1" ht="15">
      <c r="A29" s="33"/>
      <c r="B29" s="34" t="s">
        <v>439</v>
      </c>
      <c r="C29" s="36" t="s">
        <v>440</v>
      </c>
      <c r="D29" s="48">
        <v>1</v>
      </c>
      <c r="E29" s="40">
        <f>D29/$D$35*$E$35+2+2</f>
        <v>11.381773399014778</v>
      </c>
      <c r="F29" s="40">
        <f t="shared" si="2"/>
        <v>321</v>
      </c>
      <c r="G29" s="40">
        <v>443</v>
      </c>
      <c r="H29" s="40"/>
      <c r="I29" s="41">
        <f t="shared" si="1"/>
        <v>122</v>
      </c>
      <c r="J29" s="50"/>
      <c r="K29" s="66"/>
      <c r="L29" s="28"/>
      <c r="M29" s="28"/>
      <c r="N29" s="28"/>
      <c r="O29" s="28"/>
      <c r="P29" s="28"/>
      <c r="Q29" s="28"/>
    </row>
    <row r="30" spans="1:17" s="30" customFormat="1" ht="15">
      <c r="A30" s="33"/>
      <c r="B30" s="34" t="s">
        <v>342</v>
      </c>
      <c r="C30" s="36" t="s">
        <v>446</v>
      </c>
      <c r="D30" s="48">
        <v>0.8</v>
      </c>
      <c r="E30" s="40">
        <f>D30/$D$35*$E$35+1</f>
        <v>6.905418719211823</v>
      </c>
      <c r="F30" s="40">
        <f t="shared" si="2"/>
        <v>195</v>
      </c>
      <c r="G30" s="40">
        <v>82</v>
      </c>
      <c r="H30" s="40"/>
      <c r="I30" s="41">
        <f t="shared" si="1"/>
        <v>-113</v>
      </c>
      <c r="J30" s="50"/>
      <c r="K30" s="66"/>
      <c r="L30" s="28"/>
      <c r="M30" s="28"/>
      <c r="N30" s="28"/>
      <c r="O30" s="28"/>
      <c r="P30" s="28"/>
      <c r="Q30" s="28"/>
    </row>
    <row r="31" spans="1:17" s="30" customFormat="1" ht="15">
      <c r="A31" s="33"/>
      <c r="B31" s="34" t="s">
        <v>65</v>
      </c>
      <c r="C31" s="36" t="s">
        <v>446</v>
      </c>
      <c r="D31" s="48">
        <v>1.5</v>
      </c>
      <c r="E31" s="40">
        <f>D31/$D$35*$E$35+1</f>
        <v>12.072660098522165</v>
      </c>
      <c r="F31" s="40">
        <f t="shared" si="2"/>
        <v>341</v>
      </c>
      <c r="G31" s="40">
        <f>5-200</f>
        <v>-195</v>
      </c>
      <c r="H31" s="40"/>
      <c r="I31" s="41">
        <f t="shared" si="1"/>
        <v>-536</v>
      </c>
      <c r="J31" s="50"/>
      <c r="K31" s="66"/>
      <c r="L31" s="66"/>
      <c r="M31" s="28"/>
      <c r="N31" s="28"/>
      <c r="O31" s="28"/>
      <c r="P31" s="28"/>
      <c r="Q31" s="28"/>
    </row>
    <row r="32" spans="1:17" s="30" customFormat="1" ht="15">
      <c r="A32" s="33"/>
      <c r="B32" s="34" t="s">
        <v>65</v>
      </c>
      <c r="C32" s="36" t="s">
        <v>57</v>
      </c>
      <c r="D32" s="48">
        <v>0.8</v>
      </c>
      <c r="E32" s="40">
        <f>D32/$D$35*$E$35+1</f>
        <v>6.905418719211823</v>
      </c>
      <c r="F32" s="40">
        <f t="shared" si="2"/>
        <v>195</v>
      </c>
      <c r="G32" s="40"/>
      <c r="H32" s="40"/>
      <c r="I32" s="41">
        <f t="shared" si="1"/>
        <v>-195</v>
      </c>
      <c r="J32" s="50"/>
      <c r="K32" s="66"/>
      <c r="L32" s="66"/>
      <c r="M32" s="28"/>
      <c r="N32" s="28"/>
      <c r="O32" s="28"/>
      <c r="P32" s="28"/>
      <c r="Q32" s="28"/>
    </row>
    <row r="33" spans="1:17" s="30" customFormat="1" ht="15">
      <c r="A33" s="33"/>
      <c r="B33" s="34" t="s">
        <v>379</v>
      </c>
      <c r="C33" s="36" t="s">
        <v>57</v>
      </c>
      <c r="D33" s="48">
        <v>1</v>
      </c>
      <c r="E33" s="40">
        <f>D33/$D$35*$E$35+1</f>
        <v>8.381773399014778</v>
      </c>
      <c r="F33" s="40">
        <f t="shared" si="2"/>
        <v>237</v>
      </c>
      <c r="G33" s="40">
        <v>384</v>
      </c>
      <c r="H33" s="40"/>
      <c r="I33" s="41">
        <f t="shared" si="1"/>
        <v>147</v>
      </c>
      <c r="J33" s="50"/>
      <c r="K33" s="66"/>
      <c r="L33" s="66"/>
      <c r="M33" s="28"/>
      <c r="N33" s="28"/>
      <c r="O33" s="28"/>
      <c r="P33" s="28"/>
      <c r="Q33" s="28"/>
    </row>
    <row r="34" spans="1:17" s="30" customFormat="1" ht="15">
      <c r="A34" s="33"/>
      <c r="B34" s="34"/>
      <c r="C34" s="36"/>
      <c r="D34" s="48"/>
      <c r="E34" s="40">
        <f>D34/$D$35*$E$35</f>
        <v>0</v>
      </c>
      <c r="F34" s="40">
        <f t="shared" si="2"/>
        <v>0</v>
      </c>
      <c r="G34" s="40"/>
      <c r="H34" s="40"/>
      <c r="I34" s="41">
        <f t="shared" si="1"/>
        <v>0</v>
      </c>
      <c r="J34" s="50"/>
      <c r="K34" s="66"/>
      <c r="L34" s="28"/>
      <c r="M34" s="28"/>
      <c r="N34" s="28"/>
      <c r="O34" s="28"/>
      <c r="P34" s="28"/>
      <c r="Q34" s="28"/>
    </row>
    <row r="35" spans="2:11" ht="15">
      <c r="B35" s="34"/>
      <c r="C35" s="42"/>
      <c r="D35" s="48">
        <v>20.3</v>
      </c>
      <c r="E35" s="43">
        <f>177.85-28</f>
        <v>149.85</v>
      </c>
      <c r="F35" s="47">
        <f>SUM(F24:F34)</f>
        <v>5020</v>
      </c>
      <c r="G35" s="44">
        <f>SUM(G24:G34)</f>
        <v>3901</v>
      </c>
      <c r="H35" s="44"/>
      <c r="I35" s="45">
        <f>SUM(I24:I34)</f>
        <v>-725</v>
      </c>
      <c r="J35" s="50"/>
      <c r="K35" s="31"/>
    </row>
    <row r="36" spans="4:5" ht="15">
      <c r="D36" s="49">
        <f>SUM(D24:D33)</f>
        <v>20.3</v>
      </c>
      <c r="E36" s="31">
        <f>SUM(E24:E34)</f>
        <v>177.84999999999997</v>
      </c>
    </row>
    <row r="38" spans="1:13" s="30" customFormat="1" ht="15">
      <c r="A38" s="33"/>
      <c r="B38" s="201" t="s">
        <v>447</v>
      </c>
      <c r="C38" s="202"/>
      <c r="D38" s="202"/>
      <c r="E38" s="202"/>
      <c r="F38" s="202"/>
      <c r="G38" s="203"/>
      <c r="H38" s="131"/>
      <c r="I38" s="132" t="s">
        <v>449</v>
      </c>
      <c r="J38" s="33"/>
      <c r="K38" s="28"/>
      <c r="L38" s="29"/>
      <c r="M38" s="98"/>
    </row>
    <row r="39" spans="1:12" s="30" customFormat="1" ht="23.25">
      <c r="A39" s="33"/>
      <c r="B39" s="34"/>
      <c r="C39" s="35"/>
      <c r="D39" s="46" t="s">
        <v>30</v>
      </c>
      <c r="E39" s="37" t="s">
        <v>27</v>
      </c>
      <c r="F39" s="36" t="s">
        <v>11</v>
      </c>
      <c r="G39" s="46" t="s">
        <v>52</v>
      </c>
      <c r="H39" s="38" t="s">
        <v>24</v>
      </c>
      <c r="I39" s="39" t="s">
        <v>28</v>
      </c>
      <c r="J39" s="33"/>
      <c r="K39" s="28"/>
      <c r="L39" s="29"/>
    </row>
    <row r="40" spans="1:12" s="30" customFormat="1" ht="15">
      <c r="A40" s="33"/>
      <c r="B40" s="34" t="s">
        <v>412</v>
      </c>
      <c r="C40" s="36" t="s">
        <v>411</v>
      </c>
      <c r="D40" s="48">
        <v>4</v>
      </c>
      <c r="E40" s="40">
        <f>D40/$D$50*$E$50+2</f>
        <v>29.713183279742765</v>
      </c>
      <c r="F40" s="40">
        <f>ROUNDUP(E40*28.4,)</f>
        <v>844</v>
      </c>
      <c r="G40" s="40">
        <v>1125</v>
      </c>
      <c r="H40" s="40"/>
      <c r="I40" s="41">
        <f aca="true" t="shared" si="3" ref="I40:I45">H40-F40+G40</f>
        <v>281</v>
      </c>
      <c r="J40" s="50"/>
      <c r="K40" s="66"/>
      <c r="L40" s="29"/>
    </row>
    <row r="41" spans="1:17" s="30" customFormat="1" ht="15">
      <c r="A41" s="33"/>
      <c r="B41" s="34" t="s">
        <v>162</v>
      </c>
      <c r="C41" s="36" t="s">
        <v>415</v>
      </c>
      <c r="D41" s="48">
        <v>1.5</v>
      </c>
      <c r="E41" s="40">
        <f>D41/$D$50*$E$50+2</f>
        <v>12.392443729903537</v>
      </c>
      <c r="F41" s="40">
        <f aca="true" t="shared" si="4" ref="F41:F49">ROUNDUP(E41*28.4,)</f>
        <v>352</v>
      </c>
      <c r="G41" s="40">
        <v>536</v>
      </c>
      <c r="H41" s="40"/>
      <c r="I41" s="41">
        <f t="shared" si="3"/>
        <v>184</v>
      </c>
      <c r="J41" s="50"/>
      <c r="K41" s="28"/>
      <c r="L41" s="28"/>
      <c r="M41" s="28"/>
      <c r="N41" s="28"/>
      <c r="O41" s="28"/>
      <c r="P41" s="28"/>
      <c r="Q41" s="28"/>
    </row>
    <row r="42" spans="1:17" s="30" customFormat="1" ht="15">
      <c r="A42" s="33"/>
      <c r="B42" s="34" t="s">
        <v>443</v>
      </c>
      <c r="C42" s="36" t="s">
        <v>434</v>
      </c>
      <c r="D42" s="48">
        <v>1.5</v>
      </c>
      <c r="E42" s="40">
        <f>D42/$D$50*$E$50+2</f>
        <v>12.392443729903537</v>
      </c>
      <c r="F42" s="40">
        <f t="shared" si="4"/>
        <v>352</v>
      </c>
      <c r="G42" s="40">
        <v>783</v>
      </c>
      <c r="H42" s="24"/>
      <c r="I42" s="41">
        <f t="shared" si="3"/>
        <v>431</v>
      </c>
      <c r="J42" s="50"/>
      <c r="K42" s="28"/>
      <c r="L42" s="28"/>
      <c r="M42" s="28"/>
      <c r="N42" s="28"/>
      <c r="O42" s="28"/>
      <c r="P42" s="28"/>
      <c r="Q42" s="28"/>
    </row>
    <row r="43" spans="1:17" s="30" customFormat="1" ht="15">
      <c r="A43" s="33"/>
      <c r="B43" s="34" t="s">
        <v>153</v>
      </c>
      <c r="C43" s="36" t="s">
        <v>57</v>
      </c>
      <c r="D43" s="48">
        <v>11.6</v>
      </c>
      <c r="E43" s="40">
        <f>D43/$D$50*$E$50+2</f>
        <v>82.36823151125402</v>
      </c>
      <c r="F43" s="40">
        <f t="shared" si="4"/>
        <v>2340</v>
      </c>
      <c r="G43" s="40">
        <v>-164</v>
      </c>
      <c r="H43" s="40"/>
      <c r="I43" s="41">
        <f t="shared" si="3"/>
        <v>-2504</v>
      </c>
      <c r="J43" s="50"/>
      <c r="K43" s="28"/>
      <c r="L43" s="28"/>
      <c r="M43" s="28"/>
      <c r="N43" s="28"/>
      <c r="O43" s="28"/>
      <c r="P43" s="28"/>
      <c r="Q43" s="28"/>
    </row>
    <row r="44" spans="1:17" s="30" customFormat="1" ht="15">
      <c r="A44" s="33"/>
      <c r="B44" s="34" t="s">
        <v>418</v>
      </c>
      <c r="C44" s="36" t="s">
        <v>57</v>
      </c>
      <c r="D44" s="48">
        <v>5.1</v>
      </c>
      <c r="E44" s="40">
        <f>D44/$D$50*$E$50+2/3</f>
        <v>36.000975348338685</v>
      </c>
      <c r="F44" s="40">
        <f t="shared" si="4"/>
        <v>1023</v>
      </c>
      <c r="G44" s="40">
        <v>123</v>
      </c>
      <c r="H44" s="40"/>
      <c r="I44" s="41">
        <f t="shared" si="3"/>
        <v>-900</v>
      </c>
      <c r="J44" s="50"/>
      <c r="K44" s="28"/>
      <c r="L44" s="28"/>
      <c r="M44" s="28"/>
      <c r="N44" s="28"/>
      <c r="O44" s="28"/>
      <c r="P44" s="28"/>
      <c r="Q44" s="28"/>
    </row>
    <row r="45" spans="1:17" s="30" customFormat="1" ht="15">
      <c r="A45" s="33"/>
      <c r="B45" s="34" t="s">
        <v>16</v>
      </c>
      <c r="C45" s="36" t="s">
        <v>57</v>
      </c>
      <c r="D45" s="48">
        <v>5.3</v>
      </c>
      <c r="E45" s="40">
        <f>D45/$D$50*$E$50+2</f>
        <v>38.71996784565916</v>
      </c>
      <c r="F45" s="40">
        <f t="shared" si="4"/>
        <v>1100</v>
      </c>
      <c r="G45" s="40"/>
      <c r="H45" s="40"/>
      <c r="I45" s="41"/>
      <c r="J45" s="50"/>
      <c r="K45" s="66"/>
      <c r="L45" s="28"/>
      <c r="M45" s="28"/>
      <c r="N45" s="28"/>
      <c r="O45" s="28"/>
      <c r="P45" s="28"/>
      <c r="Q45" s="28"/>
    </row>
    <row r="46" spans="1:17" s="30" customFormat="1" ht="15">
      <c r="A46" s="33"/>
      <c r="B46" s="34" t="s">
        <v>397</v>
      </c>
      <c r="C46" s="36" t="s">
        <v>57</v>
      </c>
      <c r="D46" s="48">
        <v>0.7</v>
      </c>
      <c r="E46" s="40">
        <f>D46/$D$50*$E$50+2/3</f>
        <v>5.516473740621651</v>
      </c>
      <c r="F46" s="40">
        <f t="shared" si="4"/>
        <v>157</v>
      </c>
      <c r="G46" s="40">
        <v>681.1333333333333</v>
      </c>
      <c r="H46" s="40"/>
      <c r="I46" s="41">
        <f>H46-F46+G46</f>
        <v>524.1333333333333</v>
      </c>
      <c r="J46" s="50"/>
      <c r="K46" s="66"/>
      <c r="L46" s="28"/>
      <c r="M46" s="28"/>
      <c r="N46" s="28"/>
      <c r="O46" s="28"/>
      <c r="P46" s="28"/>
      <c r="Q46" s="28"/>
    </row>
    <row r="47" spans="1:17" s="30" customFormat="1" ht="15">
      <c r="A47" s="33"/>
      <c r="B47" s="34" t="s">
        <v>442</v>
      </c>
      <c r="C47" s="36" t="s">
        <v>57</v>
      </c>
      <c r="D47" s="48">
        <v>1.4</v>
      </c>
      <c r="E47" s="40">
        <f>D47/$D$50*$E$50+2/3</f>
        <v>10.366280814576633</v>
      </c>
      <c r="F47" s="40">
        <f t="shared" si="4"/>
        <v>295</v>
      </c>
      <c r="G47" s="40">
        <v>477.13333333333344</v>
      </c>
      <c r="H47" s="40"/>
      <c r="I47" s="41">
        <f>H47-F47+G47</f>
        <v>182.13333333333344</v>
      </c>
      <c r="J47" s="50"/>
      <c r="K47" s="66"/>
      <c r="L47" s="66"/>
      <c r="M47" s="28"/>
      <c r="N47" s="28"/>
      <c r="O47" s="28"/>
      <c r="P47" s="28"/>
      <c r="Q47" s="28"/>
    </row>
    <row r="48" spans="1:17" s="30" customFormat="1" ht="15">
      <c r="A48" s="33"/>
      <c r="B48" s="34"/>
      <c r="C48" s="36"/>
      <c r="D48" s="48"/>
      <c r="E48" s="40">
        <f>D48/$D$50*$E$50</f>
        <v>0</v>
      </c>
      <c r="F48" s="40">
        <f t="shared" si="4"/>
        <v>0</v>
      </c>
      <c r="G48" s="40"/>
      <c r="H48" s="40"/>
      <c r="I48" s="41">
        <f>H48-F48+G48</f>
        <v>0</v>
      </c>
      <c r="J48" s="50"/>
      <c r="K48" s="66"/>
      <c r="L48" s="66"/>
      <c r="M48" s="28"/>
      <c r="N48" s="28"/>
      <c r="O48" s="28"/>
      <c r="P48" s="28"/>
      <c r="Q48" s="28"/>
    </row>
    <row r="49" spans="1:17" s="30" customFormat="1" ht="15">
      <c r="A49" s="33"/>
      <c r="B49" s="34"/>
      <c r="C49" s="36"/>
      <c r="D49" s="48"/>
      <c r="E49" s="40">
        <f>D49/$D$50*$E$50</f>
        <v>0</v>
      </c>
      <c r="F49" s="40">
        <f t="shared" si="4"/>
        <v>0</v>
      </c>
      <c r="G49" s="40"/>
      <c r="H49" s="40"/>
      <c r="I49" s="41">
        <f>H49-F49+G49</f>
        <v>0</v>
      </c>
      <c r="J49" s="50"/>
      <c r="K49" s="66"/>
      <c r="L49" s="28"/>
      <c r="M49" s="28"/>
      <c r="N49" s="28"/>
      <c r="O49" s="28"/>
      <c r="P49" s="28"/>
      <c r="Q49" s="28"/>
    </row>
    <row r="50" spans="2:11" ht="15">
      <c r="B50" s="34"/>
      <c r="C50" s="42"/>
      <c r="D50" s="48">
        <v>31.1</v>
      </c>
      <c r="E50" s="43">
        <f>227.47-12</f>
        <v>215.47</v>
      </c>
      <c r="F50" s="47">
        <f>SUM(F40:F49)</f>
        <v>6463</v>
      </c>
      <c r="G50" s="44">
        <f>SUM(G40:G49)</f>
        <v>3561.2666666666664</v>
      </c>
      <c r="H50" s="44"/>
      <c r="I50" s="45">
        <f>SUM(I40:I49)</f>
        <v>-1801.7333333333333</v>
      </c>
      <c r="J50" s="50"/>
      <c r="K50" s="31"/>
    </row>
    <row r="51" spans="4:6" ht="15">
      <c r="D51" s="49">
        <f>SUM(D40:D48)</f>
        <v>31.1</v>
      </c>
      <c r="E51" s="31">
        <f>SUM(E40:E49)</f>
        <v>227.47</v>
      </c>
      <c r="F51" s="65"/>
    </row>
    <row r="52" spans="2:10" ht="22.5">
      <c r="B52" s="185" t="s">
        <v>38</v>
      </c>
      <c r="C52" s="185"/>
      <c r="D52" s="185"/>
      <c r="E52" s="185"/>
      <c r="F52" s="185"/>
      <c r="G52" s="185"/>
      <c r="H52" s="185"/>
      <c r="I52" s="185"/>
      <c r="J52" s="50"/>
    </row>
    <row r="54" spans="1:13" s="30" customFormat="1" ht="15">
      <c r="A54" s="33"/>
      <c r="B54" s="198" t="s">
        <v>424</v>
      </c>
      <c r="C54" s="199"/>
      <c r="D54" s="199"/>
      <c r="E54" s="199"/>
      <c r="F54" s="199"/>
      <c r="G54" s="200"/>
      <c r="H54" s="96"/>
      <c r="I54" s="97" t="s">
        <v>430</v>
      </c>
      <c r="J54" s="33"/>
      <c r="K54" s="28"/>
      <c r="L54" s="29"/>
      <c r="M54" s="98"/>
    </row>
    <row r="55" spans="1:12" s="30" customFormat="1" ht="23.25">
      <c r="A55" s="33"/>
      <c r="B55" s="34"/>
      <c r="C55" s="35"/>
      <c r="D55" s="46" t="s">
        <v>30</v>
      </c>
      <c r="E55" s="37" t="s">
        <v>27</v>
      </c>
      <c r="F55" s="36" t="s">
        <v>11</v>
      </c>
      <c r="G55" s="46" t="s">
        <v>52</v>
      </c>
      <c r="H55" s="38" t="s">
        <v>24</v>
      </c>
      <c r="I55" s="39" t="s">
        <v>28</v>
      </c>
      <c r="J55" s="33"/>
      <c r="K55" s="28"/>
      <c r="L55" s="29"/>
    </row>
    <row r="56" spans="1:12" s="30" customFormat="1" ht="15">
      <c r="A56" s="33"/>
      <c r="B56" s="34" t="s">
        <v>425</v>
      </c>
      <c r="C56" s="36" t="s">
        <v>401</v>
      </c>
      <c r="D56" s="48">
        <v>1.2</v>
      </c>
      <c r="E56" s="40">
        <f>D56/$D$72*$E$72+1</f>
        <v>9.37090909090909</v>
      </c>
      <c r="F56" s="40">
        <f>ROUNDUP(E56*28,)</f>
        <v>263</v>
      </c>
      <c r="G56" s="40">
        <v>256</v>
      </c>
      <c r="H56" s="40"/>
      <c r="I56" s="41">
        <f aca="true" t="shared" si="5" ref="I56:I68">H56-F56+G56</f>
        <v>-7</v>
      </c>
      <c r="J56" s="50"/>
      <c r="K56" s="66"/>
      <c r="L56" s="29"/>
    </row>
    <row r="57" spans="1:17" s="30" customFormat="1" ht="15">
      <c r="A57" s="33"/>
      <c r="B57" s="34" t="s">
        <v>408</v>
      </c>
      <c r="C57" s="36" t="s">
        <v>401</v>
      </c>
      <c r="D57" s="48">
        <v>2.5</v>
      </c>
      <c r="E57" s="40">
        <f>D57/$D$72*$E$72+1</f>
        <v>18.439393939393938</v>
      </c>
      <c r="F57" s="40">
        <f aca="true" t="shared" si="6" ref="F57:F69">ROUNDUP(E57*28,)</f>
        <v>517</v>
      </c>
      <c r="G57" s="40">
        <v>528</v>
      </c>
      <c r="H57" s="40"/>
      <c r="I57" s="41">
        <f t="shared" si="5"/>
        <v>11</v>
      </c>
      <c r="J57" s="50"/>
      <c r="K57" s="28"/>
      <c r="L57" s="28"/>
      <c r="M57" s="28"/>
      <c r="N57" s="28"/>
      <c r="O57" s="28"/>
      <c r="P57" s="28"/>
      <c r="Q57" s="28"/>
    </row>
    <row r="58" spans="1:17" s="30" customFormat="1" ht="15">
      <c r="A58" s="33"/>
      <c r="B58" s="34" t="s">
        <v>407</v>
      </c>
      <c r="C58" s="36" t="s">
        <v>403</v>
      </c>
      <c r="D58" s="48">
        <v>1.5</v>
      </c>
      <c r="E58" s="40">
        <f>D58/$D$72*$E$72+1</f>
        <v>11.463636363636361</v>
      </c>
      <c r="F58" s="40">
        <f t="shared" si="6"/>
        <v>321</v>
      </c>
      <c r="G58" s="40">
        <v>517</v>
      </c>
      <c r="H58" s="24"/>
      <c r="I58" s="41">
        <f t="shared" si="5"/>
        <v>196</v>
      </c>
      <c r="J58" s="50"/>
      <c r="K58" s="28"/>
      <c r="L58" s="28"/>
      <c r="M58" s="28"/>
      <c r="N58" s="28"/>
      <c r="O58" s="28"/>
      <c r="P58" s="28"/>
      <c r="Q58" s="28"/>
    </row>
    <row r="59" spans="1:17" s="30" customFormat="1" ht="15">
      <c r="A59" s="33"/>
      <c r="B59" s="34" t="s">
        <v>406</v>
      </c>
      <c r="C59" s="36" t="s">
        <v>403</v>
      </c>
      <c r="D59" s="48">
        <v>4</v>
      </c>
      <c r="E59" s="40">
        <f>D59/$D$72*$E$72+1</f>
        <v>28.9030303030303</v>
      </c>
      <c r="F59" s="40">
        <f t="shared" si="6"/>
        <v>810</v>
      </c>
      <c r="G59" s="40">
        <v>850</v>
      </c>
      <c r="H59" s="40"/>
      <c r="I59" s="41">
        <f t="shared" si="5"/>
        <v>40</v>
      </c>
      <c r="J59" s="50"/>
      <c r="K59" s="28"/>
      <c r="L59" s="28"/>
      <c r="M59" s="28"/>
      <c r="N59" s="28"/>
      <c r="O59" s="28"/>
      <c r="P59" s="28"/>
      <c r="Q59" s="28"/>
    </row>
    <row r="60" spans="1:17" s="30" customFormat="1" ht="15">
      <c r="A60" s="33"/>
      <c r="B60" s="34" t="s">
        <v>354</v>
      </c>
      <c r="C60" s="36" t="s">
        <v>402</v>
      </c>
      <c r="D60" s="48">
        <v>0.9</v>
      </c>
      <c r="E60" s="40">
        <f>D60/$D$72*$E$72+2</f>
        <v>8.278181818181817</v>
      </c>
      <c r="F60" s="40">
        <f t="shared" si="6"/>
        <v>232</v>
      </c>
      <c r="G60" s="40">
        <v>132</v>
      </c>
      <c r="H60" s="40">
        <v>150</v>
      </c>
      <c r="I60" s="41">
        <f t="shared" si="5"/>
        <v>50</v>
      </c>
      <c r="J60" s="50" t="s">
        <v>431</v>
      </c>
      <c r="K60" s="28"/>
      <c r="L60" s="28"/>
      <c r="M60" s="28"/>
      <c r="N60" s="28"/>
      <c r="O60" s="28"/>
      <c r="P60" s="28"/>
      <c r="Q60" s="28"/>
    </row>
    <row r="61" spans="1:17" s="30" customFormat="1" ht="15">
      <c r="A61" s="33"/>
      <c r="B61" s="34" t="s">
        <v>426</v>
      </c>
      <c r="C61" s="36" t="s">
        <v>427</v>
      </c>
      <c r="D61" s="48">
        <f>1.1+1</f>
        <v>2.1</v>
      </c>
      <c r="E61" s="40">
        <f>D61/$D$72*$E$72+4</f>
        <v>18.64909090909091</v>
      </c>
      <c r="F61" s="40">
        <f t="shared" si="6"/>
        <v>523</v>
      </c>
      <c r="G61" s="40">
        <v>821</v>
      </c>
      <c r="H61" s="40"/>
      <c r="I61" s="41">
        <f t="shared" si="5"/>
        <v>298</v>
      </c>
      <c r="J61" s="50"/>
      <c r="K61" s="66"/>
      <c r="L61" s="28"/>
      <c r="M61" s="28"/>
      <c r="N61" s="28"/>
      <c r="O61" s="28"/>
      <c r="P61" s="28"/>
      <c r="Q61" s="28"/>
    </row>
    <row r="62" spans="1:17" s="30" customFormat="1" ht="15">
      <c r="A62" s="33"/>
      <c r="B62" s="34" t="s">
        <v>404</v>
      </c>
      <c r="C62" s="36" t="s">
        <v>396</v>
      </c>
      <c r="D62" s="48">
        <v>1</v>
      </c>
      <c r="E62" s="40">
        <f>D62/$D$72*$E$72+2</f>
        <v>8.975757575757575</v>
      </c>
      <c r="F62" s="40">
        <f t="shared" si="6"/>
        <v>252</v>
      </c>
      <c r="G62" s="40">
        <v>353</v>
      </c>
      <c r="H62" s="40"/>
      <c r="I62" s="41">
        <f t="shared" si="5"/>
        <v>101</v>
      </c>
      <c r="J62" s="50"/>
      <c r="K62" s="66"/>
      <c r="L62" s="28"/>
      <c r="M62" s="28"/>
      <c r="N62" s="28"/>
      <c r="O62" s="28"/>
      <c r="P62" s="28"/>
      <c r="Q62" s="28"/>
    </row>
    <row r="63" spans="1:17" s="30" customFormat="1" ht="15">
      <c r="A63" s="33"/>
      <c r="B63" s="34" t="s">
        <v>62</v>
      </c>
      <c r="C63" s="36" t="s">
        <v>405</v>
      </c>
      <c r="D63" s="48">
        <v>1</v>
      </c>
      <c r="E63" s="40">
        <f>D63/$D$72*$E$72+2</f>
        <v>8.975757575757575</v>
      </c>
      <c r="F63" s="40">
        <f t="shared" si="6"/>
        <v>252</v>
      </c>
      <c r="G63" s="40">
        <v>165</v>
      </c>
      <c r="H63" s="40">
        <v>87</v>
      </c>
      <c r="I63" s="41">
        <f t="shared" si="5"/>
        <v>0</v>
      </c>
      <c r="J63" s="50"/>
      <c r="K63" s="66"/>
      <c r="L63" s="66"/>
      <c r="M63" s="28"/>
      <c r="N63" s="28"/>
      <c r="O63" s="28"/>
      <c r="P63" s="28"/>
      <c r="Q63" s="28"/>
    </row>
    <row r="64" spans="1:17" s="30" customFormat="1" ht="15">
      <c r="A64" s="33"/>
      <c r="B64" s="34" t="s">
        <v>413</v>
      </c>
      <c r="C64" s="36" t="s">
        <v>410</v>
      </c>
      <c r="D64" s="48">
        <v>1</v>
      </c>
      <c r="E64" s="40">
        <f>D64/$D$72*$E$72+1</f>
        <v>7.975757575757575</v>
      </c>
      <c r="F64" s="40">
        <f t="shared" si="6"/>
        <v>224</v>
      </c>
      <c r="G64" s="40">
        <v>483</v>
      </c>
      <c r="H64" s="40"/>
      <c r="I64" s="41">
        <f t="shared" si="5"/>
        <v>259</v>
      </c>
      <c r="J64" s="50"/>
      <c r="K64" s="66"/>
      <c r="L64" s="66"/>
      <c r="M64" s="28"/>
      <c r="N64" s="28"/>
      <c r="O64" s="28"/>
      <c r="P64" s="28"/>
      <c r="Q64" s="28"/>
    </row>
    <row r="65" spans="1:17" s="30" customFormat="1" ht="15">
      <c r="A65" s="33"/>
      <c r="B65" s="34" t="s">
        <v>409</v>
      </c>
      <c r="C65" s="36" t="s">
        <v>428</v>
      </c>
      <c r="D65" s="48">
        <f>2+1.4</f>
        <v>3.4</v>
      </c>
      <c r="E65" s="40">
        <f>D65/$D$72*$E$72+3</f>
        <v>26.71757575757575</v>
      </c>
      <c r="F65" s="40">
        <f t="shared" si="6"/>
        <v>749</v>
      </c>
      <c r="G65" s="40">
        <v>1027</v>
      </c>
      <c r="H65" s="40">
        <v>-278</v>
      </c>
      <c r="I65" s="41">
        <f t="shared" si="5"/>
        <v>0</v>
      </c>
      <c r="J65" s="50"/>
      <c r="K65" s="66"/>
      <c r="L65" s="66"/>
      <c r="M65" s="28"/>
      <c r="N65" s="28"/>
      <c r="O65" s="28"/>
      <c r="P65" s="28"/>
      <c r="Q65" s="28"/>
    </row>
    <row r="66" spans="1:17" s="30" customFormat="1" ht="15">
      <c r="A66" s="33"/>
      <c r="B66" s="34" t="s">
        <v>375</v>
      </c>
      <c r="C66" s="36" t="s">
        <v>414</v>
      </c>
      <c r="D66" s="48">
        <v>2</v>
      </c>
      <c r="E66" s="40">
        <f>D66/$D$72*$E$72+2</f>
        <v>15.95151515151515</v>
      </c>
      <c r="F66" s="40">
        <f t="shared" si="6"/>
        <v>447</v>
      </c>
      <c r="G66" s="40">
        <v>385</v>
      </c>
      <c r="H66" s="40">
        <v>62</v>
      </c>
      <c r="I66" s="41">
        <f t="shared" si="5"/>
        <v>0</v>
      </c>
      <c r="J66" s="50"/>
      <c r="K66" s="66"/>
      <c r="L66" s="66"/>
      <c r="M66" s="28"/>
      <c r="N66" s="28"/>
      <c r="O66" s="28"/>
      <c r="P66" s="28"/>
      <c r="Q66" s="28"/>
    </row>
    <row r="67" spans="1:17" s="30" customFormat="1" ht="15">
      <c r="A67" s="33"/>
      <c r="B67" s="34" t="s">
        <v>308</v>
      </c>
      <c r="C67" s="36" t="s">
        <v>419</v>
      </c>
      <c r="D67" s="48">
        <v>1.5</v>
      </c>
      <c r="E67" s="40">
        <f>D67/$D$72*$E$72+2</f>
        <v>12.463636363636361</v>
      </c>
      <c r="F67" s="40">
        <f t="shared" si="6"/>
        <v>349</v>
      </c>
      <c r="G67" s="40">
        <v>693</v>
      </c>
      <c r="H67" s="40">
        <v>-344</v>
      </c>
      <c r="I67" s="41">
        <f t="shared" si="5"/>
        <v>0</v>
      </c>
      <c r="J67" s="50"/>
      <c r="K67" s="66"/>
      <c r="L67" s="66"/>
      <c r="M67" s="28"/>
      <c r="N67" s="28"/>
      <c r="O67" s="28"/>
      <c r="P67" s="28"/>
      <c r="Q67" s="28"/>
    </row>
    <row r="68" spans="1:17" s="30" customFormat="1" ht="15">
      <c r="A68" s="33"/>
      <c r="B68" s="34" t="s">
        <v>422</v>
      </c>
      <c r="C68" s="36" t="s">
        <v>31</v>
      </c>
      <c r="D68" s="48">
        <v>0.3</v>
      </c>
      <c r="E68" s="40">
        <f>D68/$D$72*$E$72+2</f>
        <v>4.092727272727272</v>
      </c>
      <c r="F68" s="40">
        <f t="shared" si="6"/>
        <v>115</v>
      </c>
      <c r="G68" s="40">
        <v>242</v>
      </c>
      <c r="H68" s="40">
        <v>-127</v>
      </c>
      <c r="I68" s="41">
        <f t="shared" si="5"/>
        <v>0</v>
      </c>
      <c r="J68" s="50" t="s">
        <v>458</v>
      </c>
      <c r="K68" s="66"/>
      <c r="L68" s="66"/>
      <c r="M68" s="28"/>
      <c r="N68" s="28"/>
      <c r="O68" s="28"/>
      <c r="P68" s="28"/>
      <c r="Q68" s="28"/>
    </row>
    <row r="69" spans="1:17" s="30" customFormat="1" ht="15">
      <c r="A69" s="33"/>
      <c r="B69" s="34" t="s">
        <v>76</v>
      </c>
      <c r="C69" s="36" t="s">
        <v>31</v>
      </c>
      <c r="D69" s="48">
        <v>0.7</v>
      </c>
      <c r="E69" s="40">
        <f>D69/$D$72*$E$72+2</f>
        <v>6.883030303030302</v>
      </c>
      <c r="F69" s="40">
        <f t="shared" si="6"/>
        <v>193</v>
      </c>
      <c r="G69" s="40">
        <v>183</v>
      </c>
      <c r="H69" s="40">
        <v>10</v>
      </c>
      <c r="I69" s="41">
        <f>H69-F69+G69</f>
        <v>0</v>
      </c>
      <c r="J69" s="50"/>
      <c r="K69" s="28"/>
      <c r="L69" s="66"/>
      <c r="M69" s="28"/>
      <c r="N69" s="28"/>
      <c r="O69" s="28"/>
      <c r="P69" s="28"/>
      <c r="Q69" s="28"/>
    </row>
    <row r="70" spans="1:17" s="30" customFormat="1" ht="15">
      <c r="A70" s="33"/>
      <c r="B70" s="34"/>
      <c r="C70" s="36"/>
      <c r="D70" s="48"/>
      <c r="E70" s="40">
        <f>D70/$D$72*$E$72</f>
        <v>0</v>
      </c>
      <c r="F70" s="40">
        <f>ROUNDUP(E70*28.4,)</f>
        <v>0</v>
      </c>
      <c r="G70" s="40"/>
      <c r="H70" s="40"/>
      <c r="I70" s="41">
        <f>H70-F70+G70</f>
        <v>0</v>
      </c>
      <c r="J70" s="50"/>
      <c r="K70" s="28"/>
      <c r="L70" s="66"/>
      <c r="M70" s="28"/>
      <c r="N70" s="28"/>
      <c r="O70" s="28"/>
      <c r="P70" s="28"/>
      <c r="Q70" s="28"/>
    </row>
    <row r="71" spans="1:17" s="30" customFormat="1" ht="15">
      <c r="A71" s="33"/>
      <c r="B71" s="34"/>
      <c r="C71" s="36"/>
      <c r="D71" s="48"/>
      <c r="E71" s="40">
        <f>D71/$D$72*$E$72</f>
        <v>0</v>
      </c>
      <c r="F71" s="40">
        <f>ROUNDUP(E71*28.4,)</f>
        <v>0</v>
      </c>
      <c r="G71" s="40"/>
      <c r="H71" s="40"/>
      <c r="I71" s="41">
        <f>H71-F71+G71</f>
        <v>0</v>
      </c>
      <c r="J71" s="50"/>
      <c r="K71" s="66"/>
      <c r="L71" s="28"/>
      <c r="M71" s="28"/>
      <c r="N71" s="28"/>
      <c r="O71" s="28"/>
      <c r="P71" s="28"/>
      <c r="Q71" s="28"/>
    </row>
    <row r="72" spans="2:11" ht="15">
      <c r="B72" s="34"/>
      <c r="C72" s="42"/>
      <c r="D72" s="48">
        <v>23.1</v>
      </c>
      <c r="E72" s="43">
        <f>187.14-26</f>
        <v>161.14</v>
      </c>
      <c r="F72" s="47">
        <f>SUM(F56:F71)</f>
        <v>5247</v>
      </c>
      <c r="G72" s="44">
        <f>SUM(G56:G71)</f>
        <v>6635</v>
      </c>
      <c r="H72" s="44"/>
      <c r="I72" s="45">
        <f>SUM(I56:I71)</f>
        <v>948</v>
      </c>
      <c r="J72" s="50"/>
      <c r="K72" s="31"/>
    </row>
    <row r="73" spans="4:5" ht="15">
      <c r="D73" s="49">
        <f>SUM(D56:D69)</f>
        <v>23.099999999999998</v>
      </c>
      <c r="E73" s="49">
        <f>SUM(E56:E69)</f>
        <v>187.13999999999996</v>
      </c>
    </row>
    <row r="76" spans="1:13" s="30" customFormat="1" ht="15">
      <c r="A76" s="33"/>
      <c r="B76" s="180" t="s">
        <v>417</v>
      </c>
      <c r="C76" s="181"/>
      <c r="D76" s="181"/>
      <c r="E76" s="181"/>
      <c r="F76" s="181"/>
      <c r="G76" s="182"/>
      <c r="H76" s="141"/>
      <c r="I76" s="142" t="s">
        <v>429</v>
      </c>
      <c r="J76" s="33"/>
      <c r="K76" s="28"/>
      <c r="L76" s="29"/>
      <c r="M76" s="98"/>
    </row>
    <row r="77" spans="1:12" s="30" customFormat="1" ht="23.25">
      <c r="A77" s="33"/>
      <c r="B77" s="34"/>
      <c r="C77" s="35"/>
      <c r="D77" s="46" t="s">
        <v>30</v>
      </c>
      <c r="E77" s="37" t="s">
        <v>27</v>
      </c>
      <c r="F77" s="36" t="s">
        <v>11</v>
      </c>
      <c r="G77" s="46" t="s">
        <v>52</v>
      </c>
      <c r="H77" s="38" t="s">
        <v>24</v>
      </c>
      <c r="I77" s="39" t="s">
        <v>28</v>
      </c>
      <c r="J77" s="33"/>
      <c r="K77" s="28"/>
      <c r="L77" s="29"/>
    </row>
    <row r="78" spans="1:12" s="30" customFormat="1" ht="15">
      <c r="A78" s="33"/>
      <c r="B78" s="34" t="s">
        <v>315</v>
      </c>
      <c r="C78" s="36"/>
      <c r="D78" s="48">
        <v>4</v>
      </c>
      <c r="E78" s="40">
        <f>D78/$D$90*$E$90+2</f>
        <v>29.093227091633466</v>
      </c>
      <c r="F78" s="40">
        <f>ROUNDUP(E78*28.1,)</f>
        <v>818</v>
      </c>
      <c r="G78" s="40">
        <f>F78</f>
        <v>818</v>
      </c>
      <c r="H78" s="40"/>
      <c r="I78" s="41">
        <f aca="true" t="shared" si="7" ref="I78:I88">H78-F78+G78</f>
        <v>0</v>
      </c>
      <c r="J78" s="50"/>
      <c r="K78" s="66"/>
      <c r="L78" s="29"/>
    </row>
    <row r="79" spans="1:17" s="30" customFormat="1" ht="15">
      <c r="A79" s="33"/>
      <c r="B79" s="34" t="s">
        <v>394</v>
      </c>
      <c r="C79" s="36"/>
      <c r="D79" s="48">
        <v>6.5</v>
      </c>
      <c r="E79" s="40">
        <f>D79/$D$90*$E$90+2</f>
        <v>46.02649402390438</v>
      </c>
      <c r="F79" s="40">
        <f aca="true" t="shared" si="8" ref="F79:F89">ROUNDUP(E79*28.1,)</f>
        <v>1294</v>
      </c>
      <c r="G79" s="40">
        <f>F79</f>
        <v>1294</v>
      </c>
      <c r="H79" s="40"/>
      <c r="I79" s="41">
        <f t="shared" si="7"/>
        <v>0</v>
      </c>
      <c r="J79" s="50"/>
      <c r="K79" s="28"/>
      <c r="L79" s="28"/>
      <c r="M79" s="28"/>
      <c r="N79" s="28"/>
      <c r="O79" s="28"/>
      <c r="P79" s="28"/>
      <c r="Q79" s="28"/>
    </row>
    <row r="80" spans="1:17" s="30" customFormat="1" ht="15">
      <c r="A80" s="33"/>
      <c r="B80" s="34" t="s">
        <v>418</v>
      </c>
      <c r="C80" s="36" t="s">
        <v>57</v>
      </c>
      <c r="D80" s="48">
        <v>0.6</v>
      </c>
      <c r="E80" s="40">
        <f>D80/$D$90*$E$90+2/3</f>
        <v>4.730650730411686</v>
      </c>
      <c r="F80" s="40">
        <f t="shared" si="8"/>
        <v>133</v>
      </c>
      <c r="G80" s="40">
        <v>120</v>
      </c>
      <c r="H80" s="24">
        <v>13</v>
      </c>
      <c r="I80" s="41">
        <f t="shared" si="7"/>
        <v>0</v>
      </c>
      <c r="J80" s="50"/>
      <c r="K80" s="28"/>
      <c r="L80" s="28"/>
      <c r="M80" s="28"/>
      <c r="N80" s="28"/>
      <c r="O80" s="28"/>
      <c r="P80" s="28"/>
      <c r="Q80" s="28"/>
    </row>
    <row r="81" spans="1:17" s="30" customFormat="1" ht="15">
      <c r="A81" s="33"/>
      <c r="B81" s="34" t="s">
        <v>300</v>
      </c>
      <c r="C81" s="36" t="s">
        <v>57</v>
      </c>
      <c r="D81" s="48">
        <v>0.6</v>
      </c>
      <c r="E81" s="40">
        <f>D81/$D$90*$E$90+2/3</f>
        <v>4.730650730411686</v>
      </c>
      <c r="F81" s="40">
        <f t="shared" si="8"/>
        <v>133</v>
      </c>
      <c r="G81" s="40">
        <v>421</v>
      </c>
      <c r="H81" s="40"/>
      <c r="I81" s="41">
        <f t="shared" si="7"/>
        <v>288</v>
      </c>
      <c r="J81" s="50"/>
      <c r="K81" s="28"/>
      <c r="L81" s="28"/>
      <c r="M81" s="28"/>
      <c r="N81" s="28"/>
      <c r="O81" s="28"/>
      <c r="P81" s="28"/>
      <c r="Q81" s="28"/>
    </row>
    <row r="82" spans="1:17" s="30" customFormat="1" ht="15">
      <c r="A82" s="33"/>
      <c r="B82" s="34" t="s">
        <v>16</v>
      </c>
      <c r="C82" s="36"/>
      <c r="D82" s="48">
        <f>0.5+0.5</f>
        <v>1</v>
      </c>
      <c r="E82" s="40">
        <f>D82/$D$90*$E$90+2/3+1</f>
        <v>8.439973439575034</v>
      </c>
      <c r="F82" s="40">
        <f t="shared" si="8"/>
        <v>238</v>
      </c>
      <c r="G82" s="40"/>
      <c r="H82" s="40"/>
      <c r="I82" s="41"/>
      <c r="J82" s="50"/>
      <c r="K82" s="28"/>
      <c r="L82" s="28"/>
      <c r="M82" s="28"/>
      <c r="N82" s="28"/>
      <c r="O82" s="28"/>
      <c r="P82" s="28"/>
      <c r="Q82" s="28"/>
    </row>
    <row r="83" spans="1:17" s="30" customFormat="1" ht="15">
      <c r="A83" s="33"/>
      <c r="B83" s="34" t="s">
        <v>72</v>
      </c>
      <c r="C83" s="36" t="s">
        <v>423</v>
      </c>
      <c r="D83" s="48">
        <f>0.5+1</f>
        <v>1.5</v>
      </c>
      <c r="E83" s="40">
        <f>D83/$D$90*$E$90+1+2</f>
        <v>13.159960159362548</v>
      </c>
      <c r="F83" s="40">
        <f t="shared" si="8"/>
        <v>370</v>
      </c>
      <c r="G83" s="40">
        <v>892</v>
      </c>
      <c r="H83" s="40"/>
      <c r="I83" s="41">
        <f t="shared" si="7"/>
        <v>522</v>
      </c>
      <c r="J83" s="50"/>
      <c r="K83" s="66"/>
      <c r="L83" s="28"/>
      <c r="M83" s="28"/>
      <c r="N83" s="28"/>
      <c r="O83" s="28"/>
      <c r="P83" s="28"/>
      <c r="Q83" s="28"/>
    </row>
    <row r="84" spans="1:17" s="30" customFormat="1" ht="15">
      <c r="A84" s="33"/>
      <c r="B84" s="34" t="s">
        <v>420</v>
      </c>
      <c r="C84" s="36" t="s">
        <v>389</v>
      </c>
      <c r="D84" s="48">
        <v>1</v>
      </c>
      <c r="E84" s="40">
        <f>D84/$D$90*$E$90+2</f>
        <v>8.773306772908366</v>
      </c>
      <c r="F84" s="40">
        <f t="shared" si="8"/>
        <v>247</v>
      </c>
      <c r="G84" s="40">
        <v>290</v>
      </c>
      <c r="H84" s="40"/>
      <c r="I84" s="41">
        <f t="shared" si="7"/>
        <v>43</v>
      </c>
      <c r="J84" s="50"/>
      <c r="K84" s="66"/>
      <c r="L84" s="28"/>
      <c r="M84" s="28"/>
      <c r="N84" s="28"/>
      <c r="O84" s="28"/>
      <c r="P84" s="28"/>
      <c r="Q84" s="28"/>
    </row>
    <row r="85" spans="1:17" s="30" customFormat="1" ht="15">
      <c r="A85" s="33"/>
      <c r="B85" s="34" t="s">
        <v>421</v>
      </c>
      <c r="C85" s="36" t="s">
        <v>390</v>
      </c>
      <c r="D85" s="48">
        <v>8</v>
      </c>
      <c r="E85" s="40">
        <f>D85/$D$90*$E$90+8</f>
        <v>62.18645418326693</v>
      </c>
      <c r="F85" s="40">
        <f t="shared" si="8"/>
        <v>1748</v>
      </c>
      <c r="G85" s="40">
        <v>1982</v>
      </c>
      <c r="H85" s="40"/>
      <c r="I85" s="41">
        <f t="shared" si="7"/>
        <v>234</v>
      </c>
      <c r="J85" s="50"/>
      <c r="K85" s="66"/>
      <c r="L85" s="66"/>
      <c r="M85" s="28"/>
      <c r="N85" s="28"/>
      <c r="O85" s="28"/>
      <c r="P85" s="28"/>
      <c r="Q85" s="28"/>
    </row>
    <row r="86" spans="1:17" s="30" customFormat="1" ht="15">
      <c r="A86" s="33"/>
      <c r="B86" s="34" t="s">
        <v>43</v>
      </c>
      <c r="C86" s="36" t="s">
        <v>391</v>
      </c>
      <c r="D86" s="48">
        <v>1</v>
      </c>
      <c r="E86" s="40">
        <f>D86/$D$90*$E$90+2</f>
        <v>8.773306772908366</v>
      </c>
      <c r="F86" s="40">
        <f t="shared" si="8"/>
        <v>247</v>
      </c>
      <c r="G86" s="40">
        <v>582</v>
      </c>
      <c r="H86" s="40">
        <f>239-200</f>
        <v>39</v>
      </c>
      <c r="I86" s="41">
        <f t="shared" si="7"/>
        <v>374</v>
      </c>
      <c r="J86" s="50"/>
      <c r="K86" s="66"/>
      <c r="L86" s="66"/>
      <c r="M86" s="28"/>
      <c r="N86" s="28"/>
      <c r="O86" s="28"/>
      <c r="P86" s="28"/>
      <c r="Q86" s="28"/>
    </row>
    <row r="87" spans="1:17" s="30" customFormat="1" ht="15">
      <c r="A87" s="33"/>
      <c r="B87" s="34" t="s">
        <v>393</v>
      </c>
      <c r="C87" s="36" t="s">
        <v>392</v>
      </c>
      <c r="D87" s="48">
        <v>0.5</v>
      </c>
      <c r="E87" s="40">
        <f>D87/$D$90*$E$90+2</f>
        <v>5.386653386454183</v>
      </c>
      <c r="F87" s="40">
        <f t="shared" si="8"/>
        <v>152</v>
      </c>
      <c r="G87" s="40">
        <v>273</v>
      </c>
      <c r="H87" s="40"/>
      <c r="I87" s="41">
        <f t="shared" si="7"/>
        <v>121</v>
      </c>
      <c r="J87" s="50"/>
      <c r="K87" s="28"/>
      <c r="L87" s="66"/>
      <c r="M87" s="28"/>
      <c r="N87" s="28"/>
      <c r="O87" s="28"/>
      <c r="P87" s="28"/>
      <c r="Q87" s="28"/>
    </row>
    <row r="88" spans="1:17" s="30" customFormat="1" ht="15">
      <c r="A88" s="33"/>
      <c r="B88" s="34" t="s">
        <v>422</v>
      </c>
      <c r="C88" s="36" t="s">
        <v>31</v>
      </c>
      <c r="D88" s="48">
        <v>0.4</v>
      </c>
      <c r="E88" s="40">
        <f>D88/$D$90*$E$90+2</f>
        <v>4.709322709163347</v>
      </c>
      <c r="F88" s="40">
        <f t="shared" si="8"/>
        <v>133</v>
      </c>
      <c r="G88" s="40">
        <v>348</v>
      </c>
      <c r="H88" s="40">
        <v>-215</v>
      </c>
      <c r="I88" s="41">
        <f t="shared" si="7"/>
        <v>0</v>
      </c>
      <c r="J88" s="50" t="s">
        <v>457</v>
      </c>
      <c r="K88" s="28"/>
      <c r="L88" s="66"/>
      <c r="M88" s="28"/>
      <c r="N88" s="28"/>
      <c r="O88" s="28"/>
      <c r="P88" s="28"/>
      <c r="Q88" s="28"/>
    </row>
    <row r="89" spans="1:17" s="30" customFormat="1" ht="15">
      <c r="A89" s="33"/>
      <c r="B89" s="34"/>
      <c r="C89" s="36"/>
      <c r="D89" s="48"/>
      <c r="E89" s="40">
        <f>D89/$D$90*$E$90</f>
        <v>0</v>
      </c>
      <c r="F89" s="40">
        <f t="shared" si="8"/>
        <v>0</v>
      </c>
      <c r="G89" s="40"/>
      <c r="H89" s="40"/>
      <c r="I89" s="41">
        <f>H89-F89+G89</f>
        <v>0</v>
      </c>
      <c r="J89" s="50"/>
      <c r="K89" s="66"/>
      <c r="L89" s="28"/>
      <c r="M89" s="28"/>
      <c r="N89" s="28"/>
      <c r="O89" s="28"/>
      <c r="P89" s="28"/>
      <c r="Q89" s="28"/>
    </row>
    <row r="90" spans="2:11" ht="15">
      <c r="B90" s="34"/>
      <c r="C90" s="42"/>
      <c r="D90" s="48">
        <v>25.1</v>
      </c>
      <c r="E90" s="43">
        <f>196.01-24-2</f>
        <v>170.01</v>
      </c>
      <c r="F90" s="47">
        <f>SUM(F78:F89)</f>
        <v>5513</v>
      </c>
      <c r="G90" s="44">
        <f>SUM(G78:G89)</f>
        <v>7020</v>
      </c>
      <c r="H90" s="44"/>
      <c r="I90" s="45">
        <f>SUM(I78:I89)</f>
        <v>1582</v>
      </c>
      <c r="J90" s="50"/>
      <c r="K90" s="31"/>
    </row>
    <row r="91" spans="4:6" ht="15">
      <c r="D91" s="49">
        <f>SUM(D78:D88)</f>
        <v>25.099999999999998</v>
      </c>
      <c r="E91" s="65">
        <f>SUM(E78:E89)</f>
        <v>196.01000000000002</v>
      </c>
      <c r="F91" s="65">
        <f>196.01/25.1</f>
        <v>7.809163346613545</v>
      </c>
    </row>
    <row r="92" spans="4:6" ht="15">
      <c r="D92" s="49"/>
      <c r="E92" s="173"/>
      <c r="F92" s="173"/>
    </row>
    <row r="94" spans="4:6" ht="15">
      <c r="D94" s="49"/>
      <c r="E94" s="173"/>
      <c r="F94" s="173"/>
    </row>
    <row r="96" spans="1:13" s="30" customFormat="1" ht="15">
      <c r="A96" s="33"/>
      <c r="B96" s="177" t="s">
        <v>395</v>
      </c>
      <c r="C96" s="178"/>
      <c r="D96" s="178"/>
      <c r="E96" s="178"/>
      <c r="F96" s="178"/>
      <c r="G96" s="179"/>
      <c r="H96" s="139"/>
      <c r="I96" s="140" t="s">
        <v>416</v>
      </c>
      <c r="J96" s="33"/>
      <c r="K96" s="28"/>
      <c r="L96" s="29"/>
      <c r="M96" s="98"/>
    </row>
    <row r="97" spans="1:12" s="30" customFormat="1" ht="23.25">
      <c r="A97" s="33"/>
      <c r="B97" s="34"/>
      <c r="C97" s="35"/>
      <c r="D97" s="46" t="s">
        <v>30</v>
      </c>
      <c r="E97" s="37" t="s">
        <v>27</v>
      </c>
      <c r="F97" s="36" t="s">
        <v>11</v>
      </c>
      <c r="G97" s="46" t="s">
        <v>52</v>
      </c>
      <c r="H97" s="38" t="s">
        <v>24</v>
      </c>
      <c r="I97" s="39" t="s">
        <v>28</v>
      </c>
      <c r="J97" s="33"/>
      <c r="K97" s="28"/>
      <c r="L97" s="29"/>
    </row>
    <row r="98" spans="1:12" s="30" customFormat="1" ht="15">
      <c r="A98" s="33"/>
      <c r="B98" s="34" t="s">
        <v>152</v>
      </c>
      <c r="C98" s="36" t="s">
        <v>361</v>
      </c>
      <c r="D98" s="48">
        <v>1.5</v>
      </c>
      <c r="E98" s="40">
        <f>D98/$D$113*$E$113+2</f>
        <v>12.457692307692309</v>
      </c>
      <c r="F98" s="40">
        <f>ROUNDUP(E98*28.5,)</f>
        <v>356</v>
      </c>
      <c r="G98" s="40">
        <v>428</v>
      </c>
      <c r="H98" s="40">
        <v>22</v>
      </c>
      <c r="I98" s="41">
        <f aca="true" t="shared" si="9" ref="I98:I110">H98-F98+G98</f>
        <v>94</v>
      </c>
      <c r="J98" s="50"/>
      <c r="K98" s="66"/>
      <c r="L98" s="29"/>
    </row>
    <row r="99" spans="1:17" s="30" customFormat="1" ht="15">
      <c r="A99" s="33"/>
      <c r="B99" s="34" t="s">
        <v>336</v>
      </c>
      <c r="C99" s="36" t="s">
        <v>370</v>
      </c>
      <c r="D99" s="48">
        <v>0.5</v>
      </c>
      <c r="E99" s="40">
        <f>D99/$D$113*$E$113+2</f>
        <v>5.485897435897435</v>
      </c>
      <c r="F99" s="40">
        <f aca="true" t="shared" si="10" ref="F99:F112">ROUNDUP(E99*28.5,)</f>
        <v>157</v>
      </c>
      <c r="G99" s="40">
        <v>470</v>
      </c>
      <c r="H99" s="40">
        <v>-313</v>
      </c>
      <c r="I99" s="41">
        <f t="shared" si="9"/>
        <v>0</v>
      </c>
      <c r="J99" s="50" t="s">
        <v>454</v>
      </c>
      <c r="K99" s="28"/>
      <c r="L99" s="28"/>
      <c r="M99" s="28"/>
      <c r="N99" s="28"/>
      <c r="O99" s="28"/>
      <c r="P99" s="28"/>
      <c r="Q99" s="28"/>
    </row>
    <row r="100" spans="1:17" s="30" customFormat="1" ht="15">
      <c r="A100" s="33"/>
      <c r="B100" s="34" t="s">
        <v>34</v>
      </c>
      <c r="C100" s="36" t="s">
        <v>368</v>
      </c>
      <c r="D100" s="48">
        <v>3.8</v>
      </c>
      <c r="E100" s="40">
        <f>D100/$D$113*$E$113+2</f>
        <v>28.49282051282051</v>
      </c>
      <c r="F100" s="40">
        <f t="shared" si="10"/>
        <v>813</v>
      </c>
      <c r="G100" s="40">
        <v>956</v>
      </c>
      <c r="H100" s="24">
        <v>-143</v>
      </c>
      <c r="I100" s="41">
        <f t="shared" si="9"/>
        <v>0</v>
      </c>
      <c r="J100" s="50"/>
      <c r="K100" s="28"/>
      <c r="L100" s="28"/>
      <c r="M100" s="28"/>
      <c r="N100" s="28"/>
      <c r="O100" s="28"/>
      <c r="P100" s="28"/>
      <c r="Q100" s="28"/>
    </row>
    <row r="101" spans="1:17" s="30" customFormat="1" ht="15">
      <c r="A101" s="33"/>
      <c r="B101" s="34" t="s">
        <v>207</v>
      </c>
      <c r="C101" s="36" t="s">
        <v>369</v>
      </c>
      <c r="D101" s="48">
        <v>1.2</v>
      </c>
      <c r="E101" s="40">
        <f>D101/$D$113*$E$113+2/3</f>
        <v>9.03282051282051</v>
      </c>
      <c r="F101" s="40">
        <f t="shared" si="10"/>
        <v>258</v>
      </c>
      <c r="G101" s="40">
        <v>-465</v>
      </c>
      <c r="H101" s="40">
        <v>723</v>
      </c>
      <c r="I101" s="41">
        <f t="shared" si="9"/>
        <v>0</v>
      </c>
      <c r="J101" s="50"/>
      <c r="K101" s="28"/>
      <c r="L101" s="28"/>
      <c r="M101" s="28"/>
      <c r="N101" s="28"/>
      <c r="O101" s="28"/>
      <c r="P101" s="28"/>
      <c r="Q101" s="28"/>
    </row>
    <row r="102" spans="1:17" s="30" customFormat="1" ht="15">
      <c r="A102" s="33"/>
      <c r="B102" s="34" t="s">
        <v>49</v>
      </c>
      <c r="C102" s="36" t="s">
        <v>369</v>
      </c>
      <c r="D102" s="48">
        <v>3.7</v>
      </c>
      <c r="E102" s="40">
        <f>D102/$D$113*$E$113+2/3</f>
        <v>26.462307692307697</v>
      </c>
      <c r="F102" s="40">
        <f t="shared" si="10"/>
        <v>755</v>
      </c>
      <c r="G102" s="40"/>
      <c r="H102" s="40">
        <v>755</v>
      </c>
      <c r="I102" s="41">
        <f t="shared" si="9"/>
        <v>0</v>
      </c>
      <c r="J102" s="50"/>
      <c r="K102" s="28"/>
      <c r="L102" s="28"/>
      <c r="M102" s="28"/>
      <c r="N102" s="28"/>
      <c r="O102" s="28"/>
      <c r="P102" s="28"/>
      <c r="Q102" s="28"/>
    </row>
    <row r="103" spans="1:17" s="30" customFormat="1" ht="15">
      <c r="A103" s="33"/>
      <c r="B103" s="34" t="s">
        <v>342</v>
      </c>
      <c r="C103" s="36" t="s">
        <v>369</v>
      </c>
      <c r="D103" s="48">
        <v>1.9</v>
      </c>
      <c r="E103" s="40">
        <f>D103/$D$113*$E$113+2/3</f>
        <v>13.913076923076922</v>
      </c>
      <c r="F103" s="40">
        <f t="shared" si="10"/>
        <v>397</v>
      </c>
      <c r="G103" s="40">
        <v>601</v>
      </c>
      <c r="H103" s="40">
        <v>-204</v>
      </c>
      <c r="I103" s="41">
        <f t="shared" si="9"/>
        <v>0</v>
      </c>
      <c r="J103" s="50" t="s">
        <v>453</v>
      </c>
      <c r="K103" s="66"/>
      <c r="L103" s="28"/>
      <c r="M103" s="28"/>
      <c r="N103" s="28"/>
      <c r="O103" s="28"/>
      <c r="P103" s="28"/>
      <c r="Q103" s="28"/>
    </row>
    <row r="104" spans="1:17" s="30" customFormat="1" ht="15">
      <c r="A104" s="33"/>
      <c r="B104" s="34" t="s">
        <v>45</v>
      </c>
      <c r="C104" s="36" t="s">
        <v>400</v>
      </c>
      <c r="D104" s="48">
        <f>1.2+0.6</f>
        <v>1.7999999999999998</v>
      </c>
      <c r="E104" s="40">
        <f>D104/$D$113*$E$113+4</f>
        <v>16.549230769230768</v>
      </c>
      <c r="F104" s="40">
        <f>ROUNDUP(E104*28.5,)</f>
        <v>472</v>
      </c>
      <c r="G104" s="40"/>
      <c r="H104" s="40">
        <v>472</v>
      </c>
      <c r="I104" s="41">
        <f t="shared" si="9"/>
        <v>0</v>
      </c>
      <c r="J104" s="50" t="s">
        <v>433</v>
      </c>
      <c r="K104" s="66"/>
      <c r="L104" s="28"/>
      <c r="M104" s="28"/>
      <c r="N104" s="28"/>
      <c r="O104" s="28"/>
      <c r="P104" s="28"/>
      <c r="Q104" s="28"/>
    </row>
    <row r="105" spans="1:17" s="30" customFormat="1" ht="15">
      <c r="A105" s="33"/>
      <c r="B105" s="34" t="s">
        <v>377</v>
      </c>
      <c r="C105" s="36" t="s">
        <v>57</v>
      </c>
      <c r="D105" s="48">
        <v>0.6</v>
      </c>
      <c r="E105" s="40">
        <f>D105/$D$113*$E$113+2/7</f>
        <v>4.468791208791208</v>
      </c>
      <c r="F105" s="40">
        <f t="shared" si="10"/>
        <v>128</v>
      </c>
      <c r="G105" s="40"/>
      <c r="H105" s="40">
        <v>128</v>
      </c>
      <c r="I105" s="41">
        <f t="shared" si="9"/>
        <v>0</v>
      </c>
      <c r="J105" s="50"/>
      <c r="K105" s="66"/>
      <c r="L105" s="66">
        <f>I105+I127</f>
        <v>0</v>
      </c>
      <c r="M105" s="28"/>
      <c r="N105" s="28"/>
      <c r="O105" s="28"/>
      <c r="P105" s="28"/>
      <c r="Q105" s="28"/>
    </row>
    <row r="106" spans="1:17" s="30" customFormat="1" ht="15">
      <c r="A106" s="33"/>
      <c r="B106" s="34" t="s">
        <v>153</v>
      </c>
      <c r="C106" s="36" t="s">
        <v>57</v>
      </c>
      <c r="D106" s="48">
        <f>0.6+0.2+0.6+1.8+1.3</f>
        <v>4.5</v>
      </c>
      <c r="E106" s="40">
        <f aca="true" t="shared" si="11" ref="E106:E111">D106/$D$113*$E$113+2/7</f>
        <v>31.658791208791207</v>
      </c>
      <c r="F106" s="40">
        <f t="shared" si="10"/>
        <v>903</v>
      </c>
      <c r="G106" s="40">
        <f>-1250+989</f>
        <v>-261</v>
      </c>
      <c r="H106" s="40">
        <f>623</f>
        <v>623</v>
      </c>
      <c r="I106" s="41">
        <f t="shared" si="9"/>
        <v>-541</v>
      </c>
      <c r="J106" s="50" t="s">
        <v>399</v>
      </c>
      <c r="K106" s="66"/>
      <c r="L106" s="66">
        <f>I106+I128</f>
        <v>-671</v>
      </c>
      <c r="M106" s="28"/>
      <c r="N106" s="28"/>
      <c r="O106" s="28"/>
      <c r="P106" s="28"/>
      <c r="Q106" s="28"/>
    </row>
    <row r="107" spans="1:17" s="30" customFormat="1" ht="15">
      <c r="A107" s="33"/>
      <c r="B107" s="34" t="s">
        <v>333</v>
      </c>
      <c r="C107" s="36" t="s">
        <v>57</v>
      </c>
      <c r="D107" s="48">
        <v>0.5</v>
      </c>
      <c r="E107" s="40">
        <f t="shared" si="11"/>
        <v>3.771611721611721</v>
      </c>
      <c r="F107" s="40">
        <f t="shared" si="10"/>
        <v>108</v>
      </c>
      <c r="G107" s="40"/>
      <c r="H107" s="40">
        <v>108</v>
      </c>
      <c r="I107" s="41">
        <f t="shared" si="9"/>
        <v>0</v>
      </c>
      <c r="J107" s="50"/>
      <c r="K107" s="28"/>
      <c r="L107" s="66">
        <f>I107+I131</f>
        <v>0</v>
      </c>
      <c r="M107" s="28"/>
      <c r="N107" s="28"/>
      <c r="O107" s="28"/>
      <c r="P107" s="28"/>
      <c r="Q107" s="28"/>
    </row>
    <row r="108" spans="1:17" s="30" customFormat="1" ht="15">
      <c r="A108" s="33"/>
      <c r="B108" s="34" t="s">
        <v>334</v>
      </c>
      <c r="C108" s="36" t="s">
        <v>57</v>
      </c>
      <c r="D108" s="48">
        <v>0.6</v>
      </c>
      <c r="E108" s="40">
        <f t="shared" si="11"/>
        <v>4.468791208791208</v>
      </c>
      <c r="F108" s="40">
        <f t="shared" si="10"/>
        <v>128</v>
      </c>
      <c r="G108" s="40"/>
      <c r="H108" s="40">
        <v>128</v>
      </c>
      <c r="I108" s="41">
        <f t="shared" si="9"/>
        <v>0</v>
      </c>
      <c r="J108" s="50"/>
      <c r="K108" s="28"/>
      <c r="L108" s="66">
        <f>I108+I133</f>
        <v>0</v>
      </c>
      <c r="M108" s="28"/>
      <c r="N108" s="28"/>
      <c r="O108" s="28"/>
      <c r="P108" s="28"/>
      <c r="Q108" s="28"/>
    </row>
    <row r="109" spans="1:17" s="30" customFormat="1" ht="15">
      <c r="A109" s="33"/>
      <c r="B109" s="34" t="s">
        <v>70</v>
      </c>
      <c r="C109" s="36" t="s">
        <v>57</v>
      </c>
      <c r="D109" s="48">
        <v>1.9</v>
      </c>
      <c r="E109" s="40">
        <f t="shared" si="11"/>
        <v>13.532124542124542</v>
      </c>
      <c r="F109" s="40">
        <f t="shared" si="10"/>
        <v>386</v>
      </c>
      <c r="G109" s="40">
        <v>591</v>
      </c>
      <c r="H109" s="40">
        <f>34-239</f>
        <v>-205</v>
      </c>
      <c r="I109" s="41">
        <f t="shared" si="9"/>
        <v>0</v>
      </c>
      <c r="J109" s="50" t="s">
        <v>444</v>
      </c>
      <c r="K109" s="28"/>
      <c r="L109" s="28"/>
      <c r="M109" s="28"/>
      <c r="N109" s="28"/>
      <c r="O109" s="28"/>
      <c r="P109" s="28"/>
      <c r="Q109" s="28"/>
    </row>
    <row r="110" spans="1:17" s="30" customFormat="1" ht="15">
      <c r="A110" s="33"/>
      <c r="B110" s="34" t="s">
        <v>397</v>
      </c>
      <c r="C110" s="36" t="s">
        <v>57</v>
      </c>
      <c r="D110" s="48">
        <v>0.5</v>
      </c>
      <c r="E110" s="40">
        <f t="shared" si="11"/>
        <v>3.771611721611721</v>
      </c>
      <c r="F110" s="40">
        <f t="shared" si="10"/>
        <v>108</v>
      </c>
      <c r="G110" s="40">
        <v>70</v>
      </c>
      <c r="H110" s="40">
        <v>38</v>
      </c>
      <c r="I110" s="41">
        <f t="shared" si="9"/>
        <v>0</v>
      </c>
      <c r="J110" s="50"/>
      <c r="K110" s="28"/>
      <c r="L110" s="28"/>
      <c r="M110" s="28"/>
      <c r="N110" s="28"/>
      <c r="O110" s="28"/>
      <c r="P110" s="28"/>
      <c r="Q110" s="28"/>
    </row>
    <row r="111" spans="1:17" s="30" customFormat="1" ht="15">
      <c r="A111" s="33"/>
      <c r="B111" s="34" t="s">
        <v>16</v>
      </c>
      <c r="C111" s="36" t="s">
        <v>57</v>
      </c>
      <c r="D111" s="48">
        <v>0.4</v>
      </c>
      <c r="E111" s="40">
        <f t="shared" si="11"/>
        <v>3.0744322344322343</v>
      </c>
      <c r="F111" s="40">
        <f t="shared" si="10"/>
        <v>88</v>
      </c>
      <c r="G111" s="40"/>
      <c r="H111" s="40"/>
      <c r="I111" s="41"/>
      <c r="J111" s="50"/>
      <c r="K111" s="28"/>
      <c r="L111" s="28"/>
      <c r="M111" s="28"/>
      <c r="N111" s="28"/>
      <c r="O111" s="28"/>
      <c r="P111" s="28"/>
      <c r="Q111" s="28"/>
    </row>
    <row r="112" spans="1:17" s="30" customFormat="1" ht="15">
      <c r="A112" s="33"/>
      <c r="B112" s="34"/>
      <c r="C112" s="36"/>
      <c r="D112" s="48"/>
      <c r="E112" s="40">
        <f>D112/$D$113*$E$113</f>
        <v>0</v>
      </c>
      <c r="F112" s="40">
        <f t="shared" si="10"/>
        <v>0</v>
      </c>
      <c r="G112" s="40"/>
      <c r="H112" s="40"/>
      <c r="I112" s="41">
        <f>H112-F112+G112</f>
        <v>0</v>
      </c>
      <c r="J112" s="50"/>
      <c r="K112" s="66"/>
      <c r="L112" s="28"/>
      <c r="M112" s="28"/>
      <c r="N112" s="28"/>
      <c r="O112" s="28"/>
      <c r="P112" s="28"/>
      <c r="Q112" s="28"/>
    </row>
    <row r="113" spans="2:11" ht="15">
      <c r="B113" s="34"/>
      <c r="C113" s="42"/>
      <c r="D113" s="48">
        <v>23.4</v>
      </c>
      <c r="E113" s="43">
        <f>177.14-14</f>
        <v>163.14</v>
      </c>
      <c r="F113" s="47">
        <f>SUM(F98:F112)</f>
        <v>5057</v>
      </c>
      <c r="G113" s="44">
        <f>SUM(G98:G112)</f>
        <v>2390</v>
      </c>
      <c r="H113" s="44"/>
      <c r="I113" s="45">
        <f>SUM(I98:I112)</f>
        <v>-447</v>
      </c>
      <c r="J113" s="50"/>
      <c r="K113" s="31"/>
    </row>
    <row r="114" spans="4:5" ht="15">
      <c r="D114" s="49"/>
      <c r="E114" s="65"/>
    </row>
    <row r="119" spans="1:13" s="30" customFormat="1" ht="15">
      <c r="A119" s="33"/>
      <c r="B119" s="195" t="s">
        <v>373</v>
      </c>
      <c r="C119" s="196"/>
      <c r="D119" s="196"/>
      <c r="E119" s="196"/>
      <c r="F119" s="196"/>
      <c r="G119" s="197"/>
      <c r="H119" s="137"/>
      <c r="I119" s="138" t="s">
        <v>374</v>
      </c>
      <c r="J119" s="33"/>
      <c r="K119" s="28"/>
      <c r="L119" s="29"/>
      <c r="M119" s="98"/>
    </row>
    <row r="120" spans="1:12" s="30" customFormat="1" ht="23.25">
      <c r="A120" s="33"/>
      <c r="B120" s="34"/>
      <c r="C120" s="35"/>
      <c r="D120" s="46" t="s">
        <v>30</v>
      </c>
      <c r="E120" s="37" t="s">
        <v>27</v>
      </c>
      <c r="F120" s="36" t="s">
        <v>11</v>
      </c>
      <c r="G120" s="46" t="s">
        <v>52</v>
      </c>
      <c r="H120" s="38" t="s">
        <v>24</v>
      </c>
      <c r="I120" s="39" t="s">
        <v>28</v>
      </c>
      <c r="J120" s="33"/>
      <c r="K120" s="28"/>
      <c r="L120" s="29"/>
    </row>
    <row r="121" spans="1:12" s="30" customFormat="1" ht="15">
      <c r="A121" s="33"/>
      <c r="B121" s="34" t="s">
        <v>46</v>
      </c>
      <c r="C121" s="36" t="s">
        <v>327</v>
      </c>
      <c r="D121" s="48">
        <v>1.3</v>
      </c>
      <c r="E121" s="40">
        <f>D121/$D$136*$E$136</f>
        <v>9.053742331288342</v>
      </c>
      <c r="F121" s="40">
        <f>ROUNDUP(E121*28.5,)</f>
        <v>259</v>
      </c>
      <c r="G121" s="40">
        <v>294</v>
      </c>
      <c r="H121" s="40">
        <v>144</v>
      </c>
      <c r="I121" s="41">
        <f aca="true" t="shared" si="12" ref="I121:I132">H121-F121+G121</f>
        <v>179</v>
      </c>
      <c r="J121" s="50"/>
      <c r="K121" s="66"/>
      <c r="L121" s="29"/>
    </row>
    <row r="122" spans="1:17" s="30" customFormat="1" ht="15">
      <c r="A122" s="33"/>
      <c r="B122" s="34" t="s">
        <v>317</v>
      </c>
      <c r="C122" s="36" t="s">
        <v>327</v>
      </c>
      <c r="D122" s="48">
        <v>1.3</v>
      </c>
      <c r="E122" s="40">
        <f aca="true" t="shared" si="13" ref="E122:E135">D122/$D$136*$E$136</f>
        <v>9.053742331288342</v>
      </c>
      <c r="F122" s="40">
        <f aca="true" t="shared" si="14" ref="F122:F135">ROUNDUP(E122*28.5,)</f>
        <v>259</v>
      </c>
      <c r="G122" s="40">
        <v>-389</v>
      </c>
      <c r="H122" s="40">
        <f>449+200</f>
        <v>649</v>
      </c>
      <c r="I122" s="41">
        <f t="shared" si="12"/>
        <v>1</v>
      </c>
      <c r="J122" s="50"/>
      <c r="K122" s="28"/>
      <c r="L122" s="28"/>
      <c r="M122" s="28"/>
      <c r="N122" s="28"/>
      <c r="O122" s="28"/>
      <c r="P122" s="28"/>
      <c r="Q122" s="28"/>
    </row>
    <row r="123" spans="1:17" s="30" customFormat="1" ht="15">
      <c r="A123" s="33"/>
      <c r="B123" s="34" t="s">
        <v>375</v>
      </c>
      <c r="C123" s="36" t="s">
        <v>327</v>
      </c>
      <c r="D123" s="48">
        <v>2</v>
      </c>
      <c r="E123" s="40">
        <f t="shared" si="13"/>
        <v>13.92883435582822</v>
      </c>
      <c r="F123" s="40">
        <f t="shared" si="14"/>
        <v>397</v>
      </c>
      <c r="G123" s="40">
        <v>376</v>
      </c>
      <c r="H123" s="24">
        <v>21</v>
      </c>
      <c r="I123" s="41">
        <f t="shared" si="12"/>
        <v>0</v>
      </c>
      <c r="J123" s="50"/>
      <c r="K123" s="28"/>
      <c r="L123" s="28"/>
      <c r="M123" s="28"/>
      <c r="N123" s="28"/>
      <c r="O123" s="28"/>
      <c r="P123" s="28"/>
      <c r="Q123" s="28"/>
    </row>
    <row r="124" spans="1:17" s="30" customFormat="1" ht="15">
      <c r="A124" s="33"/>
      <c r="B124" s="34" t="s">
        <v>337</v>
      </c>
      <c r="C124" s="36" t="s">
        <v>328</v>
      </c>
      <c r="D124" s="48">
        <v>3.8</v>
      </c>
      <c r="E124" s="40">
        <f t="shared" si="13"/>
        <v>26.464785276073616</v>
      </c>
      <c r="F124" s="40">
        <f t="shared" si="14"/>
        <v>755</v>
      </c>
      <c r="G124" s="40">
        <v>981</v>
      </c>
      <c r="H124" s="40"/>
      <c r="I124" s="41">
        <f t="shared" si="12"/>
        <v>226</v>
      </c>
      <c r="J124" s="50"/>
      <c r="K124" s="28"/>
      <c r="L124" s="28"/>
      <c r="M124" s="28"/>
      <c r="N124" s="28"/>
      <c r="O124" s="28"/>
      <c r="P124" s="28"/>
      <c r="Q124" s="28"/>
    </row>
    <row r="125" spans="1:17" s="30" customFormat="1" ht="15">
      <c r="A125" s="33"/>
      <c r="B125" s="34" t="s">
        <v>336</v>
      </c>
      <c r="C125" s="36" t="s">
        <v>338</v>
      </c>
      <c r="D125" s="48">
        <v>0.8</v>
      </c>
      <c r="E125" s="40">
        <f t="shared" si="13"/>
        <v>5.5715337423312885</v>
      </c>
      <c r="F125" s="40">
        <f t="shared" si="14"/>
        <v>159</v>
      </c>
      <c r="G125" s="40">
        <v>381</v>
      </c>
      <c r="H125" s="40">
        <v>-222</v>
      </c>
      <c r="I125" s="41">
        <f t="shared" si="12"/>
        <v>0</v>
      </c>
      <c r="J125" s="50" t="s">
        <v>388</v>
      </c>
      <c r="K125" s="28"/>
      <c r="L125" s="28"/>
      <c r="M125" s="28"/>
      <c r="N125" s="28"/>
      <c r="O125" s="28"/>
      <c r="P125" s="28"/>
      <c r="Q125" s="28"/>
    </row>
    <row r="126" spans="1:17" s="30" customFormat="1" ht="15">
      <c r="A126" s="33"/>
      <c r="B126" s="34" t="s">
        <v>376</v>
      </c>
      <c r="C126" s="36" t="s">
        <v>57</v>
      </c>
      <c r="D126" s="48">
        <v>0.2</v>
      </c>
      <c r="E126" s="40">
        <f t="shared" si="13"/>
        <v>1.3928834355828221</v>
      </c>
      <c r="F126" s="40">
        <f t="shared" si="14"/>
        <v>40</v>
      </c>
      <c r="G126" s="40">
        <v>42</v>
      </c>
      <c r="H126" s="40"/>
      <c r="I126" s="41">
        <f t="shared" si="12"/>
        <v>2</v>
      </c>
      <c r="J126" s="50"/>
      <c r="K126" s="66"/>
      <c r="L126" s="28"/>
      <c r="M126" s="28"/>
      <c r="N126" s="28"/>
      <c r="O126" s="28"/>
      <c r="P126" s="28"/>
      <c r="Q126" s="28"/>
    </row>
    <row r="127" spans="1:17" s="30" customFormat="1" ht="15">
      <c r="A127" s="33"/>
      <c r="B127" s="34" t="s">
        <v>377</v>
      </c>
      <c r="C127" s="36" t="s">
        <v>57</v>
      </c>
      <c r="D127" s="48">
        <v>3.8</v>
      </c>
      <c r="E127" s="40">
        <f t="shared" si="13"/>
        <v>26.464785276073616</v>
      </c>
      <c r="F127" s="40">
        <f t="shared" si="14"/>
        <v>755</v>
      </c>
      <c r="G127" s="40">
        <v>29</v>
      </c>
      <c r="H127" s="40">
        <v>726</v>
      </c>
      <c r="I127" s="41">
        <f t="shared" si="12"/>
        <v>0</v>
      </c>
      <c r="J127" s="50"/>
      <c r="K127" s="66"/>
      <c r="L127" s="28"/>
      <c r="M127" s="28"/>
      <c r="N127" s="28"/>
      <c r="O127" s="28"/>
      <c r="P127" s="28"/>
      <c r="Q127" s="28"/>
    </row>
    <row r="128" spans="1:17" s="30" customFormat="1" ht="15">
      <c r="A128" s="33"/>
      <c r="B128" s="34" t="s">
        <v>153</v>
      </c>
      <c r="C128" s="36" t="s">
        <v>57</v>
      </c>
      <c r="D128" s="48">
        <v>4.5</v>
      </c>
      <c r="E128" s="40">
        <f t="shared" si="13"/>
        <v>31.33987730061349</v>
      </c>
      <c r="F128" s="40">
        <f t="shared" si="14"/>
        <v>894</v>
      </c>
      <c r="G128" s="40">
        <v>913</v>
      </c>
      <c r="H128" s="40">
        <v>-149</v>
      </c>
      <c r="I128" s="41">
        <f t="shared" si="12"/>
        <v>-130</v>
      </c>
      <c r="J128" s="50" t="s">
        <v>383</v>
      </c>
      <c r="K128" s="66"/>
      <c r="L128" s="28"/>
      <c r="M128" s="28"/>
      <c r="N128" s="28"/>
      <c r="O128" s="28"/>
      <c r="P128" s="28"/>
      <c r="Q128" s="28"/>
    </row>
    <row r="129" spans="1:17" s="30" customFormat="1" ht="15">
      <c r="A129" s="33"/>
      <c r="B129" s="34" t="s">
        <v>378</v>
      </c>
      <c r="C129" s="36" t="s">
        <v>57</v>
      </c>
      <c r="D129" s="48">
        <v>1</v>
      </c>
      <c r="E129" s="40">
        <f t="shared" si="13"/>
        <v>6.96441717791411</v>
      </c>
      <c r="F129" s="40">
        <f t="shared" si="14"/>
        <v>199</v>
      </c>
      <c r="G129" s="40">
        <v>257</v>
      </c>
      <c r="H129" s="40"/>
      <c r="I129" s="41">
        <f t="shared" si="12"/>
        <v>58</v>
      </c>
      <c r="J129" s="50"/>
      <c r="K129" s="28"/>
      <c r="L129" s="28"/>
      <c r="M129" s="28"/>
      <c r="N129" s="28"/>
      <c r="O129" s="28"/>
      <c r="P129" s="28"/>
      <c r="Q129" s="28"/>
    </row>
    <row r="130" spans="1:17" s="30" customFormat="1" ht="15">
      <c r="A130" s="33"/>
      <c r="B130" s="34" t="s">
        <v>226</v>
      </c>
      <c r="C130" s="36" t="s">
        <v>57</v>
      </c>
      <c r="D130" s="48">
        <f>3.8*2</f>
        <v>7.6</v>
      </c>
      <c r="E130" s="40">
        <f t="shared" si="13"/>
        <v>52.92957055214723</v>
      </c>
      <c r="F130" s="40">
        <f t="shared" si="14"/>
        <v>1509</v>
      </c>
      <c r="G130" s="40">
        <v>477</v>
      </c>
      <c r="H130" s="40">
        <v>1100</v>
      </c>
      <c r="I130" s="41">
        <f t="shared" si="12"/>
        <v>68</v>
      </c>
      <c r="J130" s="50"/>
      <c r="K130" s="28"/>
      <c r="L130" s="28"/>
      <c r="M130" s="28"/>
      <c r="N130" s="28"/>
      <c r="O130" s="28"/>
      <c r="P130" s="28"/>
      <c r="Q130" s="28"/>
    </row>
    <row r="131" spans="1:17" s="30" customFormat="1" ht="15">
      <c r="A131" s="33"/>
      <c r="B131" s="34" t="s">
        <v>333</v>
      </c>
      <c r="C131" s="36" t="s">
        <v>57</v>
      </c>
      <c r="D131" s="48">
        <v>1</v>
      </c>
      <c r="E131" s="40">
        <f t="shared" si="13"/>
        <v>6.96441717791411</v>
      </c>
      <c r="F131" s="40">
        <f t="shared" si="14"/>
        <v>199</v>
      </c>
      <c r="G131" s="40">
        <v>162</v>
      </c>
      <c r="H131" s="40">
        <v>37</v>
      </c>
      <c r="I131" s="41">
        <f t="shared" si="12"/>
        <v>0</v>
      </c>
      <c r="J131" s="50"/>
      <c r="K131" s="28"/>
      <c r="L131" s="28"/>
      <c r="M131" s="28"/>
      <c r="N131" s="28"/>
      <c r="O131" s="28"/>
      <c r="P131" s="28"/>
      <c r="Q131" s="28"/>
    </row>
    <row r="132" spans="1:17" s="30" customFormat="1" ht="15">
      <c r="A132" s="33"/>
      <c r="B132" s="34" t="s">
        <v>298</v>
      </c>
      <c r="C132" s="36" t="s">
        <v>57</v>
      </c>
      <c r="D132" s="48">
        <v>2</v>
      </c>
      <c r="E132" s="40">
        <f t="shared" si="13"/>
        <v>13.92883435582822</v>
      </c>
      <c r="F132" s="40">
        <f t="shared" si="14"/>
        <v>397</v>
      </c>
      <c r="G132" s="40">
        <v>615</v>
      </c>
      <c r="H132" s="40">
        <f>418-636</f>
        <v>-218</v>
      </c>
      <c r="I132" s="41">
        <f t="shared" si="12"/>
        <v>0</v>
      </c>
      <c r="J132" s="50"/>
      <c r="K132" s="28"/>
      <c r="L132" s="28"/>
      <c r="M132" s="28"/>
      <c r="N132" s="28"/>
      <c r="O132" s="28"/>
      <c r="P132" s="28"/>
      <c r="Q132" s="28"/>
    </row>
    <row r="133" spans="1:17" s="30" customFormat="1" ht="15">
      <c r="A133" s="33"/>
      <c r="B133" s="34" t="s">
        <v>334</v>
      </c>
      <c r="C133" s="36" t="s">
        <v>57</v>
      </c>
      <c r="D133" s="48">
        <v>0.8</v>
      </c>
      <c r="E133" s="40">
        <f t="shared" si="13"/>
        <v>5.5715337423312885</v>
      </c>
      <c r="F133" s="40">
        <f>ROUNDUP(E133*28.5,)</f>
        <v>159</v>
      </c>
      <c r="G133" s="40">
        <v>235</v>
      </c>
      <c r="H133" s="40">
        <f>151+131+649-879-128</f>
        <v>-76</v>
      </c>
      <c r="I133" s="41">
        <f>H133-F133+G133</f>
        <v>0</v>
      </c>
      <c r="J133" s="50"/>
      <c r="K133" s="28"/>
      <c r="L133" s="28"/>
      <c r="M133" s="28"/>
      <c r="N133" s="28"/>
      <c r="O133" s="28"/>
      <c r="P133" s="28"/>
      <c r="Q133" s="28"/>
    </row>
    <row r="134" spans="1:17" s="30" customFormat="1" ht="15">
      <c r="A134" s="33"/>
      <c r="B134" s="34" t="s">
        <v>16</v>
      </c>
      <c r="C134" s="36"/>
      <c r="D134" s="48">
        <v>2.5</v>
      </c>
      <c r="E134" s="40">
        <f t="shared" si="13"/>
        <v>17.411042944785276</v>
      </c>
      <c r="F134" s="40">
        <f>ROUNDUP(E134*28.5,)</f>
        <v>497</v>
      </c>
      <c r="G134" s="40"/>
      <c r="H134" s="40"/>
      <c r="I134" s="41"/>
      <c r="J134" s="50"/>
      <c r="K134" s="28"/>
      <c r="L134" s="28"/>
      <c r="M134" s="28"/>
      <c r="N134" s="28"/>
      <c r="O134" s="28"/>
      <c r="P134" s="28"/>
      <c r="Q134" s="28"/>
    </row>
    <row r="135" spans="1:17" s="30" customFormat="1" ht="15">
      <c r="A135" s="33"/>
      <c r="B135" s="34"/>
      <c r="C135" s="36"/>
      <c r="D135" s="48"/>
      <c r="E135" s="40">
        <f t="shared" si="13"/>
        <v>0</v>
      </c>
      <c r="F135" s="40">
        <f t="shared" si="14"/>
        <v>0</v>
      </c>
      <c r="G135" s="40"/>
      <c r="H135" s="40"/>
      <c r="I135" s="41">
        <f>H135-F135+G135</f>
        <v>0</v>
      </c>
      <c r="J135" s="50"/>
      <c r="K135" s="28"/>
      <c r="L135" s="28"/>
      <c r="M135" s="28"/>
      <c r="N135" s="28"/>
      <c r="O135" s="28"/>
      <c r="P135" s="28"/>
      <c r="Q135" s="28"/>
    </row>
    <row r="136" spans="2:10" ht="15">
      <c r="B136" s="34"/>
      <c r="C136" s="42"/>
      <c r="D136" s="48">
        <v>32.6</v>
      </c>
      <c r="E136" s="43">
        <f>225.04+2</f>
        <v>227.04</v>
      </c>
      <c r="F136" s="47">
        <f>SUM(F121:F135)</f>
        <v>6478</v>
      </c>
      <c r="G136" s="44">
        <f>SUM(G121:G135)</f>
        <v>4373</v>
      </c>
      <c r="H136" s="44"/>
      <c r="I136" s="45">
        <f>SUM(I121:I135)</f>
        <v>404</v>
      </c>
      <c r="J136" s="50"/>
    </row>
    <row r="137" ht="15">
      <c r="D137" s="49"/>
    </row>
    <row r="138" spans="2:10" ht="22.5">
      <c r="B138" s="183" t="s">
        <v>51</v>
      </c>
      <c r="C138" s="183"/>
      <c r="D138" s="183"/>
      <c r="E138" s="183"/>
      <c r="F138" s="183"/>
      <c r="G138" s="183"/>
      <c r="H138" s="183"/>
      <c r="I138" s="183"/>
      <c r="J138" s="50"/>
    </row>
    <row r="140" spans="1:13" s="30" customFormat="1" ht="15">
      <c r="A140" s="33"/>
      <c r="B140" s="189" t="s">
        <v>362</v>
      </c>
      <c r="C140" s="190"/>
      <c r="D140" s="190"/>
      <c r="E140" s="190"/>
      <c r="F140" s="190"/>
      <c r="G140" s="191"/>
      <c r="H140" s="135"/>
      <c r="I140" s="136" t="s">
        <v>363</v>
      </c>
      <c r="J140" s="33"/>
      <c r="K140" s="28"/>
      <c r="L140" s="29"/>
      <c r="M140" s="98"/>
    </row>
    <row r="141" spans="1:12" s="30" customFormat="1" ht="23.25">
      <c r="A141" s="33"/>
      <c r="B141" s="34"/>
      <c r="C141" s="35"/>
      <c r="D141" s="46" t="s">
        <v>30</v>
      </c>
      <c r="E141" s="37" t="s">
        <v>27</v>
      </c>
      <c r="F141" s="36" t="s">
        <v>11</v>
      </c>
      <c r="G141" s="46" t="s">
        <v>52</v>
      </c>
      <c r="H141" s="38" t="s">
        <v>24</v>
      </c>
      <c r="I141" s="39" t="s">
        <v>28</v>
      </c>
      <c r="J141" s="33"/>
      <c r="K141" s="28"/>
      <c r="L141" s="29"/>
    </row>
    <row r="142" spans="1:12" s="30" customFormat="1" ht="15" hidden="1">
      <c r="A142" s="33"/>
      <c r="B142" s="34" t="s">
        <v>300</v>
      </c>
      <c r="C142" s="36" t="s">
        <v>355</v>
      </c>
      <c r="D142" s="48">
        <v>3</v>
      </c>
      <c r="E142" s="40">
        <f>D142/$D$155*$E$155+1</f>
        <v>20.97462686567164</v>
      </c>
      <c r="F142" s="40">
        <f>ROUNDUP(E142*28.5,)</f>
        <v>598</v>
      </c>
      <c r="G142" s="40">
        <v>818</v>
      </c>
      <c r="H142" s="40">
        <v>-220</v>
      </c>
      <c r="I142" s="41">
        <f aca="true" t="shared" si="15" ref="I142:I154">H142-F142+G142</f>
        <v>0</v>
      </c>
      <c r="J142" s="50"/>
      <c r="K142" s="66"/>
      <c r="L142" s="29"/>
    </row>
    <row r="143" spans="1:17" s="30" customFormat="1" ht="15">
      <c r="A143" s="33"/>
      <c r="B143" s="34" t="s">
        <v>19</v>
      </c>
      <c r="C143" s="36" t="s">
        <v>355</v>
      </c>
      <c r="D143" s="48">
        <v>0.7</v>
      </c>
      <c r="E143" s="40">
        <f>D143/$D$155*$E$155+1</f>
        <v>5.660746268656716</v>
      </c>
      <c r="F143" s="40">
        <f aca="true" t="shared" si="16" ref="F143:F154">ROUNDUP(E143*28.5,)</f>
        <v>162</v>
      </c>
      <c r="G143" s="40">
        <v>465</v>
      </c>
      <c r="H143" s="40"/>
      <c r="I143" s="41">
        <f t="shared" si="15"/>
        <v>303</v>
      </c>
      <c r="J143" s="50"/>
      <c r="K143" s="28"/>
      <c r="L143" s="28"/>
      <c r="M143" s="28"/>
      <c r="N143" s="28"/>
      <c r="O143" s="28"/>
      <c r="P143" s="28"/>
      <c r="Q143" s="28"/>
    </row>
    <row r="144" spans="1:17" s="30" customFormat="1" ht="15" hidden="1">
      <c r="A144" s="33"/>
      <c r="B144" s="34" t="s">
        <v>364</v>
      </c>
      <c r="C144" s="36" t="s">
        <v>330</v>
      </c>
      <c r="D144" s="48">
        <v>4.9</v>
      </c>
      <c r="E144" s="40">
        <f>D144/$D$155*$E$155+6</f>
        <v>38.62522388059701</v>
      </c>
      <c r="F144" s="40">
        <f t="shared" si="16"/>
        <v>1101</v>
      </c>
      <c r="G144" s="40">
        <v>613</v>
      </c>
      <c r="H144" s="24">
        <v>488</v>
      </c>
      <c r="I144" s="41">
        <f t="shared" si="15"/>
        <v>0</v>
      </c>
      <c r="J144" s="50"/>
      <c r="K144" s="28"/>
      <c r="L144" s="28"/>
      <c r="M144" s="28"/>
      <c r="N144" s="28"/>
      <c r="O144" s="28"/>
      <c r="P144" s="28"/>
      <c r="Q144" s="28"/>
    </row>
    <row r="145" spans="1:17" s="30" customFormat="1" ht="15" hidden="1">
      <c r="A145" s="33"/>
      <c r="B145" s="34" t="s">
        <v>353</v>
      </c>
      <c r="C145" s="36" t="s">
        <v>356</v>
      </c>
      <c r="D145" s="48">
        <v>1.5</v>
      </c>
      <c r="E145" s="40">
        <f>D145/$D$155*$E$155+1</f>
        <v>10.98731343283582</v>
      </c>
      <c r="F145" s="40">
        <f t="shared" si="16"/>
        <v>314</v>
      </c>
      <c r="G145" s="40">
        <v>305</v>
      </c>
      <c r="H145" s="40">
        <v>9</v>
      </c>
      <c r="I145" s="41">
        <f t="shared" si="15"/>
        <v>0</v>
      </c>
      <c r="J145" s="50"/>
      <c r="K145" s="28"/>
      <c r="L145" s="28"/>
      <c r="M145" s="28"/>
      <c r="N145" s="28"/>
      <c r="O145" s="28"/>
      <c r="P145" s="28"/>
      <c r="Q145" s="28"/>
    </row>
    <row r="146" spans="1:17" s="30" customFormat="1" ht="15" hidden="1">
      <c r="A146" s="33"/>
      <c r="B146" s="34" t="s">
        <v>354</v>
      </c>
      <c r="C146" s="36" t="s">
        <v>356</v>
      </c>
      <c r="D146" s="48">
        <v>1.7</v>
      </c>
      <c r="E146" s="40">
        <f>D146/$D$155*$E$155+1</f>
        <v>12.318955223880597</v>
      </c>
      <c r="F146" s="40">
        <f t="shared" si="16"/>
        <v>352</v>
      </c>
      <c r="G146" s="40">
        <v>359</v>
      </c>
      <c r="H146" s="40"/>
      <c r="I146" s="41">
        <f t="shared" si="15"/>
        <v>7</v>
      </c>
      <c r="J146" s="50"/>
      <c r="K146" s="28"/>
      <c r="L146" s="28"/>
      <c r="M146" s="28"/>
      <c r="N146" s="28"/>
      <c r="O146" s="28"/>
      <c r="P146" s="28"/>
      <c r="Q146" s="28"/>
    </row>
    <row r="147" spans="1:17" s="30" customFormat="1" ht="15" hidden="1">
      <c r="A147" s="33"/>
      <c r="B147" s="34" t="s">
        <v>15</v>
      </c>
      <c r="C147" s="36" t="s">
        <v>332</v>
      </c>
      <c r="D147" s="48">
        <v>1.7</v>
      </c>
      <c r="E147" s="40">
        <f>D147/$D$155*$E$155+1</f>
        <v>12.318955223880597</v>
      </c>
      <c r="F147" s="40">
        <f t="shared" si="16"/>
        <v>352</v>
      </c>
      <c r="G147" s="40">
        <v>319</v>
      </c>
      <c r="H147" s="40">
        <v>33</v>
      </c>
      <c r="I147" s="41">
        <f t="shared" si="15"/>
        <v>0</v>
      </c>
      <c r="J147" s="50"/>
      <c r="K147" s="66"/>
      <c r="L147" s="28"/>
      <c r="M147" s="28"/>
      <c r="N147" s="28"/>
      <c r="O147" s="28"/>
      <c r="P147" s="28"/>
      <c r="Q147" s="28"/>
    </row>
    <row r="148" spans="1:17" s="30" customFormat="1" ht="15" hidden="1">
      <c r="A148" s="33"/>
      <c r="B148" s="34" t="s">
        <v>339</v>
      </c>
      <c r="C148" s="36" t="s">
        <v>332</v>
      </c>
      <c r="D148" s="48">
        <v>1.3</v>
      </c>
      <c r="E148" s="40">
        <f>D148/$D$155*$E$155+1</f>
        <v>9.655671641791045</v>
      </c>
      <c r="F148" s="40">
        <f t="shared" si="16"/>
        <v>276</v>
      </c>
      <c r="G148" s="40">
        <v>433</v>
      </c>
      <c r="H148" s="40"/>
      <c r="I148" s="41">
        <f t="shared" si="15"/>
        <v>157</v>
      </c>
      <c r="J148" s="50" t="s">
        <v>431</v>
      </c>
      <c r="K148" s="66"/>
      <c r="L148" s="28"/>
      <c r="M148" s="28"/>
      <c r="N148" s="28"/>
      <c r="O148" s="28"/>
      <c r="P148" s="28"/>
      <c r="Q148" s="28"/>
    </row>
    <row r="149" spans="1:17" s="30" customFormat="1" ht="15" hidden="1">
      <c r="A149" s="33"/>
      <c r="B149" s="34" t="s">
        <v>73</v>
      </c>
      <c r="C149" s="36" t="s">
        <v>365</v>
      </c>
      <c r="D149" s="48">
        <v>4</v>
      </c>
      <c r="E149" s="40">
        <f>D149/$D$155*$E$155+8</f>
        <v>34.63283582089552</v>
      </c>
      <c r="F149" s="40">
        <f t="shared" si="16"/>
        <v>988</v>
      </c>
      <c r="G149" s="40">
        <v>609</v>
      </c>
      <c r="H149" s="40">
        <f>147+232</f>
        <v>379</v>
      </c>
      <c r="I149" s="41">
        <f t="shared" si="15"/>
        <v>0</v>
      </c>
      <c r="J149" s="50"/>
      <c r="K149" s="66"/>
      <c r="L149" s="28"/>
      <c r="M149" s="28"/>
      <c r="N149" s="28"/>
      <c r="O149" s="28"/>
      <c r="P149" s="28"/>
      <c r="Q149" s="28"/>
    </row>
    <row r="150" spans="1:17" s="30" customFormat="1" ht="15" hidden="1">
      <c r="A150" s="33"/>
      <c r="B150" s="34" t="s">
        <v>23</v>
      </c>
      <c r="C150" s="36" t="s">
        <v>335</v>
      </c>
      <c r="D150" s="48">
        <v>0.1</v>
      </c>
      <c r="E150" s="40">
        <f>D150/$D$155*$E$155+1</f>
        <v>1.6658208955223879</v>
      </c>
      <c r="F150" s="40">
        <f t="shared" si="16"/>
        <v>48</v>
      </c>
      <c r="G150" s="40">
        <v>697</v>
      </c>
      <c r="H150" s="40">
        <v>-649</v>
      </c>
      <c r="I150" s="41">
        <f t="shared" si="15"/>
        <v>0</v>
      </c>
      <c r="J150" s="50" t="s">
        <v>387</v>
      </c>
      <c r="K150" s="28"/>
      <c r="L150" s="28"/>
      <c r="M150" s="28"/>
      <c r="N150" s="28"/>
      <c r="O150" s="28"/>
      <c r="P150" s="28"/>
      <c r="Q150" s="28"/>
    </row>
    <row r="151" spans="1:17" s="30" customFormat="1" ht="15" hidden="1">
      <c r="A151" s="33"/>
      <c r="B151" s="34" t="s">
        <v>45</v>
      </c>
      <c r="C151" s="36" t="s">
        <v>331</v>
      </c>
      <c r="D151" s="48">
        <v>0.9</v>
      </c>
      <c r="E151" s="40">
        <f>D151/$D$155*$E$155+2</f>
        <v>7.992388059701493</v>
      </c>
      <c r="F151" s="40">
        <f t="shared" si="16"/>
        <v>228</v>
      </c>
      <c r="G151" s="40"/>
      <c r="H151" s="40">
        <v>228</v>
      </c>
      <c r="I151" s="41">
        <f t="shared" si="15"/>
        <v>0</v>
      </c>
      <c r="J151" s="50"/>
      <c r="K151" s="28"/>
      <c r="L151" s="28"/>
      <c r="M151" s="28"/>
      <c r="N151" s="28"/>
      <c r="O151" s="28"/>
      <c r="P151" s="28"/>
      <c r="Q151" s="28"/>
    </row>
    <row r="152" spans="1:17" s="30" customFormat="1" ht="15" hidden="1">
      <c r="A152" s="33"/>
      <c r="B152" s="34" t="s">
        <v>16</v>
      </c>
      <c r="C152" s="36"/>
      <c r="D152" s="48">
        <v>2.8</v>
      </c>
      <c r="E152" s="40">
        <f>D152/$D$155*$E$155+5</f>
        <v>23.642985074626864</v>
      </c>
      <c r="F152" s="40">
        <f t="shared" si="16"/>
        <v>674</v>
      </c>
      <c r="G152" s="40"/>
      <c r="H152" s="40"/>
      <c r="I152" s="41"/>
      <c r="J152" s="50"/>
      <c r="K152" s="28"/>
      <c r="L152" s="28"/>
      <c r="M152" s="28"/>
      <c r="N152" s="28"/>
      <c r="O152" s="28"/>
      <c r="P152" s="28"/>
      <c r="Q152" s="28"/>
    </row>
    <row r="153" spans="1:17" s="30" customFormat="1" ht="15" hidden="1">
      <c r="A153" s="33"/>
      <c r="B153" s="34" t="s">
        <v>33</v>
      </c>
      <c r="C153" s="36" t="s">
        <v>360</v>
      </c>
      <c r="D153" s="48">
        <v>4.2</v>
      </c>
      <c r="E153" s="40">
        <f>D153/$D$155*$E$155+2</f>
        <v>29.9644776119403</v>
      </c>
      <c r="F153" s="40">
        <f t="shared" si="16"/>
        <v>854</v>
      </c>
      <c r="G153" s="40">
        <v>432</v>
      </c>
      <c r="H153" s="40">
        <v>410</v>
      </c>
      <c r="I153" s="41">
        <f t="shared" si="15"/>
        <v>-12</v>
      </c>
      <c r="J153" s="50"/>
      <c r="K153" s="28"/>
      <c r="L153" s="28"/>
      <c r="M153" s="28"/>
      <c r="N153" s="28"/>
      <c r="O153" s="28"/>
      <c r="P153" s="28"/>
      <c r="Q153" s="28"/>
    </row>
    <row r="154" spans="1:17" s="30" customFormat="1" ht="15" hidden="1">
      <c r="A154" s="33"/>
      <c r="B154" s="34"/>
      <c r="C154" s="36"/>
      <c r="D154" s="48"/>
      <c r="E154" s="40">
        <f>D154/$D$155*$E$155</f>
        <v>0</v>
      </c>
      <c r="F154" s="40">
        <f t="shared" si="16"/>
        <v>0</v>
      </c>
      <c r="G154" s="40"/>
      <c r="H154" s="40"/>
      <c r="I154" s="41">
        <f t="shared" si="15"/>
        <v>0</v>
      </c>
      <c r="J154" s="50"/>
      <c r="K154" s="28"/>
      <c r="L154" s="28"/>
      <c r="M154" s="28"/>
      <c r="N154" s="28"/>
      <c r="O154" s="28"/>
      <c r="P154" s="28"/>
      <c r="Q154" s="28"/>
    </row>
    <row r="155" spans="2:10" ht="15" hidden="1">
      <c r="B155" s="34"/>
      <c r="C155" s="42"/>
      <c r="D155" s="48">
        <v>26.8</v>
      </c>
      <c r="E155" s="43">
        <f>208.44-30</f>
        <v>178.44</v>
      </c>
      <c r="F155" s="47">
        <f>SUM(F142:F154)</f>
        <v>5947</v>
      </c>
      <c r="G155" s="44">
        <f>SUM(G142:G154)</f>
        <v>5050</v>
      </c>
      <c r="H155" s="44"/>
      <c r="I155" s="45">
        <f>SUM(I142:I154)</f>
        <v>455</v>
      </c>
      <c r="J155" s="50"/>
    </row>
    <row r="156" spans="4:6" ht="15" hidden="1">
      <c r="D156" s="49">
        <f>SUM(D142:D153)</f>
        <v>26.8</v>
      </c>
      <c r="E156" s="31">
        <f>SUM(E142:E154)</f>
        <v>208.43999999999997</v>
      </c>
      <c r="F156" s="65"/>
    </row>
    <row r="159" spans="1:13" s="30" customFormat="1" ht="15">
      <c r="A159" s="33"/>
      <c r="B159" s="192" t="s">
        <v>349</v>
      </c>
      <c r="C159" s="193"/>
      <c r="D159" s="193"/>
      <c r="E159" s="193"/>
      <c r="F159" s="193"/>
      <c r="G159" s="194"/>
      <c r="H159" s="133"/>
      <c r="I159" s="134" t="s">
        <v>359</v>
      </c>
      <c r="J159" s="33"/>
      <c r="K159" s="28"/>
      <c r="L159" s="29"/>
      <c r="M159" s="98"/>
    </row>
    <row r="160" spans="1:12" s="30" customFormat="1" ht="23.25" hidden="1">
      <c r="A160" s="33"/>
      <c r="B160" s="34"/>
      <c r="C160" s="35"/>
      <c r="D160" s="46" t="s">
        <v>30</v>
      </c>
      <c r="E160" s="37" t="s">
        <v>27</v>
      </c>
      <c r="F160" s="36" t="s">
        <v>11</v>
      </c>
      <c r="G160" s="46" t="s">
        <v>52</v>
      </c>
      <c r="H160" s="38" t="s">
        <v>24</v>
      </c>
      <c r="I160" s="39" t="s">
        <v>28</v>
      </c>
      <c r="J160" s="33"/>
      <c r="K160" s="28"/>
      <c r="L160" s="29"/>
    </row>
    <row r="161" spans="1:12" s="30" customFormat="1" ht="15" hidden="1">
      <c r="A161" s="33"/>
      <c r="B161" s="34" t="s">
        <v>40</v>
      </c>
      <c r="C161" s="36" t="s">
        <v>31</v>
      </c>
      <c r="D161" s="48">
        <v>0.2</v>
      </c>
      <c r="E161" s="40">
        <f>D161/$D$177*$E$177+2</f>
        <v>3.423408071748879</v>
      </c>
      <c r="F161" s="40">
        <f>ROUNDUP(E161*28.5,)</f>
        <v>98</v>
      </c>
      <c r="G161" s="40">
        <v>0</v>
      </c>
      <c r="H161" s="40">
        <v>98</v>
      </c>
      <c r="I161" s="41">
        <f aca="true" t="shared" si="17" ref="I161:I173">H161-F161+G161</f>
        <v>0</v>
      </c>
      <c r="J161" s="50"/>
      <c r="K161" s="66"/>
      <c r="L161" s="29"/>
    </row>
    <row r="162" spans="1:17" s="30" customFormat="1" ht="15" hidden="1">
      <c r="A162" s="33"/>
      <c r="B162" s="34" t="s">
        <v>34</v>
      </c>
      <c r="C162" s="36" t="s">
        <v>320</v>
      </c>
      <c r="D162" s="48">
        <v>2.5</v>
      </c>
      <c r="E162" s="40">
        <f>D162/$D$177*$E$177+1</f>
        <v>18.792600896860986</v>
      </c>
      <c r="F162" s="40">
        <f aca="true" t="shared" si="18" ref="F162:F173">ROUNDUP(E162*28.5,)</f>
        <v>536</v>
      </c>
      <c r="G162" s="40">
        <v>380</v>
      </c>
      <c r="H162" s="40">
        <v>156</v>
      </c>
      <c r="I162" s="41">
        <f t="shared" si="17"/>
        <v>0</v>
      </c>
      <c r="J162" s="50"/>
      <c r="K162" s="28"/>
      <c r="L162" s="28"/>
      <c r="M162" s="28"/>
      <c r="N162" s="28"/>
      <c r="O162" s="28"/>
      <c r="P162" s="28"/>
      <c r="Q162" s="28"/>
    </row>
    <row r="163" spans="1:17" s="30" customFormat="1" ht="15" hidden="1">
      <c r="A163" s="33"/>
      <c r="B163" s="34" t="s">
        <v>53</v>
      </c>
      <c r="C163" s="36" t="s">
        <v>320</v>
      </c>
      <c r="D163" s="48">
        <v>2.6</v>
      </c>
      <c r="E163" s="40">
        <f>D163/$D$177*$E$177+1</f>
        <v>19.504304932735426</v>
      </c>
      <c r="F163" s="40">
        <f t="shared" si="18"/>
        <v>556</v>
      </c>
      <c r="G163" s="40">
        <v>203</v>
      </c>
      <c r="H163" s="24">
        <v>360</v>
      </c>
      <c r="I163" s="41">
        <f t="shared" si="17"/>
        <v>7</v>
      </c>
      <c r="J163" s="50"/>
      <c r="K163" s="28"/>
      <c r="L163" s="28"/>
      <c r="M163" s="28"/>
      <c r="N163" s="28"/>
      <c r="O163" s="28"/>
      <c r="P163" s="28"/>
      <c r="Q163" s="28"/>
    </row>
    <row r="164" spans="1:17" s="30" customFormat="1" ht="15" hidden="1">
      <c r="A164" s="33"/>
      <c r="B164" s="34" t="s">
        <v>290</v>
      </c>
      <c r="C164" s="36" t="s">
        <v>321</v>
      </c>
      <c r="D164" s="48">
        <v>0.5</v>
      </c>
      <c r="E164" s="40">
        <f>D164/$D$177*$E$177+2</f>
        <v>5.558520179372197</v>
      </c>
      <c r="F164" s="40">
        <f t="shared" si="18"/>
        <v>159</v>
      </c>
      <c r="G164" s="40">
        <v>267</v>
      </c>
      <c r="H164" s="40">
        <v>-96</v>
      </c>
      <c r="I164" s="41">
        <f t="shared" si="17"/>
        <v>12</v>
      </c>
      <c r="J164" s="50"/>
      <c r="K164" s="28"/>
      <c r="L164" s="28"/>
      <c r="M164" s="28"/>
      <c r="N164" s="28"/>
      <c r="O164" s="28"/>
      <c r="P164" s="28"/>
      <c r="Q164" s="28"/>
    </row>
    <row r="165" spans="1:17" s="30" customFormat="1" ht="15" hidden="1">
      <c r="A165" s="33"/>
      <c r="B165" s="34" t="s">
        <v>46</v>
      </c>
      <c r="C165" s="36" t="s">
        <v>322</v>
      </c>
      <c r="D165" s="48">
        <v>1.8</v>
      </c>
      <c r="E165" s="40">
        <f>D165/$D$177*$E$177+1</f>
        <v>13.81067264573991</v>
      </c>
      <c r="F165" s="40">
        <f t="shared" si="18"/>
        <v>394</v>
      </c>
      <c r="G165" s="40">
        <v>517</v>
      </c>
      <c r="H165" s="40">
        <f>21-144</f>
        <v>-123</v>
      </c>
      <c r="I165" s="41">
        <f t="shared" si="17"/>
        <v>0</v>
      </c>
      <c r="J165" s="50" t="s">
        <v>381</v>
      </c>
      <c r="K165" s="28"/>
      <c r="L165" s="28"/>
      <c r="M165" s="28"/>
      <c r="N165" s="28"/>
      <c r="O165" s="28"/>
      <c r="P165" s="28"/>
      <c r="Q165" s="28"/>
    </row>
    <row r="166" spans="1:17" s="30" customFormat="1" ht="15" hidden="1">
      <c r="A166" s="33"/>
      <c r="B166" s="34" t="s">
        <v>317</v>
      </c>
      <c r="C166" s="36" t="s">
        <v>322</v>
      </c>
      <c r="D166" s="48">
        <v>2.7</v>
      </c>
      <c r="E166" s="40">
        <f>D166/$D$177*$E$177+1</f>
        <v>20.216008968609867</v>
      </c>
      <c r="F166" s="40">
        <f t="shared" si="18"/>
        <v>577</v>
      </c>
      <c r="G166" s="40">
        <v>1026</v>
      </c>
      <c r="H166" s="40">
        <v>-449</v>
      </c>
      <c r="I166" s="41">
        <f t="shared" si="17"/>
        <v>0</v>
      </c>
      <c r="J166" s="50" t="s">
        <v>380</v>
      </c>
      <c r="K166" s="66"/>
      <c r="L166" s="28"/>
      <c r="M166" s="28"/>
      <c r="N166" s="28"/>
      <c r="O166" s="28"/>
      <c r="P166" s="28"/>
      <c r="Q166" s="28"/>
    </row>
    <row r="167" spans="1:17" s="30" customFormat="1" ht="15">
      <c r="A167" s="33"/>
      <c r="B167" s="34" t="s">
        <v>350</v>
      </c>
      <c r="C167" s="36" t="s">
        <v>325</v>
      </c>
      <c r="D167" s="48">
        <v>0.8</v>
      </c>
      <c r="E167" s="40">
        <f>D167/$D$177*$E$177+1</f>
        <v>6.693632286995516</v>
      </c>
      <c r="F167" s="40">
        <f t="shared" si="18"/>
        <v>191</v>
      </c>
      <c r="G167" s="40">
        <v>356</v>
      </c>
      <c r="H167" s="40"/>
      <c r="I167" s="41">
        <f t="shared" si="17"/>
        <v>165</v>
      </c>
      <c r="J167" s="50"/>
      <c r="K167" s="66"/>
      <c r="L167" s="28"/>
      <c r="M167" s="28"/>
      <c r="N167" s="28"/>
      <c r="O167" s="28"/>
      <c r="P167" s="28"/>
      <c r="Q167" s="28"/>
    </row>
    <row r="168" spans="1:17" s="30" customFormat="1" ht="15" hidden="1">
      <c r="A168" s="33"/>
      <c r="B168" s="34" t="s">
        <v>150</v>
      </c>
      <c r="C168" s="36" t="s">
        <v>325</v>
      </c>
      <c r="D168" s="48">
        <v>0.5</v>
      </c>
      <c r="E168" s="40">
        <f>D168/$D$177*$E$177+1</f>
        <v>4.558520179372197</v>
      </c>
      <c r="F168" s="40">
        <f t="shared" si="18"/>
        <v>130</v>
      </c>
      <c r="G168" s="40">
        <v>173</v>
      </c>
      <c r="H168" s="40">
        <v>-43</v>
      </c>
      <c r="I168" s="41">
        <f t="shared" si="17"/>
        <v>0</v>
      </c>
      <c r="J168" s="50"/>
      <c r="K168" s="66"/>
      <c r="L168" s="28"/>
      <c r="M168" s="28"/>
      <c r="N168" s="28"/>
      <c r="O168" s="28"/>
      <c r="P168" s="28"/>
      <c r="Q168" s="28"/>
    </row>
    <row r="169" spans="1:17" s="30" customFormat="1" ht="15" hidden="1">
      <c r="A169" s="33"/>
      <c r="B169" s="34" t="s">
        <v>44</v>
      </c>
      <c r="C169" s="36" t="s">
        <v>329</v>
      </c>
      <c r="D169" s="48">
        <v>0.2</v>
      </c>
      <c r="E169" s="40">
        <f>D169/$D$177*$E$177+2</f>
        <v>3.423408071748879</v>
      </c>
      <c r="F169" s="40">
        <f t="shared" si="18"/>
        <v>98</v>
      </c>
      <c r="G169" s="40">
        <v>321</v>
      </c>
      <c r="H169" s="40">
        <v>-223</v>
      </c>
      <c r="I169" s="41">
        <f t="shared" si="17"/>
        <v>0</v>
      </c>
      <c r="J169" s="50"/>
      <c r="K169" s="28"/>
      <c r="L169" s="28"/>
      <c r="M169" s="28"/>
      <c r="N169" s="28"/>
      <c r="O169" s="28"/>
      <c r="P169" s="28"/>
      <c r="Q169" s="28"/>
    </row>
    <row r="170" spans="1:17" s="30" customFormat="1" ht="15" hidden="1">
      <c r="A170" s="33"/>
      <c r="B170" s="34" t="s">
        <v>324</v>
      </c>
      <c r="C170" s="36" t="s">
        <v>329</v>
      </c>
      <c r="D170" s="48">
        <v>1.9</v>
      </c>
      <c r="E170" s="40">
        <f>D170/$D$177*$E$177+2</f>
        <v>15.52237668161435</v>
      </c>
      <c r="F170" s="40">
        <f t="shared" si="18"/>
        <v>443</v>
      </c>
      <c r="G170" s="40">
        <v>690</v>
      </c>
      <c r="H170" s="40">
        <v>-247</v>
      </c>
      <c r="I170" s="41">
        <f t="shared" si="17"/>
        <v>0</v>
      </c>
      <c r="J170" s="50"/>
      <c r="K170" s="28"/>
      <c r="L170" s="28"/>
      <c r="M170" s="28"/>
      <c r="N170" s="28"/>
      <c r="O170" s="28"/>
      <c r="P170" s="28"/>
      <c r="Q170" s="28"/>
    </row>
    <row r="171" spans="1:17" s="30" customFormat="1" ht="15" hidden="1">
      <c r="A171" s="33"/>
      <c r="B171" s="34" t="s">
        <v>336</v>
      </c>
      <c r="C171" s="36" t="s">
        <v>326</v>
      </c>
      <c r="D171" s="48">
        <v>3.8</v>
      </c>
      <c r="E171" s="40">
        <f>D171/$D$177*$E$177+2/3</f>
        <v>27.71142002989537</v>
      </c>
      <c r="F171" s="40">
        <f t="shared" si="18"/>
        <v>790</v>
      </c>
      <c r="G171" s="40">
        <v>1095</v>
      </c>
      <c r="H171" s="40">
        <v>-305</v>
      </c>
      <c r="I171" s="41">
        <f t="shared" si="17"/>
        <v>0</v>
      </c>
      <c r="J171" s="50" t="s">
        <v>372</v>
      </c>
      <c r="K171" s="28"/>
      <c r="L171" s="28"/>
      <c r="M171" s="28"/>
      <c r="N171" s="28"/>
      <c r="O171" s="28"/>
      <c r="P171" s="28"/>
      <c r="Q171" s="28"/>
    </row>
    <row r="172" spans="1:17" s="30" customFormat="1" ht="15" hidden="1">
      <c r="A172" s="33"/>
      <c r="B172" s="34" t="s">
        <v>351</v>
      </c>
      <c r="C172" s="36" t="s">
        <v>326</v>
      </c>
      <c r="D172" s="48">
        <v>0.6</v>
      </c>
      <c r="E172" s="40">
        <f>D172/$D$177*$E$177+2/3</f>
        <v>4.936890881913303</v>
      </c>
      <c r="F172" s="40">
        <f t="shared" si="18"/>
        <v>141</v>
      </c>
      <c r="G172" s="40">
        <v>129</v>
      </c>
      <c r="H172" s="40">
        <v>12</v>
      </c>
      <c r="I172" s="41">
        <f t="shared" si="17"/>
        <v>0</v>
      </c>
      <c r="J172" s="50"/>
      <c r="K172" s="28"/>
      <c r="L172" s="28"/>
      <c r="M172" s="28"/>
      <c r="N172" s="28"/>
      <c r="O172" s="28"/>
      <c r="P172" s="28"/>
      <c r="Q172" s="28"/>
    </row>
    <row r="173" spans="1:17" s="30" customFormat="1" ht="15" hidden="1">
      <c r="A173" s="33"/>
      <c r="B173" s="34" t="s">
        <v>352</v>
      </c>
      <c r="C173" s="36" t="s">
        <v>326</v>
      </c>
      <c r="D173" s="48">
        <v>1.8</v>
      </c>
      <c r="E173" s="40">
        <f>D173/$D$177*$E$177+2/3</f>
        <v>13.477339312406576</v>
      </c>
      <c r="F173" s="40">
        <f t="shared" si="18"/>
        <v>385</v>
      </c>
      <c r="G173" s="40">
        <v>91</v>
      </c>
      <c r="H173" s="40">
        <v>294</v>
      </c>
      <c r="I173" s="41">
        <f t="shared" si="17"/>
        <v>0</v>
      </c>
      <c r="J173" s="50"/>
      <c r="K173" s="28"/>
      <c r="L173" s="28"/>
      <c r="M173" s="28"/>
      <c r="N173" s="28"/>
      <c r="O173" s="28"/>
      <c r="P173" s="28"/>
      <c r="Q173" s="28"/>
    </row>
    <row r="174" spans="1:17" s="30" customFormat="1" ht="15" hidden="1">
      <c r="A174" s="33"/>
      <c r="B174" s="34" t="s">
        <v>264</v>
      </c>
      <c r="C174" s="36" t="s">
        <v>272</v>
      </c>
      <c r="D174" s="48">
        <v>1.7</v>
      </c>
      <c r="E174" s="40">
        <f>D174/$D$177*$E$177+2</f>
        <v>14.098968609865471</v>
      </c>
      <c r="F174" s="40">
        <f>ROUNDUP(E174*28.5,)</f>
        <v>402</v>
      </c>
      <c r="G174" s="40">
        <v>180</v>
      </c>
      <c r="H174" s="40">
        <v>222</v>
      </c>
      <c r="I174" s="41">
        <f>H174-F174+G174</f>
        <v>0</v>
      </c>
      <c r="J174" s="50"/>
      <c r="K174" s="28"/>
      <c r="L174" s="28"/>
      <c r="M174" s="28"/>
      <c r="N174" s="28"/>
      <c r="O174" s="28"/>
      <c r="P174" s="28"/>
      <c r="Q174" s="28"/>
    </row>
    <row r="175" spans="1:17" s="30" customFormat="1" ht="15" hidden="1">
      <c r="A175" s="33"/>
      <c r="B175" s="34" t="s">
        <v>35</v>
      </c>
      <c r="C175" s="36" t="s">
        <v>272</v>
      </c>
      <c r="D175" s="48">
        <v>0.7</v>
      </c>
      <c r="E175" s="40">
        <f>D175/$D$177*$E$177+2</f>
        <v>6.981928251121077</v>
      </c>
      <c r="F175" s="40">
        <f>ROUNDUP(E175*28.5,)</f>
        <v>199</v>
      </c>
      <c r="G175" s="40">
        <v>617</v>
      </c>
      <c r="H175" s="40">
        <v>-418</v>
      </c>
      <c r="I175" s="41">
        <f>H175-F175+G175</f>
        <v>0</v>
      </c>
      <c r="J175" s="50" t="s">
        <v>386</v>
      </c>
      <c r="K175" s="28"/>
      <c r="L175" s="28"/>
      <c r="M175" s="28"/>
      <c r="N175" s="28"/>
      <c r="O175" s="28"/>
      <c r="P175" s="28"/>
      <c r="Q175" s="28"/>
    </row>
    <row r="176" spans="1:17" s="30" customFormat="1" ht="15" hidden="1">
      <c r="A176" s="33"/>
      <c r="B176" s="34"/>
      <c r="C176" s="36"/>
      <c r="D176" s="48"/>
      <c r="E176" s="40">
        <f>D176/$D$177*$E$177</f>
        <v>0</v>
      </c>
      <c r="F176" s="40">
        <f>ROUNDUP(E176*28.5,)</f>
        <v>0</v>
      </c>
      <c r="G176" s="40"/>
      <c r="H176" s="40"/>
      <c r="I176" s="41">
        <f>H176-F176+G176</f>
        <v>0</v>
      </c>
      <c r="J176" s="50"/>
      <c r="K176" s="28"/>
      <c r="L176" s="28"/>
      <c r="M176" s="28"/>
      <c r="N176" s="28"/>
      <c r="O176" s="28"/>
      <c r="P176" s="28"/>
      <c r="Q176" s="28"/>
    </row>
    <row r="177" spans="2:10" ht="15" hidden="1">
      <c r="B177" s="34"/>
      <c r="C177" s="42"/>
      <c r="D177" s="48">
        <v>22.3</v>
      </c>
      <c r="E177" s="43">
        <f>178.71-20</f>
        <v>158.71</v>
      </c>
      <c r="F177" s="47">
        <f>SUM(F161:F176)</f>
        <v>5099</v>
      </c>
      <c r="G177" s="44">
        <f>SUM(G161:G176)</f>
        <v>6045</v>
      </c>
      <c r="H177" s="44"/>
      <c r="I177" s="45">
        <f>SUM(I161:I176)</f>
        <v>184</v>
      </c>
      <c r="J177" s="50"/>
    </row>
    <row r="178" spans="4:5" ht="15" hidden="1">
      <c r="D178" s="49">
        <f>SUM(D161:D175)</f>
        <v>22.3</v>
      </c>
      <c r="E178" s="31">
        <f>SUM(E161:E175)</f>
        <v>178.71</v>
      </c>
    </row>
    <row r="179" ht="15" hidden="1"/>
    <row r="180" spans="1:13" s="30" customFormat="1" ht="15" hidden="1">
      <c r="A180" s="33"/>
      <c r="B180" s="201" t="s">
        <v>340</v>
      </c>
      <c r="C180" s="202"/>
      <c r="D180" s="202"/>
      <c r="E180" s="202"/>
      <c r="F180" s="202"/>
      <c r="G180" s="203"/>
      <c r="H180" s="131"/>
      <c r="I180" s="132" t="s">
        <v>358</v>
      </c>
      <c r="J180" s="33"/>
      <c r="K180" s="28"/>
      <c r="L180" s="29"/>
      <c r="M180" s="98"/>
    </row>
    <row r="181" spans="1:12" s="30" customFormat="1" ht="23.25" hidden="1">
      <c r="A181" s="33"/>
      <c r="B181" s="34"/>
      <c r="C181" s="35"/>
      <c r="D181" s="46" t="s">
        <v>30</v>
      </c>
      <c r="E181" s="37" t="s">
        <v>27</v>
      </c>
      <c r="F181" s="36" t="s">
        <v>11</v>
      </c>
      <c r="G181" s="46" t="s">
        <v>52</v>
      </c>
      <c r="H181" s="38" t="s">
        <v>24</v>
      </c>
      <c r="I181" s="39" t="s">
        <v>28</v>
      </c>
      <c r="J181" s="33"/>
      <c r="K181" s="28"/>
      <c r="L181" s="29"/>
    </row>
    <row r="182" spans="1:12" s="30" customFormat="1" ht="15" hidden="1">
      <c r="A182" s="33"/>
      <c r="B182" s="34" t="s">
        <v>341</v>
      </c>
      <c r="C182" s="36" t="s">
        <v>302</v>
      </c>
      <c r="D182" s="48">
        <v>3</v>
      </c>
      <c r="E182" s="40">
        <f aca="true" t="shared" si="19" ref="E182:E195">D182/$D$196*$E$196</f>
        <v>21.636144578313257</v>
      </c>
      <c r="F182" s="40">
        <f>ROUNDUP(E182*28.5,)</f>
        <v>617</v>
      </c>
      <c r="G182" s="40">
        <v>417</v>
      </c>
      <c r="H182" s="40">
        <v>200</v>
      </c>
      <c r="I182" s="41">
        <f aca="true" t="shared" si="20" ref="I182:I194">H182-F182+G182</f>
        <v>0</v>
      </c>
      <c r="J182" s="50"/>
      <c r="K182" s="66"/>
      <c r="L182" s="29"/>
    </row>
    <row r="183" spans="1:17" s="30" customFormat="1" ht="15" hidden="1">
      <c r="A183" s="33"/>
      <c r="B183" s="34" t="s">
        <v>39</v>
      </c>
      <c r="C183" s="36" t="s">
        <v>303</v>
      </c>
      <c r="D183" s="48">
        <v>1.5</v>
      </c>
      <c r="E183" s="40">
        <f t="shared" si="19"/>
        <v>10.818072289156628</v>
      </c>
      <c r="F183" s="40">
        <f aca="true" t="shared" si="21" ref="F183:F195">ROUNDUP(E183*28.5,)</f>
        <v>309</v>
      </c>
      <c r="G183" s="40">
        <v>85</v>
      </c>
      <c r="H183" s="40">
        <v>224</v>
      </c>
      <c r="I183" s="41">
        <f t="shared" si="20"/>
        <v>0</v>
      </c>
      <c r="J183" s="50"/>
      <c r="K183" s="28"/>
      <c r="L183" s="28"/>
      <c r="M183" s="28"/>
      <c r="N183" s="28"/>
      <c r="O183" s="28"/>
      <c r="P183" s="28"/>
      <c r="Q183" s="28"/>
    </row>
    <row r="184" spans="1:17" s="30" customFormat="1" ht="15" hidden="1">
      <c r="A184" s="33"/>
      <c r="B184" s="34" t="s">
        <v>69</v>
      </c>
      <c r="C184" s="36" t="s">
        <v>303</v>
      </c>
      <c r="D184" s="48">
        <v>0.5</v>
      </c>
      <c r="E184" s="40">
        <f t="shared" si="19"/>
        <v>3.6060240963855423</v>
      </c>
      <c r="F184" s="40">
        <f t="shared" si="21"/>
        <v>103</v>
      </c>
      <c r="G184" s="40">
        <v>112</v>
      </c>
      <c r="H184" s="24"/>
      <c r="I184" s="41">
        <f t="shared" si="20"/>
        <v>9</v>
      </c>
      <c r="J184" s="50"/>
      <c r="K184" s="28"/>
      <c r="L184" s="28"/>
      <c r="M184" s="28"/>
      <c r="N184" s="28"/>
      <c r="O184" s="28"/>
      <c r="P184" s="28"/>
      <c r="Q184" s="28"/>
    </row>
    <row r="185" spans="1:17" s="30" customFormat="1" ht="15" hidden="1">
      <c r="A185" s="33"/>
      <c r="B185" s="34" t="s">
        <v>342</v>
      </c>
      <c r="C185" s="36" t="s">
        <v>346</v>
      </c>
      <c r="D185" s="48">
        <f>2+1</f>
        <v>3</v>
      </c>
      <c r="E185" s="40">
        <f t="shared" si="19"/>
        <v>21.636144578313257</v>
      </c>
      <c r="F185" s="40">
        <f t="shared" si="21"/>
        <v>617</v>
      </c>
      <c r="G185" s="40">
        <v>583</v>
      </c>
      <c r="H185" s="40">
        <v>34</v>
      </c>
      <c r="I185" s="41">
        <f t="shared" si="20"/>
        <v>0</v>
      </c>
      <c r="J185" s="50"/>
      <c r="K185" s="28"/>
      <c r="L185" s="28"/>
      <c r="M185" s="28"/>
      <c r="N185" s="28"/>
      <c r="O185" s="28"/>
      <c r="P185" s="28"/>
      <c r="Q185" s="28"/>
    </row>
    <row r="186" spans="1:17" s="30" customFormat="1" ht="15" hidden="1">
      <c r="A186" s="33"/>
      <c r="B186" s="34" t="s">
        <v>300</v>
      </c>
      <c r="C186" s="36" t="s">
        <v>304</v>
      </c>
      <c r="D186" s="48">
        <v>3.2</v>
      </c>
      <c r="E186" s="40">
        <f t="shared" si="19"/>
        <v>23.078554216867474</v>
      </c>
      <c r="F186" s="40">
        <f t="shared" si="21"/>
        <v>658</v>
      </c>
      <c r="G186" s="40">
        <v>3265</v>
      </c>
      <c r="H186" s="40">
        <v>-2607</v>
      </c>
      <c r="I186" s="41">
        <f t="shared" si="20"/>
        <v>0</v>
      </c>
      <c r="J186" s="50"/>
      <c r="K186" s="66">
        <f>I186+I142</f>
        <v>0</v>
      </c>
      <c r="L186" s="28"/>
      <c r="M186" s="28"/>
      <c r="N186" s="28"/>
      <c r="O186" s="28"/>
      <c r="P186" s="28"/>
      <c r="Q186" s="28"/>
    </row>
    <row r="187" spans="1:17" s="30" customFormat="1" ht="15" hidden="1">
      <c r="A187" s="33"/>
      <c r="B187" s="34" t="s">
        <v>34</v>
      </c>
      <c r="C187" s="36" t="s">
        <v>318</v>
      </c>
      <c r="D187" s="48">
        <v>1.6</v>
      </c>
      <c r="E187" s="40">
        <f t="shared" si="19"/>
        <v>11.539277108433737</v>
      </c>
      <c r="F187" s="40">
        <f t="shared" si="21"/>
        <v>329</v>
      </c>
      <c r="G187" s="40">
        <v>287</v>
      </c>
      <c r="H187" s="40">
        <v>42</v>
      </c>
      <c r="I187" s="41">
        <f t="shared" si="20"/>
        <v>0</v>
      </c>
      <c r="J187" s="50"/>
      <c r="K187" s="66"/>
      <c r="L187" s="28"/>
      <c r="M187" s="28"/>
      <c r="N187" s="28"/>
      <c r="O187" s="28"/>
      <c r="P187" s="28"/>
      <c r="Q187" s="28"/>
    </row>
    <row r="188" spans="1:17" s="30" customFormat="1" ht="15" hidden="1">
      <c r="A188" s="33"/>
      <c r="B188" s="34" t="s">
        <v>343</v>
      </c>
      <c r="C188" s="36" t="s">
        <v>318</v>
      </c>
      <c r="D188" s="48">
        <v>3.3</v>
      </c>
      <c r="E188" s="40">
        <f t="shared" si="19"/>
        <v>23.799759036144582</v>
      </c>
      <c r="F188" s="40">
        <f t="shared" si="21"/>
        <v>679</v>
      </c>
      <c r="G188" s="40">
        <v>898</v>
      </c>
      <c r="H188" s="40">
        <v>-219</v>
      </c>
      <c r="I188" s="41">
        <f t="shared" si="20"/>
        <v>0</v>
      </c>
      <c r="J188" s="50"/>
      <c r="K188" s="66"/>
      <c r="L188" s="28"/>
      <c r="M188" s="28"/>
      <c r="N188" s="28"/>
      <c r="O188" s="28"/>
      <c r="P188" s="28"/>
      <c r="Q188" s="28"/>
    </row>
    <row r="189" spans="1:17" s="30" customFormat="1" ht="15" hidden="1">
      <c r="A189" s="33"/>
      <c r="B189" s="34" t="s">
        <v>59</v>
      </c>
      <c r="C189" s="36" t="s">
        <v>319</v>
      </c>
      <c r="D189" s="48">
        <v>2</v>
      </c>
      <c r="E189" s="40">
        <f t="shared" si="19"/>
        <v>14.42409638554217</v>
      </c>
      <c r="F189" s="40">
        <f t="shared" si="21"/>
        <v>412</v>
      </c>
      <c r="G189" s="40">
        <v>326</v>
      </c>
      <c r="H189" s="40">
        <v>100</v>
      </c>
      <c r="I189" s="41">
        <f t="shared" si="20"/>
        <v>14</v>
      </c>
      <c r="J189" s="50" t="s">
        <v>431</v>
      </c>
      <c r="K189" s="66"/>
      <c r="L189" s="28"/>
      <c r="M189" s="28"/>
      <c r="N189" s="28"/>
      <c r="O189" s="28"/>
      <c r="P189" s="28"/>
      <c r="Q189" s="28"/>
    </row>
    <row r="190" spans="1:17" s="30" customFormat="1" ht="15" hidden="1">
      <c r="A190" s="33"/>
      <c r="B190" s="34" t="s">
        <v>344</v>
      </c>
      <c r="C190" s="36" t="s">
        <v>319</v>
      </c>
      <c r="D190" s="48">
        <v>2</v>
      </c>
      <c r="E190" s="40">
        <f t="shared" si="19"/>
        <v>14.42409638554217</v>
      </c>
      <c r="F190" s="40">
        <f t="shared" si="21"/>
        <v>412</v>
      </c>
      <c r="G190" s="40">
        <v>43</v>
      </c>
      <c r="H190" s="40">
        <v>369</v>
      </c>
      <c r="I190" s="41">
        <f t="shared" si="20"/>
        <v>0</v>
      </c>
      <c r="J190" s="50"/>
      <c r="K190" s="28"/>
      <c r="L190" s="28"/>
      <c r="M190" s="28"/>
      <c r="N190" s="28"/>
      <c r="O190" s="28"/>
      <c r="P190" s="28"/>
      <c r="Q190" s="28"/>
    </row>
    <row r="191" spans="1:17" s="30" customFormat="1" ht="15" hidden="1">
      <c r="A191" s="33"/>
      <c r="B191" s="34" t="s">
        <v>345</v>
      </c>
      <c r="C191" s="36" t="s">
        <v>319</v>
      </c>
      <c r="D191" s="48">
        <v>1.5</v>
      </c>
      <c r="E191" s="40">
        <f t="shared" si="19"/>
        <v>10.818072289156628</v>
      </c>
      <c r="F191" s="40">
        <f t="shared" si="21"/>
        <v>309</v>
      </c>
      <c r="G191" s="40">
        <v>534</v>
      </c>
      <c r="H191" s="40">
        <v>-225</v>
      </c>
      <c r="I191" s="41">
        <f t="shared" si="20"/>
        <v>0</v>
      </c>
      <c r="J191" s="50"/>
      <c r="K191" s="28"/>
      <c r="L191" s="28"/>
      <c r="M191" s="28"/>
      <c r="N191" s="28"/>
      <c r="O191" s="28"/>
      <c r="P191" s="28"/>
      <c r="Q191" s="28"/>
    </row>
    <row r="192" spans="1:17" s="30" customFormat="1" ht="15" hidden="1">
      <c r="A192" s="33"/>
      <c r="B192" s="34" t="s">
        <v>207</v>
      </c>
      <c r="C192" s="36" t="s">
        <v>319</v>
      </c>
      <c r="D192" s="48">
        <v>0.8</v>
      </c>
      <c r="E192" s="40">
        <f t="shared" si="19"/>
        <v>5.769638554216868</v>
      </c>
      <c r="F192" s="40">
        <f t="shared" si="21"/>
        <v>165</v>
      </c>
      <c r="G192" s="40">
        <v>512</v>
      </c>
      <c r="H192" s="40">
        <f>-28-319</f>
        <v>-347</v>
      </c>
      <c r="I192" s="41">
        <f t="shared" si="20"/>
        <v>0</v>
      </c>
      <c r="J192" s="50" t="s">
        <v>371</v>
      </c>
      <c r="K192" s="28"/>
      <c r="L192" s="28"/>
      <c r="M192" s="28"/>
      <c r="N192" s="28"/>
      <c r="O192" s="28"/>
      <c r="P192" s="28"/>
      <c r="Q192" s="28"/>
    </row>
    <row r="193" spans="1:17" s="30" customFormat="1" ht="15" hidden="1">
      <c r="A193" s="33"/>
      <c r="B193" s="34" t="s">
        <v>347</v>
      </c>
      <c r="C193" s="36" t="s">
        <v>319</v>
      </c>
      <c r="D193" s="48">
        <v>1</v>
      </c>
      <c r="E193" s="40">
        <f t="shared" si="19"/>
        <v>7.212048192771085</v>
      </c>
      <c r="F193" s="40">
        <f t="shared" si="21"/>
        <v>206</v>
      </c>
      <c r="G193" s="40">
        <v>456</v>
      </c>
      <c r="H193" s="40">
        <v>-250</v>
      </c>
      <c r="I193" s="41">
        <f t="shared" si="20"/>
        <v>0</v>
      </c>
      <c r="J193" s="50"/>
      <c r="K193" s="28"/>
      <c r="L193" s="28"/>
      <c r="M193" s="28"/>
      <c r="N193" s="28"/>
      <c r="O193" s="28"/>
      <c r="P193" s="28"/>
      <c r="Q193" s="28"/>
    </row>
    <row r="194" spans="1:17" s="30" customFormat="1" ht="15" hidden="1">
      <c r="A194" s="33"/>
      <c r="B194" s="34" t="s">
        <v>323</v>
      </c>
      <c r="C194" s="36" t="s">
        <v>348</v>
      </c>
      <c r="D194" s="48">
        <v>1.5</v>
      </c>
      <c r="E194" s="40">
        <f t="shared" si="19"/>
        <v>10.818072289156628</v>
      </c>
      <c r="F194" s="40">
        <f t="shared" si="21"/>
        <v>309</v>
      </c>
      <c r="G194" s="40">
        <v>306</v>
      </c>
      <c r="H194" s="40"/>
      <c r="I194" s="41">
        <f t="shared" si="20"/>
        <v>-3</v>
      </c>
      <c r="J194" s="50"/>
      <c r="K194" s="28"/>
      <c r="L194" s="28"/>
      <c r="M194" s="28"/>
      <c r="N194" s="28"/>
      <c r="O194" s="28"/>
      <c r="P194" s="28"/>
      <c r="Q194" s="28"/>
    </row>
    <row r="195" spans="1:17" s="30" customFormat="1" ht="15" hidden="1">
      <c r="A195" s="33"/>
      <c r="B195" s="34"/>
      <c r="C195" s="36"/>
      <c r="D195" s="48"/>
      <c r="E195" s="40">
        <f t="shared" si="19"/>
        <v>0</v>
      </c>
      <c r="F195" s="40">
        <f t="shared" si="21"/>
        <v>0</v>
      </c>
      <c r="G195" s="40"/>
      <c r="H195" s="40"/>
      <c r="I195" s="41"/>
      <c r="J195" s="50"/>
      <c r="K195" s="28"/>
      <c r="L195" s="28"/>
      <c r="M195" s="28"/>
      <c r="N195" s="28"/>
      <c r="O195" s="28"/>
      <c r="P195" s="28"/>
      <c r="Q195" s="28"/>
    </row>
    <row r="196" spans="2:10" ht="15" hidden="1">
      <c r="B196" s="34"/>
      <c r="C196" s="42"/>
      <c r="D196" s="48">
        <v>24.9</v>
      </c>
      <c r="E196" s="43">
        <v>179.58</v>
      </c>
      <c r="F196" s="47">
        <f>SUM(F182:F195)</f>
        <v>5125</v>
      </c>
      <c r="G196" s="44">
        <f>SUM(G182:G195)</f>
        <v>7824</v>
      </c>
      <c r="H196" s="44"/>
      <c r="I196" s="45">
        <f>SUM(I182:I195)</f>
        <v>20</v>
      </c>
      <c r="J196" s="50"/>
    </row>
    <row r="197" spans="4:5" ht="15" hidden="1">
      <c r="D197" s="49"/>
      <c r="E197" s="31">
        <f>SUM(E182:E194)</f>
        <v>179.57999999999998</v>
      </c>
    </row>
    <row r="199" ht="15" hidden="1"/>
    <row r="200" ht="15" hidden="1"/>
    <row r="202" spans="1:13" s="30" customFormat="1" ht="15">
      <c r="A202" s="33"/>
      <c r="B202" s="207" t="s">
        <v>305</v>
      </c>
      <c r="C202" s="208"/>
      <c r="D202" s="208"/>
      <c r="E202" s="208"/>
      <c r="F202" s="208"/>
      <c r="G202" s="209"/>
      <c r="H202" s="115"/>
      <c r="I202" s="116" t="s">
        <v>306</v>
      </c>
      <c r="J202" s="33"/>
      <c r="K202" s="28"/>
      <c r="L202" s="29"/>
      <c r="M202" s="98"/>
    </row>
    <row r="203" spans="1:12" s="30" customFormat="1" ht="23.25">
      <c r="A203" s="33"/>
      <c r="B203" s="34"/>
      <c r="C203" s="35"/>
      <c r="D203" s="46" t="s">
        <v>30</v>
      </c>
      <c r="E203" s="37" t="s">
        <v>27</v>
      </c>
      <c r="F203" s="36" t="s">
        <v>11</v>
      </c>
      <c r="G203" s="46" t="s">
        <v>52</v>
      </c>
      <c r="H203" s="38" t="s">
        <v>24</v>
      </c>
      <c r="I203" s="39" t="s">
        <v>28</v>
      </c>
      <c r="J203" s="33"/>
      <c r="K203" s="28"/>
      <c r="L203" s="29"/>
    </row>
    <row r="204" spans="1:12" s="30" customFormat="1" ht="15" hidden="1">
      <c r="A204" s="33"/>
      <c r="B204" s="34" t="str">
        <f>заказы!A239</f>
        <v>МаТаДа</v>
      </c>
      <c r="C204" s="36" t="s">
        <v>254</v>
      </c>
      <c r="D204" s="48">
        <v>2.6</v>
      </c>
      <c r="E204" s="40">
        <f>D204/$D$221*$E$221+2/3</f>
        <v>17.956144578313257</v>
      </c>
      <c r="F204" s="40">
        <f>ROUNDUP(E204*28,)</f>
        <v>503</v>
      </c>
      <c r="G204" s="40">
        <f>заказы!N243</f>
        <v>537</v>
      </c>
      <c r="H204" s="40">
        <v>-34</v>
      </c>
      <c r="I204" s="41">
        <f aca="true" t="shared" si="22" ref="I204:I219">H204-F204+G204</f>
        <v>0</v>
      </c>
      <c r="J204" s="50" t="s">
        <v>398</v>
      </c>
      <c r="K204" s="66"/>
      <c r="L204" s="29"/>
    </row>
    <row r="205" spans="1:17" s="30" customFormat="1" ht="15" hidden="1">
      <c r="A205" s="33"/>
      <c r="B205" s="34" t="str">
        <f>заказы!A246</f>
        <v>Esenka</v>
      </c>
      <c r="C205" s="36" t="s">
        <v>254</v>
      </c>
      <c r="D205" s="48">
        <v>2.2</v>
      </c>
      <c r="E205" s="40">
        <f>D205/$D$221*$E$221+2/3</f>
        <v>15.296224899598396</v>
      </c>
      <c r="F205" s="40">
        <f aca="true" t="shared" si="23" ref="F205:F220">ROUNDUP(E205*28,)</f>
        <v>429</v>
      </c>
      <c r="G205" s="40">
        <f>заказы!N250</f>
        <v>208</v>
      </c>
      <c r="H205" s="40">
        <f>20+200</f>
        <v>220</v>
      </c>
      <c r="I205" s="41">
        <f t="shared" si="22"/>
        <v>-1</v>
      </c>
      <c r="J205" s="50"/>
      <c r="K205" s="28"/>
      <c r="L205" s="28"/>
      <c r="M205" s="28"/>
      <c r="N205" s="28"/>
      <c r="O205" s="28"/>
      <c r="P205" s="28"/>
      <c r="Q205" s="28"/>
    </row>
    <row r="206" spans="1:17" s="30" customFormat="1" ht="15" hidden="1">
      <c r="A206" s="33"/>
      <c r="B206" s="34" t="str">
        <f>заказы!A253</f>
        <v>Тиффани</v>
      </c>
      <c r="C206" s="36" t="s">
        <v>254</v>
      </c>
      <c r="D206" s="48">
        <v>2</v>
      </c>
      <c r="E206" s="40">
        <f>D206/$D$221*$E$221+2/3</f>
        <v>13.966265060240964</v>
      </c>
      <c r="F206" s="40">
        <f t="shared" si="23"/>
        <v>392</v>
      </c>
      <c r="G206" s="40">
        <f>заказы!N257</f>
        <v>398</v>
      </c>
      <c r="H206" s="24"/>
      <c r="I206" s="41">
        <f t="shared" si="22"/>
        <v>6</v>
      </c>
      <c r="J206" s="50"/>
      <c r="K206" s="28"/>
      <c r="L206" s="28"/>
      <c r="M206" s="28"/>
      <c r="N206" s="28"/>
      <c r="O206" s="28"/>
      <c r="P206" s="28"/>
      <c r="Q206" s="28"/>
    </row>
    <row r="207" spans="1:17" s="30" customFormat="1" ht="15" hidden="1">
      <c r="A207" s="33"/>
      <c r="B207" s="34" t="str">
        <f>заказы!A274</f>
        <v>Punshpunsh</v>
      </c>
      <c r="C207" s="36" t="s">
        <v>284</v>
      </c>
      <c r="D207" s="48">
        <v>2</v>
      </c>
      <c r="E207" s="40">
        <f>D207/$D$221*$E$221+1</f>
        <v>14.299598393574298</v>
      </c>
      <c r="F207" s="40">
        <f t="shared" si="23"/>
        <v>401</v>
      </c>
      <c r="G207" s="40">
        <f>заказы!N278</f>
        <v>637</v>
      </c>
      <c r="H207" s="40">
        <v>-236</v>
      </c>
      <c r="I207" s="41">
        <f t="shared" si="22"/>
        <v>0</v>
      </c>
      <c r="J207" s="50"/>
      <c r="K207" s="28"/>
      <c r="L207" s="28"/>
      <c r="M207" s="28"/>
      <c r="N207" s="28"/>
      <c r="O207" s="28"/>
      <c r="P207" s="28"/>
      <c r="Q207" s="28"/>
    </row>
    <row r="208" spans="1:17" s="30" customFormat="1" ht="15" hidden="1">
      <c r="A208" s="33"/>
      <c r="B208" s="34" t="str">
        <f>заказы!A281</f>
        <v>nimadava</v>
      </c>
      <c r="C208" s="36" t="s">
        <v>284</v>
      </c>
      <c r="D208" s="48">
        <v>2</v>
      </c>
      <c r="E208" s="40">
        <f>D208/$D$221*$E$221+1</f>
        <v>14.299598393574298</v>
      </c>
      <c r="F208" s="40">
        <f t="shared" si="23"/>
        <v>401</v>
      </c>
      <c r="G208" s="40">
        <f>заказы!N285</f>
        <v>123</v>
      </c>
      <c r="H208" s="40">
        <f>250+28</f>
        <v>278</v>
      </c>
      <c r="I208" s="41">
        <f t="shared" si="22"/>
        <v>0</v>
      </c>
      <c r="J208" s="50" t="s">
        <v>366</v>
      </c>
      <c r="K208" s="28"/>
      <c r="L208" s="28"/>
      <c r="M208" s="28"/>
      <c r="N208" s="28"/>
      <c r="O208" s="28"/>
      <c r="P208" s="28"/>
      <c r="Q208" s="28"/>
    </row>
    <row r="209" spans="1:17" s="30" customFormat="1" ht="15" hidden="1">
      <c r="A209" s="33"/>
      <c r="B209" s="34" t="s">
        <v>37</v>
      </c>
      <c r="C209" s="36" t="s">
        <v>291</v>
      </c>
      <c r="D209" s="48">
        <v>2.2</v>
      </c>
      <c r="E209" s="40">
        <f>D209/$D$221*$E$221+2</f>
        <v>16.62955823293173</v>
      </c>
      <c r="F209" s="40">
        <f t="shared" si="23"/>
        <v>466</v>
      </c>
      <c r="G209" s="40">
        <v>548</v>
      </c>
      <c r="H209" s="40">
        <v>-82</v>
      </c>
      <c r="I209" s="41">
        <f t="shared" si="22"/>
        <v>0</v>
      </c>
      <c r="J209" s="50"/>
      <c r="K209" s="66"/>
      <c r="L209" s="28"/>
      <c r="M209" s="28"/>
      <c r="N209" s="28"/>
      <c r="O209" s="28"/>
      <c r="P209" s="28"/>
      <c r="Q209" s="28"/>
    </row>
    <row r="210" spans="1:17" s="30" customFormat="1" ht="15" hidden="1">
      <c r="A210" s="33"/>
      <c r="B210" s="34" t="s">
        <v>40</v>
      </c>
      <c r="C210" s="36" t="s">
        <v>58</v>
      </c>
      <c r="D210" s="48">
        <v>0.8</v>
      </c>
      <c r="E210" s="40">
        <f>D210/$D$221*$E$221+6</f>
        <v>11.31983935742972</v>
      </c>
      <c r="F210" s="40">
        <f t="shared" si="23"/>
        <v>317</v>
      </c>
      <c r="G210" s="40">
        <v>50</v>
      </c>
      <c r="H210" s="40">
        <v>267</v>
      </c>
      <c r="I210" s="41">
        <f t="shared" si="22"/>
        <v>0</v>
      </c>
      <c r="J210" s="50"/>
      <c r="K210" s="66"/>
      <c r="L210" s="28"/>
      <c r="M210" s="28"/>
      <c r="N210" s="28"/>
      <c r="O210" s="28"/>
      <c r="P210" s="28"/>
      <c r="Q210" s="28"/>
    </row>
    <row r="211" spans="1:17" s="30" customFormat="1" ht="15" hidden="1">
      <c r="A211" s="33"/>
      <c r="B211" s="34" t="s">
        <v>296</v>
      </c>
      <c r="C211" s="36" t="s">
        <v>301</v>
      </c>
      <c r="D211" s="48">
        <v>1.5</v>
      </c>
      <c r="E211" s="40">
        <f>D211/$D$221*$E$221+2/5</f>
        <v>10.374698795180725</v>
      </c>
      <c r="F211" s="40">
        <f t="shared" si="23"/>
        <v>291</v>
      </c>
      <c r="G211" s="40">
        <v>720</v>
      </c>
      <c r="H211" s="40">
        <v>-429</v>
      </c>
      <c r="I211" s="41">
        <f t="shared" si="22"/>
        <v>0</v>
      </c>
      <c r="J211" s="50"/>
      <c r="K211" s="66"/>
      <c r="L211" s="28"/>
      <c r="M211" s="28"/>
      <c r="N211" s="28"/>
      <c r="O211" s="28"/>
      <c r="P211" s="28"/>
      <c r="Q211" s="28"/>
    </row>
    <row r="212" spans="1:17" s="30" customFormat="1" ht="15" hidden="1">
      <c r="A212" s="33"/>
      <c r="B212" s="34" t="s">
        <v>297</v>
      </c>
      <c r="C212" s="36" t="s">
        <v>301</v>
      </c>
      <c r="D212" s="48">
        <v>1</v>
      </c>
      <c r="E212" s="40">
        <f>D212/$D$221*$E$221+2/5</f>
        <v>7.049799196787149</v>
      </c>
      <c r="F212" s="40">
        <f t="shared" si="23"/>
        <v>198</v>
      </c>
      <c r="G212" s="40">
        <v>497</v>
      </c>
      <c r="H212" s="40">
        <v>-299</v>
      </c>
      <c r="I212" s="41">
        <f t="shared" si="22"/>
        <v>0</v>
      </c>
      <c r="J212" s="50"/>
      <c r="K212" s="28"/>
      <c r="L212" s="28"/>
      <c r="M212" s="28"/>
      <c r="N212" s="28"/>
      <c r="O212" s="28"/>
      <c r="P212" s="28"/>
      <c r="Q212" s="28"/>
    </row>
    <row r="213" spans="1:17" s="30" customFormat="1" ht="15" hidden="1">
      <c r="A213" s="33"/>
      <c r="B213" s="34" t="s">
        <v>290</v>
      </c>
      <c r="C213" s="36" t="s">
        <v>301</v>
      </c>
      <c r="D213" s="48">
        <v>1.2</v>
      </c>
      <c r="E213" s="40">
        <f>D213/$D$221*$E$221+2/5</f>
        <v>8.379759036144579</v>
      </c>
      <c r="F213" s="40">
        <f t="shared" si="23"/>
        <v>235</v>
      </c>
      <c r="G213" s="40">
        <v>1367</v>
      </c>
      <c r="H213" s="40">
        <v>-1132</v>
      </c>
      <c r="I213" s="41">
        <f t="shared" si="22"/>
        <v>0</v>
      </c>
      <c r="J213" s="50" t="s">
        <v>314</v>
      </c>
      <c r="K213" s="28"/>
      <c r="L213" s="28"/>
      <c r="M213" s="28"/>
      <c r="N213" s="28"/>
      <c r="O213" s="28"/>
      <c r="P213" s="28"/>
      <c r="Q213" s="28"/>
    </row>
    <row r="214" spans="1:17" s="30" customFormat="1" ht="15" hidden="1">
      <c r="A214" s="33"/>
      <c r="B214" s="34" t="s">
        <v>308</v>
      </c>
      <c r="C214" s="36" t="s">
        <v>301</v>
      </c>
      <c r="D214" s="48">
        <v>1.2</v>
      </c>
      <c r="E214" s="40">
        <f>D214/$D$221*$E$221+2/5</f>
        <v>8.379759036144579</v>
      </c>
      <c r="F214" s="40">
        <f t="shared" si="23"/>
        <v>235</v>
      </c>
      <c r="G214" s="40">
        <v>460</v>
      </c>
      <c r="H214" s="40">
        <v>-225</v>
      </c>
      <c r="I214" s="41">
        <f t="shared" si="22"/>
        <v>0</v>
      </c>
      <c r="J214" s="50"/>
      <c r="K214" s="28"/>
      <c r="L214" s="28"/>
      <c r="M214" s="28"/>
      <c r="N214" s="28"/>
      <c r="O214" s="28"/>
      <c r="P214" s="28"/>
      <c r="Q214" s="28"/>
    </row>
    <row r="215" spans="1:17" s="30" customFormat="1" ht="15">
      <c r="A215" s="33"/>
      <c r="B215" s="34" t="s">
        <v>309</v>
      </c>
      <c r="C215" s="36" t="s">
        <v>301</v>
      </c>
      <c r="D215" s="48">
        <v>1</v>
      </c>
      <c r="E215" s="40">
        <f>D215/$D$221*$E$221+2/5</f>
        <v>7.049799196787149</v>
      </c>
      <c r="F215" s="40">
        <f>ROUNDUP(E215*28,)</f>
        <v>198</v>
      </c>
      <c r="G215" s="40">
        <v>250</v>
      </c>
      <c r="H215" s="40">
        <v>-52</v>
      </c>
      <c r="I215" s="41">
        <f t="shared" si="22"/>
        <v>0</v>
      </c>
      <c r="J215" s="50" t="s">
        <v>459</v>
      </c>
      <c r="K215" s="28"/>
      <c r="L215" s="28"/>
      <c r="M215" s="28"/>
      <c r="N215" s="28"/>
      <c r="O215" s="28"/>
      <c r="P215" s="28"/>
      <c r="Q215" s="28"/>
    </row>
    <row r="216" spans="1:17" s="30" customFormat="1" ht="15" hidden="1">
      <c r="A216" s="33"/>
      <c r="B216" s="34" t="s">
        <v>310</v>
      </c>
      <c r="C216" s="36" t="s">
        <v>295</v>
      </c>
      <c r="D216" s="48">
        <v>0.9</v>
      </c>
      <c r="E216" s="40">
        <f>D216/$D$221*$E$221+2/5</f>
        <v>6.384819277108435</v>
      </c>
      <c r="F216" s="40">
        <f>ROUNDUP(E216*28,)</f>
        <v>179</v>
      </c>
      <c r="G216" s="40">
        <v>875.7849999999999</v>
      </c>
      <c r="H216" s="40">
        <v>-697</v>
      </c>
      <c r="I216" s="41">
        <v>0</v>
      </c>
      <c r="J216" s="50"/>
      <c r="K216" s="28"/>
      <c r="L216" s="28"/>
      <c r="M216" s="28"/>
      <c r="N216" s="28"/>
      <c r="O216" s="28"/>
      <c r="P216" s="28"/>
      <c r="Q216" s="28"/>
    </row>
    <row r="217" spans="1:17" s="30" customFormat="1" ht="15" hidden="1">
      <c r="A217" s="33"/>
      <c r="B217" s="34" t="s">
        <v>153</v>
      </c>
      <c r="C217" s="36" t="s">
        <v>295</v>
      </c>
      <c r="D217" s="48">
        <v>1.3</v>
      </c>
      <c r="E217" s="40">
        <f>D217/$D$221*$E$221+2/5</f>
        <v>9.044738955823295</v>
      </c>
      <c r="F217" s="40">
        <f>ROUNDUP(E217*28,)</f>
        <v>254</v>
      </c>
      <c r="G217" s="40">
        <v>-23.714999999999918</v>
      </c>
      <c r="H217" s="40">
        <f>129+149</f>
        <v>278</v>
      </c>
      <c r="I217" s="41">
        <f t="shared" si="22"/>
        <v>0.28500000000008185</v>
      </c>
      <c r="J217" s="50" t="s">
        <v>357</v>
      </c>
      <c r="K217" s="28" t="s">
        <v>382</v>
      </c>
      <c r="L217" s="28"/>
      <c r="M217" s="28"/>
      <c r="N217" s="28"/>
      <c r="O217" s="28"/>
      <c r="P217" s="28"/>
      <c r="Q217" s="28"/>
    </row>
    <row r="218" spans="1:17" s="30" customFormat="1" ht="15" hidden="1">
      <c r="A218" s="33"/>
      <c r="B218" s="34" t="s">
        <v>47</v>
      </c>
      <c r="C218" s="36" t="s">
        <v>295</v>
      </c>
      <c r="D218" s="48">
        <v>1</v>
      </c>
      <c r="E218" s="40">
        <f>D218/$D$221*$E$221+2/5</f>
        <v>7.049799196787149</v>
      </c>
      <c r="F218" s="40">
        <f>ROUNDUP(E218*28,)</f>
        <v>198</v>
      </c>
      <c r="G218" s="40">
        <v>29.784999999999968</v>
      </c>
      <c r="H218" s="40">
        <f>43+125+21-21</f>
        <v>168</v>
      </c>
      <c r="I218" s="41">
        <f t="shared" si="22"/>
        <v>-0.21500000000003183</v>
      </c>
      <c r="J218" s="50" t="s">
        <v>367</v>
      </c>
      <c r="K218" s="28"/>
      <c r="L218" s="28"/>
      <c r="M218" s="28"/>
      <c r="N218" s="28"/>
      <c r="O218" s="28"/>
      <c r="P218" s="28"/>
      <c r="Q218" s="28"/>
    </row>
    <row r="219" spans="1:17" s="30" customFormat="1" ht="15" hidden="1">
      <c r="A219" s="33"/>
      <c r="B219" s="34" t="s">
        <v>23</v>
      </c>
      <c r="C219" s="36" t="s">
        <v>295</v>
      </c>
      <c r="D219" s="48">
        <v>1.5</v>
      </c>
      <c r="E219" s="40">
        <f>D219/$D$221*$E$221+2/5</f>
        <v>10.374698795180725</v>
      </c>
      <c r="F219" s="40">
        <f>ROUNDUP(E219*28,)</f>
        <v>291</v>
      </c>
      <c r="G219" s="40">
        <v>421.7850000000003</v>
      </c>
      <c r="H219" s="40">
        <v>-131</v>
      </c>
      <c r="I219" s="41">
        <f t="shared" si="22"/>
        <v>-0.21499999999969077</v>
      </c>
      <c r="J219" s="50" t="s">
        <v>385</v>
      </c>
      <c r="K219" s="28"/>
      <c r="L219" s="28"/>
      <c r="M219" s="28"/>
      <c r="N219" s="28"/>
      <c r="O219" s="28"/>
      <c r="P219" s="28"/>
      <c r="Q219" s="28"/>
    </row>
    <row r="220" spans="1:17" s="30" customFormat="1" ht="15" hidden="1">
      <c r="A220" s="33"/>
      <c r="B220" s="34" t="s">
        <v>16</v>
      </c>
      <c r="C220" s="36" t="s">
        <v>295</v>
      </c>
      <c r="D220" s="48">
        <v>0.5</v>
      </c>
      <c r="E220" s="40">
        <f>D220/$D$221*$E$221+2/5</f>
        <v>3.7248995983935744</v>
      </c>
      <c r="F220" s="40">
        <f t="shared" si="23"/>
        <v>105</v>
      </c>
      <c r="G220" s="40"/>
      <c r="H220" s="40"/>
      <c r="I220" s="41"/>
      <c r="J220" s="50"/>
      <c r="K220" s="28"/>
      <c r="L220" s="28"/>
      <c r="M220" s="28"/>
      <c r="N220" s="28"/>
      <c r="O220" s="28"/>
      <c r="P220" s="28"/>
      <c r="Q220" s="28"/>
    </row>
    <row r="221" spans="2:10" ht="15">
      <c r="B221" s="34"/>
      <c r="C221" s="42"/>
      <c r="D221" s="48">
        <v>24.9</v>
      </c>
      <c r="E221" s="43">
        <f>181.58-16</f>
        <v>165.58</v>
      </c>
      <c r="F221" s="47">
        <f>SUM(F204:F220)</f>
        <v>5093</v>
      </c>
      <c r="G221" s="44">
        <f>SUM(G204:G220)</f>
        <v>7098.639999999999</v>
      </c>
      <c r="H221" s="44"/>
      <c r="I221" s="45">
        <f>SUM(I204:I220)</f>
        <v>4.855000000000359</v>
      </c>
      <c r="J221" s="50"/>
    </row>
    <row r="222" spans="4:5" ht="15">
      <c r="D222" s="49"/>
      <c r="E222" s="65">
        <f>SUM(E204:E220)</f>
        <v>181.58000000000004</v>
      </c>
    </row>
    <row r="225" spans="1:13" s="30" customFormat="1" ht="15">
      <c r="A225" s="33"/>
      <c r="B225" s="213" t="s">
        <v>292</v>
      </c>
      <c r="C225" s="214"/>
      <c r="D225" s="214"/>
      <c r="E225" s="214"/>
      <c r="F225" s="214"/>
      <c r="G225" s="215"/>
      <c r="H225" s="99"/>
      <c r="I225" s="100" t="s">
        <v>299</v>
      </c>
      <c r="J225" s="33"/>
      <c r="K225" s="28"/>
      <c r="L225" s="29"/>
      <c r="M225" s="98"/>
    </row>
    <row r="226" spans="1:12" s="30" customFormat="1" ht="23.25">
      <c r="A226" s="33"/>
      <c r="B226" s="34"/>
      <c r="C226" s="35"/>
      <c r="D226" s="46" t="s">
        <v>30</v>
      </c>
      <c r="E226" s="37" t="s">
        <v>27</v>
      </c>
      <c r="F226" s="36" t="s">
        <v>11</v>
      </c>
      <c r="G226" s="46" t="s">
        <v>52</v>
      </c>
      <c r="H226" s="38" t="s">
        <v>24</v>
      </c>
      <c r="I226" s="39" t="s">
        <v>28</v>
      </c>
      <c r="J226" s="33"/>
      <c r="K226" s="28"/>
      <c r="L226" s="29"/>
    </row>
    <row r="227" spans="1:12" s="30" customFormat="1" ht="15" hidden="1">
      <c r="A227" s="33"/>
      <c r="B227" s="34" t="str">
        <f>заказы!A139</f>
        <v>Тиффани</v>
      </c>
      <c r="C227" s="36" t="s">
        <v>293</v>
      </c>
      <c r="D227" s="48">
        <f>2.4+4.2</f>
        <v>6.6</v>
      </c>
      <c r="E227" s="40">
        <f>D227/$D$239*$E$239</f>
        <v>54.22341013824885</v>
      </c>
      <c r="F227" s="40">
        <f>ROUNDUP(E227*28,)</f>
        <v>1519</v>
      </c>
      <c r="G227" s="40">
        <f>заказы!N143+заказы!N187</f>
        <v>453</v>
      </c>
      <c r="H227" s="40">
        <f>24+1042</f>
        <v>1066</v>
      </c>
      <c r="I227" s="41">
        <f aca="true" t="shared" si="24" ref="I227:I237">H227-F227+G227</f>
        <v>0</v>
      </c>
      <c r="J227" s="50"/>
      <c r="K227" s="66"/>
      <c r="L227" s="29"/>
    </row>
    <row r="228" spans="1:17" s="30" customFormat="1" ht="15" hidden="1">
      <c r="A228" s="33"/>
      <c r="B228" s="34" t="str">
        <f>заказы!A146</f>
        <v>DiAnna</v>
      </c>
      <c r="C228" s="36" t="s">
        <v>294</v>
      </c>
      <c r="D228" s="48">
        <f>2+1.5</f>
        <v>3.5</v>
      </c>
      <c r="E228" s="40">
        <f aca="true" t="shared" si="25" ref="E228:E238">D228/$D$239*$E$239</f>
        <v>28.75483870967742</v>
      </c>
      <c r="F228" s="40">
        <f aca="true" t="shared" si="26" ref="F228:F238">ROUNDUP(E228*28,)</f>
        <v>806</v>
      </c>
      <c r="G228" s="40">
        <f>заказы!N150+заказы!N215</f>
        <v>888</v>
      </c>
      <c r="H228" s="40">
        <v>-82</v>
      </c>
      <c r="I228" s="41">
        <f t="shared" si="24"/>
        <v>0</v>
      </c>
      <c r="J228" s="50"/>
      <c r="K228" s="28"/>
      <c r="L228" s="28"/>
      <c r="M228" s="28"/>
      <c r="N228" s="28"/>
      <c r="O228" s="28"/>
      <c r="P228" s="28"/>
      <c r="Q228" s="28"/>
    </row>
    <row r="229" spans="1:17" s="30" customFormat="1" ht="15" hidden="1">
      <c r="A229" s="33"/>
      <c r="B229" s="34" t="str">
        <f>заказы!A190</f>
        <v>am-nn</v>
      </c>
      <c r="C229" s="36" t="s">
        <v>160</v>
      </c>
      <c r="D229" s="48">
        <v>0.6</v>
      </c>
      <c r="E229" s="40">
        <f t="shared" si="25"/>
        <v>4.929400921658986</v>
      </c>
      <c r="F229" s="40">
        <f t="shared" si="26"/>
        <v>139</v>
      </c>
      <c r="G229" s="40">
        <f>заказы!N194</f>
        <v>173</v>
      </c>
      <c r="H229" s="24">
        <v>-34</v>
      </c>
      <c r="I229" s="41">
        <f t="shared" si="24"/>
        <v>0</v>
      </c>
      <c r="J229" s="50"/>
      <c r="K229" s="28"/>
      <c r="L229" s="28"/>
      <c r="M229" s="28"/>
      <c r="N229" s="28"/>
      <c r="O229" s="28"/>
      <c r="P229" s="28"/>
      <c r="Q229" s="28"/>
    </row>
    <row r="230" spans="1:17" s="30" customFormat="1" ht="15" hidden="1">
      <c r="A230" s="33"/>
      <c r="B230" s="34" t="str">
        <f>заказы!A225</f>
        <v>Малышен</v>
      </c>
      <c r="C230" s="36" t="s">
        <v>31</v>
      </c>
      <c r="D230" s="48">
        <v>0.3</v>
      </c>
      <c r="E230" s="40">
        <f t="shared" si="25"/>
        <v>2.464700460829493</v>
      </c>
      <c r="F230" s="40">
        <f t="shared" si="26"/>
        <v>70</v>
      </c>
      <c r="G230" s="40">
        <f>заказы!N229</f>
        <v>49</v>
      </c>
      <c r="H230" s="40">
        <v>21</v>
      </c>
      <c r="I230" s="41">
        <f t="shared" si="24"/>
        <v>0</v>
      </c>
      <c r="J230" s="50"/>
      <c r="K230" s="28"/>
      <c r="L230" s="28"/>
      <c r="M230" s="28"/>
      <c r="N230" s="28"/>
      <c r="O230" s="28"/>
      <c r="P230" s="28"/>
      <c r="Q230" s="28"/>
    </row>
    <row r="231" spans="1:17" s="30" customFormat="1" ht="15" hidden="1">
      <c r="A231" s="33"/>
      <c r="B231" s="34" t="str">
        <f>заказы!A232</f>
        <v>Лана80</v>
      </c>
      <c r="C231" s="36" t="s">
        <v>250</v>
      </c>
      <c r="D231" s="48">
        <v>1.8</v>
      </c>
      <c r="E231" s="40">
        <f t="shared" si="25"/>
        <v>14.788202764976958</v>
      </c>
      <c r="F231" s="40">
        <f t="shared" si="26"/>
        <v>415</v>
      </c>
      <c r="G231" s="40">
        <f>заказы!N236</f>
        <v>140</v>
      </c>
      <c r="H231" s="40">
        <v>275</v>
      </c>
      <c r="I231" s="41">
        <f t="shared" si="24"/>
        <v>0</v>
      </c>
      <c r="J231" s="50"/>
      <c r="K231" s="28"/>
      <c r="L231" s="28"/>
      <c r="M231" s="28"/>
      <c r="N231" s="28"/>
      <c r="O231" s="28"/>
      <c r="P231" s="28"/>
      <c r="Q231" s="28"/>
    </row>
    <row r="232" spans="1:17" s="30" customFormat="1" ht="15" hidden="1">
      <c r="A232" s="33"/>
      <c r="B232" s="34" t="str">
        <f>заказы!A260</f>
        <v>jirabasik</v>
      </c>
      <c r="C232" s="36" t="s">
        <v>266</v>
      </c>
      <c r="D232" s="48">
        <v>0.1</v>
      </c>
      <c r="E232" s="40">
        <f>D232/$D$239*$E$239+2</f>
        <v>2.8215668202764976</v>
      </c>
      <c r="F232" s="40">
        <f t="shared" si="26"/>
        <v>80</v>
      </c>
      <c r="G232" s="40">
        <f>заказы!N264</f>
        <v>86</v>
      </c>
      <c r="H232" s="40"/>
      <c r="I232" s="41">
        <f t="shared" si="24"/>
        <v>6</v>
      </c>
      <c r="J232" s="50"/>
      <c r="K232" s="66"/>
      <c r="L232" s="28"/>
      <c r="M232" s="28"/>
      <c r="N232" s="28"/>
      <c r="O232" s="28"/>
      <c r="P232" s="28"/>
      <c r="Q232" s="28"/>
    </row>
    <row r="233" spans="1:17" s="30" customFormat="1" ht="15" hidden="1">
      <c r="A233" s="33"/>
      <c r="B233" s="34" t="str">
        <f>заказы!A267</f>
        <v>eiskhakov </v>
      </c>
      <c r="C233" s="36" t="s">
        <v>267</v>
      </c>
      <c r="D233" s="48">
        <v>0.8</v>
      </c>
      <c r="E233" s="40">
        <f t="shared" si="25"/>
        <v>6.572534562211982</v>
      </c>
      <c r="F233" s="40">
        <f t="shared" si="26"/>
        <v>185</v>
      </c>
      <c r="G233" s="40">
        <f>заказы!N271</f>
        <v>-52</v>
      </c>
      <c r="H233" s="40">
        <v>237</v>
      </c>
      <c r="I233" s="41">
        <f t="shared" si="24"/>
        <v>0</v>
      </c>
      <c r="J233" s="50"/>
      <c r="K233" s="66"/>
      <c r="L233" s="28"/>
      <c r="M233" s="28"/>
      <c r="N233" s="28"/>
      <c r="O233" s="28"/>
      <c r="P233" s="28"/>
      <c r="Q233" s="28"/>
    </row>
    <row r="234" spans="1:17" s="30" customFormat="1" ht="15" hidden="1">
      <c r="A234" s="33"/>
      <c r="B234" s="34" t="s">
        <v>71</v>
      </c>
      <c r="C234" s="36" t="s">
        <v>295</v>
      </c>
      <c r="D234" s="48">
        <v>2.8</v>
      </c>
      <c r="E234" s="40">
        <f t="shared" si="25"/>
        <v>23.003870967741936</v>
      </c>
      <c r="F234" s="40">
        <f t="shared" si="26"/>
        <v>645</v>
      </c>
      <c r="G234" s="40">
        <v>909</v>
      </c>
      <c r="H234" s="40">
        <v>-264</v>
      </c>
      <c r="I234" s="41">
        <f t="shared" si="24"/>
        <v>0</v>
      </c>
      <c r="J234" s="50"/>
      <c r="K234" s="66"/>
      <c r="L234" s="28"/>
      <c r="M234" s="28"/>
      <c r="N234" s="28"/>
      <c r="O234" s="28"/>
      <c r="P234" s="28"/>
      <c r="Q234" s="28"/>
    </row>
    <row r="235" spans="1:17" s="30" customFormat="1" ht="15" hidden="1">
      <c r="A235" s="33"/>
      <c r="B235" s="34" t="s">
        <v>50</v>
      </c>
      <c r="C235" s="36" t="s">
        <v>295</v>
      </c>
      <c r="D235" s="48">
        <v>1.2</v>
      </c>
      <c r="E235" s="40">
        <f t="shared" si="25"/>
        <v>9.858801843317972</v>
      </c>
      <c r="F235" s="40">
        <f t="shared" si="26"/>
        <v>277</v>
      </c>
      <c r="G235" s="40">
        <v>33</v>
      </c>
      <c r="H235" s="40">
        <v>244</v>
      </c>
      <c r="I235" s="41">
        <f t="shared" si="24"/>
        <v>0</v>
      </c>
      <c r="J235" s="50"/>
      <c r="K235" s="28"/>
      <c r="L235" s="28"/>
      <c r="M235" s="28"/>
      <c r="N235" s="28"/>
      <c r="O235" s="28"/>
      <c r="P235" s="28"/>
      <c r="Q235" s="28"/>
    </row>
    <row r="236" spans="1:17" s="30" customFormat="1" ht="15" hidden="1">
      <c r="A236" s="33"/>
      <c r="B236" s="34" t="s">
        <v>23</v>
      </c>
      <c r="C236" s="36" t="s">
        <v>295</v>
      </c>
      <c r="D236" s="48">
        <v>1.5</v>
      </c>
      <c r="E236" s="40">
        <f t="shared" si="25"/>
        <v>12.323502304147466</v>
      </c>
      <c r="F236" s="40">
        <f t="shared" si="26"/>
        <v>346</v>
      </c>
      <c r="G236" s="40">
        <v>497</v>
      </c>
      <c r="H236" s="40">
        <v>-151</v>
      </c>
      <c r="I236" s="41">
        <f t="shared" si="24"/>
        <v>0</v>
      </c>
      <c r="J236" s="50" t="s">
        <v>384</v>
      </c>
      <c r="K236" s="28"/>
      <c r="L236" s="28"/>
      <c r="M236" s="28"/>
      <c r="N236" s="28"/>
      <c r="O236" s="28"/>
      <c r="P236" s="28"/>
      <c r="Q236" s="28"/>
    </row>
    <row r="237" spans="1:17" s="30" customFormat="1" ht="15">
      <c r="A237" s="33"/>
      <c r="B237" s="34" t="s">
        <v>63</v>
      </c>
      <c r="C237" s="36" t="s">
        <v>295</v>
      </c>
      <c r="D237" s="48">
        <v>1.2</v>
      </c>
      <c r="E237" s="40">
        <f t="shared" si="25"/>
        <v>9.858801843317972</v>
      </c>
      <c r="F237" s="40">
        <f t="shared" si="26"/>
        <v>277</v>
      </c>
      <c r="G237" s="40">
        <v>46</v>
      </c>
      <c r="H237" s="40">
        <f>40+159+80</f>
        <v>279</v>
      </c>
      <c r="I237" s="41">
        <f t="shared" si="24"/>
        <v>48</v>
      </c>
      <c r="J237" s="50"/>
      <c r="K237" s="28"/>
      <c r="L237" s="28"/>
      <c r="M237" s="28"/>
      <c r="N237" s="28"/>
      <c r="O237" s="28"/>
      <c r="P237" s="28"/>
      <c r="Q237" s="28"/>
    </row>
    <row r="238" spans="1:17" s="30" customFormat="1" ht="15" hidden="1">
      <c r="A238" s="33"/>
      <c r="B238" s="34" t="s">
        <v>16</v>
      </c>
      <c r="C238" s="36"/>
      <c r="D238" s="48">
        <v>1.3</v>
      </c>
      <c r="E238" s="40">
        <f t="shared" si="25"/>
        <v>10.680368663594471</v>
      </c>
      <c r="F238" s="40">
        <f t="shared" si="26"/>
        <v>300</v>
      </c>
      <c r="G238" s="40"/>
      <c r="H238" s="40"/>
      <c r="I238" s="41"/>
      <c r="J238" s="50"/>
      <c r="K238" s="28"/>
      <c r="L238" s="28"/>
      <c r="M238" s="28"/>
      <c r="N238" s="28"/>
      <c r="O238" s="28"/>
      <c r="P238" s="28"/>
      <c r="Q238" s="28"/>
    </row>
    <row r="239" spans="2:10" ht="15">
      <c r="B239" s="34"/>
      <c r="C239" s="42"/>
      <c r="D239" s="48">
        <v>21.7</v>
      </c>
      <c r="E239" s="43">
        <f>180.28-2</f>
        <v>178.28</v>
      </c>
      <c r="F239" s="47">
        <f>SUM(F227:F238)</f>
        <v>5059</v>
      </c>
      <c r="G239" s="44">
        <f>SUM(G227:G238)</f>
        <v>3222</v>
      </c>
      <c r="H239" s="44"/>
      <c r="I239" s="45">
        <f>SUM(I227:I238)</f>
        <v>54</v>
      </c>
      <c r="J239" s="50"/>
    </row>
    <row r="240" spans="4:5" ht="15">
      <c r="D240" s="49"/>
      <c r="E240" s="65"/>
    </row>
    <row r="244" spans="1:13" s="149" customFormat="1" ht="15">
      <c r="A244" s="143"/>
      <c r="B244" s="210" t="s">
        <v>242</v>
      </c>
      <c r="C244" s="211"/>
      <c r="D244" s="211"/>
      <c r="E244" s="211"/>
      <c r="F244" s="211"/>
      <c r="G244" s="212"/>
      <c r="H244" s="144"/>
      <c r="I244" s="145" t="s">
        <v>265</v>
      </c>
      <c r="J244" s="143"/>
      <c r="K244" s="146"/>
      <c r="L244" s="147"/>
      <c r="M244" s="148"/>
    </row>
    <row r="245" spans="1:12" s="149" customFormat="1" ht="23.25">
      <c r="A245" s="143"/>
      <c r="B245" s="150"/>
      <c r="C245" s="151"/>
      <c r="D245" s="152" t="s">
        <v>30</v>
      </c>
      <c r="E245" s="153" t="s">
        <v>27</v>
      </c>
      <c r="F245" s="154" t="s">
        <v>11</v>
      </c>
      <c r="G245" s="152" t="s">
        <v>52</v>
      </c>
      <c r="H245" s="155" t="s">
        <v>24</v>
      </c>
      <c r="I245" s="156" t="s">
        <v>28</v>
      </c>
      <c r="J245" s="143"/>
      <c r="K245" s="146"/>
      <c r="L245" s="147"/>
    </row>
    <row r="246" spans="1:12" s="149" customFormat="1" ht="15">
      <c r="A246" s="143"/>
      <c r="B246" s="150" t="str">
        <f>заказы!A62</f>
        <v>Вилия</v>
      </c>
      <c r="C246" s="154" t="s">
        <v>245</v>
      </c>
      <c r="D246" s="157">
        <v>2.6</v>
      </c>
      <c r="E246" s="158">
        <f>D246/$D$258*$E$258+3/11</f>
        <v>21.34844820295983</v>
      </c>
      <c r="F246" s="158">
        <f>ROUNDUP(E246*28.5,)</f>
        <v>609</v>
      </c>
      <c r="G246" s="158">
        <f>заказы!N66+заказы!N164+заказы!N171</f>
        <v>1019</v>
      </c>
      <c r="H246" s="158">
        <v>-410</v>
      </c>
      <c r="I246" s="159">
        <f aca="true" t="shared" si="27" ref="I246:I255">H246-F246+G246</f>
        <v>0</v>
      </c>
      <c r="J246" s="160"/>
      <c r="K246" s="161"/>
      <c r="L246" s="147"/>
    </row>
    <row r="247" spans="1:17" s="149" customFormat="1" ht="15">
      <c r="A247" s="143"/>
      <c r="B247" s="150" t="str">
        <f>заказы!A69</f>
        <v>Natalie_n </v>
      </c>
      <c r="C247" s="154" t="s">
        <v>111</v>
      </c>
      <c r="D247" s="157">
        <v>1.7</v>
      </c>
      <c r="E247" s="158">
        <f aca="true" t="shared" si="28" ref="E247:E256">D247/$D$258*$E$258+3/11</f>
        <v>14.053006342494715</v>
      </c>
      <c r="F247" s="158">
        <f aca="true" t="shared" si="29" ref="F247:F257">ROUNDUP(E247*28.5,)</f>
        <v>401</v>
      </c>
      <c r="G247" s="158">
        <f>заказы!N73</f>
        <v>48</v>
      </c>
      <c r="H247" s="158">
        <v>353</v>
      </c>
      <c r="I247" s="159">
        <f t="shared" si="27"/>
        <v>0</v>
      </c>
      <c r="J247" s="160"/>
      <c r="K247" s="146"/>
      <c r="L247" s="146"/>
      <c r="M247" s="146"/>
      <c r="N247" s="146"/>
      <c r="O247" s="146"/>
      <c r="P247" s="146"/>
      <c r="Q247" s="146"/>
    </row>
    <row r="248" spans="1:17" s="149" customFormat="1" ht="15">
      <c r="A248" s="143"/>
      <c r="B248" s="150" t="str">
        <f>заказы!A111</f>
        <v>KsuKsu</v>
      </c>
      <c r="C248" s="154" t="s">
        <v>154</v>
      </c>
      <c r="D248" s="157">
        <v>1</v>
      </c>
      <c r="E248" s="158">
        <f t="shared" si="28"/>
        <v>8.37877378435518</v>
      </c>
      <c r="F248" s="158">
        <f t="shared" si="29"/>
        <v>239</v>
      </c>
      <c r="G248" s="158">
        <f>заказы!N115</f>
        <v>209</v>
      </c>
      <c r="H248" s="162">
        <v>30</v>
      </c>
      <c r="I248" s="159">
        <f t="shared" si="27"/>
        <v>0</v>
      </c>
      <c r="J248" s="160"/>
      <c r="K248" s="146"/>
      <c r="L248" s="146"/>
      <c r="M248" s="146"/>
      <c r="N248" s="146"/>
      <c r="O248" s="146"/>
      <c r="P248" s="146"/>
      <c r="Q248" s="146"/>
    </row>
    <row r="249" spans="1:17" s="149" customFormat="1" ht="15">
      <c r="A249" s="143"/>
      <c r="B249" s="150" t="str">
        <f>заказы!A118</f>
        <v>gala72</v>
      </c>
      <c r="C249" s="154" t="s">
        <v>154</v>
      </c>
      <c r="D249" s="157">
        <v>1.4</v>
      </c>
      <c r="E249" s="158">
        <f t="shared" si="28"/>
        <v>11.621192389006342</v>
      </c>
      <c r="F249" s="158">
        <f t="shared" si="29"/>
        <v>332</v>
      </c>
      <c r="G249" s="158">
        <f>заказы!N122</f>
        <v>483</v>
      </c>
      <c r="H249" s="158">
        <v>-151</v>
      </c>
      <c r="I249" s="159">
        <f t="shared" si="27"/>
        <v>0</v>
      </c>
      <c r="J249" s="160"/>
      <c r="K249" s="146"/>
      <c r="L249" s="146"/>
      <c r="M249" s="146"/>
      <c r="N249" s="146"/>
      <c r="O249" s="146"/>
      <c r="P249" s="146"/>
      <c r="Q249" s="146"/>
    </row>
    <row r="250" spans="1:17" s="149" customFormat="1" ht="15">
      <c r="A250" s="143"/>
      <c r="B250" s="150" t="str">
        <f>заказы!A125</f>
        <v>Punshpunsh</v>
      </c>
      <c r="C250" s="154" t="s">
        <v>154</v>
      </c>
      <c r="D250" s="157">
        <v>1.4</v>
      </c>
      <c r="E250" s="158">
        <f t="shared" si="28"/>
        <v>11.621192389006342</v>
      </c>
      <c r="F250" s="158">
        <f t="shared" si="29"/>
        <v>332</v>
      </c>
      <c r="G250" s="158">
        <f>заказы!N129</f>
        <v>100</v>
      </c>
      <c r="H250" s="158">
        <f>220+12</f>
        <v>232</v>
      </c>
      <c r="I250" s="159">
        <f t="shared" si="27"/>
        <v>0</v>
      </c>
      <c r="J250" s="160"/>
      <c r="K250" s="146"/>
      <c r="L250" s="146"/>
      <c r="M250" s="146"/>
      <c r="N250" s="146"/>
      <c r="O250" s="146"/>
      <c r="P250" s="146"/>
      <c r="Q250" s="146"/>
    </row>
    <row r="251" spans="1:17" s="149" customFormat="1" ht="15">
      <c r="A251" s="143"/>
      <c r="B251" s="150" t="str">
        <f>заказы!A132</f>
        <v>tatanikol</v>
      </c>
      <c r="C251" s="154" t="s">
        <v>155</v>
      </c>
      <c r="D251" s="157">
        <v>1.5</v>
      </c>
      <c r="E251" s="158">
        <f t="shared" si="28"/>
        <v>12.431797040169133</v>
      </c>
      <c r="F251" s="158">
        <f t="shared" si="29"/>
        <v>355</v>
      </c>
      <c r="G251" s="158">
        <f>заказы!N136</f>
        <v>233</v>
      </c>
      <c r="H251" s="158">
        <v>122</v>
      </c>
      <c r="I251" s="159">
        <f t="shared" si="27"/>
        <v>0</v>
      </c>
      <c r="J251" s="160"/>
      <c r="K251" s="161"/>
      <c r="L251" s="146"/>
      <c r="M251" s="146"/>
      <c r="N251" s="146"/>
      <c r="O251" s="146"/>
      <c r="P251" s="146"/>
      <c r="Q251" s="146"/>
    </row>
    <row r="252" spans="1:17" s="149" customFormat="1" ht="15">
      <c r="A252" s="143"/>
      <c r="B252" s="150" t="str">
        <f>заказы!A153</f>
        <v>Ниса</v>
      </c>
      <c r="C252" s="154" t="s">
        <v>157</v>
      </c>
      <c r="D252" s="157">
        <v>2.6</v>
      </c>
      <c r="E252" s="158">
        <f t="shared" si="28"/>
        <v>21.34844820295983</v>
      </c>
      <c r="F252" s="158">
        <f t="shared" si="29"/>
        <v>609</v>
      </c>
      <c r="G252" s="158">
        <f>заказы!N157</f>
        <v>6</v>
      </c>
      <c r="H252" s="158">
        <v>603</v>
      </c>
      <c r="I252" s="159">
        <f t="shared" si="27"/>
        <v>0</v>
      </c>
      <c r="J252" s="160"/>
      <c r="K252" s="161"/>
      <c r="L252" s="146"/>
      <c r="M252" s="146"/>
      <c r="N252" s="146"/>
      <c r="O252" s="146"/>
      <c r="P252" s="146"/>
      <c r="Q252" s="146"/>
    </row>
    <row r="253" spans="1:17" s="149" customFormat="1" ht="15">
      <c r="A253" s="143"/>
      <c r="B253" s="150" t="str">
        <f>заказы!A174</f>
        <v>nimadava</v>
      </c>
      <c r="C253" s="154" t="s">
        <v>158</v>
      </c>
      <c r="D253" s="157">
        <v>2.2</v>
      </c>
      <c r="E253" s="158">
        <f t="shared" si="28"/>
        <v>18.10602959830867</v>
      </c>
      <c r="F253" s="158">
        <f t="shared" si="29"/>
        <v>517</v>
      </c>
      <c r="G253" s="158">
        <f>заказы!N178</f>
        <v>918</v>
      </c>
      <c r="H253" s="158">
        <v>-401</v>
      </c>
      <c r="I253" s="159">
        <f t="shared" si="27"/>
        <v>0</v>
      </c>
      <c r="J253" s="160" t="s">
        <v>289</v>
      </c>
      <c r="K253" s="161"/>
      <c r="L253" s="146"/>
      <c r="M253" s="146"/>
      <c r="N253" s="146"/>
      <c r="O253" s="146"/>
      <c r="P253" s="146"/>
      <c r="Q253" s="146"/>
    </row>
    <row r="254" spans="1:17" s="149" customFormat="1" ht="15">
      <c r="A254" s="143"/>
      <c r="B254" s="150" t="s">
        <v>21</v>
      </c>
      <c r="C254" s="154" t="s">
        <v>57</v>
      </c>
      <c r="D254" s="157">
        <v>1.9</v>
      </c>
      <c r="E254" s="158">
        <f t="shared" si="28"/>
        <v>15.674215644820297</v>
      </c>
      <c r="F254" s="158">
        <f t="shared" si="29"/>
        <v>447</v>
      </c>
      <c r="G254" s="158">
        <v>259</v>
      </c>
      <c r="H254" s="158">
        <v>188</v>
      </c>
      <c r="I254" s="159">
        <f t="shared" si="27"/>
        <v>0</v>
      </c>
      <c r="J254" s="160"/>
      <c r="K254" s="146"/>
      <c r="L254" s="146"/>
      <c r="M254" s="146"/>
      <c r="N254" s="146"/>
      <c r="O254" s="146"/>
      <c r="P254" s="146"/>
      <c r="Q254" s="146"/>
    </row>
    <row r="255" spans="1:17" s="149" customFormat="1" ht="15">
      <c r="A255" s="143"/>
      <c r="B255" s="150" t="s">
        <v>153</v>
      </c>
      <c r="C255" s="154" t="s">
        <v>57</v>
      </c>
      <c r="D255" s="157">
        <v>1</v>
      </c>
      <c r="E255" s="158">
        <f t="shared" si="28"/>
        <v>8.37877378435518</v>
      </c>
      <c r="F255" s="158">
        <f t="shared" si="29"/>
        <v>239</v>
      </c>
      <c r="G255" s="158">
        <v>-48</v>
      </c>
      <c r="H255" s="158">
        <v>287</v>
      </c>
      <c r="I255" s="159">
        <f t="shared" si="27"/>
        <v>0</v>
      </c>
      <c r="J255" s="160"/>
      <c r="K255" s="146"/>
      <c r="L255" s="146"/>
      <c r="M255" s="146"/>
      <c r="N255" s="146"/>
      <c r="O255" s="146"/>
      <c r="P255" s="146"/>
      <c r="Q255" s="146"/>
    </row>
    <row r="256" spans="1:17" s="149" customFormat="1" ht="15">
      <c r="A256" s="143"/>
      <c r="B256" s="150" t="str">
        <f>заказы!A204</f>
        <v>Юлянечка</v>
      </c>
      <c r="C256" s="154" t="s">
        <v>238</v>
      </c>
      <c r="D256" s="157">
        <v>2.9</v>
      </c>
      <c r="E256" s="158">
        <f t="shared" si="28"/>
        <v>23.780262156448202</v>
      </c>
      <c r="F256" s="158">
        <f t="shared" si="29"/>
        <v>678</v>
      </c>
      <c r="G256" s="158">
        <f>заказы!N208</f>
        <v>74</v>
      </c>
      <c r="H256" s="158">
        <v>604</v>
      </c>
      <c r="I256" s="159">
        <f>H256-F256+G256</f>
        <v>0</v>
      </c>
      <c r="J256" s="160"/>
      <c r="K256" s="146"/>
      <c r="L256" s="146"/>
      <c r="M256" s="146"/>
      <c r="N256" s="146"/>
      <c r="O256" s="146"/>
      <c r="P256" s="146"/>
      <c r="Q256" s="146"/>
    </row>
    <row r="257" spans="1:17" s="149" customFormat="1" ht="15">
      <c r="A257" s="143"/>
      <c r="B257" s="150" t="s">
        <v>16</v>
      </c>
      <c r="C257" s="154" t="s">
        <v>57</v>
      </c>
      <c r="D257" s="157">
        <v>1.3</v>
      </c>
      <c r="E257" s="158">
        <f>D257/$D$258*$E$258</f>
        <v>10.537860465116278</v>
      </c>
      <c r="F257" s="158">
        <f t="shared" si="29"/>
        <v>301</v>
      </c>
      <c r="G257" s="158"/>
      <c r="H257" s="158"/>
      <c r="I257" s="159"/>
      <c r="J257" s="160"/>
      <c r="K257" s="146"/>
      <c r="L257" s="146"/>
      <c r="M257" s="146"/>
      <c r="N257" s="146"/>
      <c r="O257" s="146"/>
      <c r="P257" s="146"/>
      <c r="Q257" s="146"/>
    </row>
    <row r="258" spans="1:10" s="149" customFormat="1" ht="15">
      <c r="A258" s="143"/>
      <c r="B258" s="150"/>
      <c r="C258" s="163"/>
      <c r="D258" s="157">
        <v>21.5</v>
      </c>
      <c r="E258" s="164">
        <v>174.28</v>
      </c>
      <c r="F258" s="165">
        <f>SUM(F246:F257)</f>
        <v>5059</v>
      </c>
      <c r="G258" s="166">
        <f>SUM(G246:G257)</f>
        <v>3301</v>
      </c>
      <c r="H258" s="166"/>
      <c r="I258" s="167">
        <f>SUM(I246:I257)</f>
        <v>0</v>
      </c>
      <c r="J258" s="160"/>
    </row>
    <row r="259" spans="1:10" s="149" customFormat="1" ht="15">
      <c r="A259" s="143"/>
      <c r="D259" s="168"/>
      <c r="E259" s="169"/>
      <c r="J259" s="143"/>
    </row>
    <row r="260" spans="1:10" s="149" customFormat="1" ht="15">
      <c r="A260" s="143"/>
      <c r="J260" s="143"/>
    </row>
    <row r="261" spans="1:12" s="149" customFormat="1" ht="15">
      <c r="A261" s="143"/>
      <c r="B261" s="204" t="s">
        <v>227</v>
      </c>
      <c r="C261" s="205"/>
      <c r="D261" s="205"/>
      <c r="E261" s="205"/>
      <c r="F261" s="205"/>
      <c r="G261" s="206"/>
      <c r="H261" s="170"/>
      <c r="I261" s="171" t="s">
        <v>244</v>
      </c>
      <c r="J261" s="143"/>
      <c r="K261" s="146"/>
      <c r="L261" s="147"/>
    </row>
    <row r="262" spans="1:12" s="149" customFormat="1" ht="23.25">
      <c r="A262" s="143"/>
      <c r="B262" s="150"/>
      <c r="C262" s="151"/>
      <c r="D262" s="152" t="s">
        <v>30</v>
      </c>
      <c r="E262" s="153" t="s">
        <v>27</v>
      </c>
      <c r="F262" s="154" t="s">
        <v>11</v>
      </c>
      <c r="G262" s="152" t="s">
        <v>52</v>
      </c>
      <c r="H262" s="155" t="s">
        <v>24</v>
      </c>
      <c r="I262" s="156" t="s">
        <v>28</v>
      </c>
      <c r="J262" s="143"/>
      <c r="K262" s="146"/>
      <c r="L262" s="147"/>
    </row>
    <row r="263" spans="1:12" s="149" customFormat="1" ht="15">
      <c r="A263" s="143"/>
      <c r="B263" s="150" t="str">
        <f>заказы!A41</f>
        <v>НадеждаАлександровна</v>
      </c>
      <c r="C263" s="154" t="s">
        <v>68</v>
      </c>
      <c r="D263" s="157">
        <v>1</v>
      </c>
      <c r="E263" s="158">
        <f>D263/$D$275*$E$275+3/10+2/3</f>
        <v>7.616465863453816</v>
      </c>
      <c r="F263" s="158">
        <f>ROUNDUP(E263*28.7,)</f>
        <v>219</v>
      </c>
      <c r="G263" s="158">
        <f>заказы!N45</f>
        <v>36</v>
      </c>
      <c r="H263" s="158">
        <v>200</v>
      </c>
      <c r="I263" s="159">
        <f aca="true" t="shared" si="30" ref="I263:I270">H263-F263+G263</f>
        <v>17</v>
      </c>
      <c r="J263" s="160"/>
      <c r="K263" s="161"/>
      <c r="L263" s="147"/>
    </row>
    <row r="264" spans="1:17" s="149" customFormat="1" ht="15">
      <c r="A264" s="143"/>
      <c r="B264" s="150" t="str">
        <f>заказы!A48</f>
        <v>agysha </v>
      </c>
      <c r="C264" s="154" t="s">
        <v>68</v>
      </c>
      <c r="D264" s="157">
        <v>1.4</v>
      </c>
      <c r="E264" s="158">
        <f>D264/$D$275*$E$275+3/10+2/3</f>
        <v>10.276385542168676</v>
      </c>
      <c r="F264" s="158">
        <f aca="true" t="shared" si="31" ref="F264:F274">ROUNDUP(E264*28.7,)</f>
        <v>295</v>
      </c>
      <c r="G264" s="158">
        <f>заказы!N52</f>
        <v>51</v>
      </c>
      <c r="H264" s="158">
        <f>266-22</f>
        <v>244</v>
      </c>
      <c r="I264" s="159">
        <f t="shared" si="30"/>
        <v>0</v>
      </c>
      <c r="J264" s="160" t="s">
        <v>432</v>
      </c>
      <c r="K264" s="146"/>
      <c r="L264" s="146"/>
      <c r="M264" s="146"/>
      <c r="N264" s="146"/>
      <c r="O264" s="146"/>
      <c r="P264" s="146"/>
      <c r="Q264" s="146"/>
    </row>
    <row r="265" spans="1:17" s="149" customFormat="1" ht="15">
      <c r="A265" s="143"/>
      <c r="B265" s="150" t="str">
        <f>заказы!A55</f>
        <v>Radistka Cat  </v>
      </c>
      <c r="C265" s="154" t="s">
        <v>68</v>
      </c>
      <c r="D265" s="157">
        <v>1.4</v>
      </c>
      <c r="E265" s="158">
        <f>D265/$D$275*$E$275+3/10+2/3</f>
        <v>10.276385542168676</v>
      </c>
      <c r="F265" s="158">
        <f t="shared" si="31"/>
        <v>295</v>
      </c>
      <c r="G265" s="158">
        <f>заказы!N59</f>
        <v>379</v>
      </c>
      <c r="H265" s="162">
        <v>-84</v>
      </c>
      <c r="I265" s="159">
        <f t="shared" si="30"/>
        <v>0</v>
      </c>
      <c r="J265" s="160"/>
      <c r="K265" s="146"/>
      <c r="L265" s="146"/>
      <c r="M265" s="146"/>
      <c r="N265" s="146"/>
      <c r="O265" s="146"/>
      <c r="P265" s="146"/>
      <c r="Q265" s="146"/>
    </row>
    <row r="266" spans="1:17" s="149" customFormat="1" ht="15">
      <c r="A266" s="143"/>
      <c r="B266" s="150" t="str">
        <f>заказы!A76</f>
        <v>shchepalina</v>
      </c>
      <c r="C266" s="154" t="s">
        <v>64</v>
      </c>
      <c r="D266" s="157">
        <v>1.7</v>
      </c>
      <c r="E266" s="158">
        <f>D266/$D$275*$E$275+3/10+8</f>
        <v>19.604658634538154</v>
      </c>
      <c r="F266" s="158">
        <f t="shared" si="31"/>
        <v>563</v>
      </c>
      <c r="G266" s="158">
        <f>заказы!N82</f>
        <v>103</v>
      </c>
      <c r="H266" s="158">
        <f>500-40</f>
        <v>460</v>
      </c>
      <c r="I266" s="159">
        <f t="shared" si="30"/>
        <v>0</v>
      </c>
      <c r="J266" s="160" t="s">
        <v>312</v>
      </c>
      <c r="K266" s="146"/>
      <c r="L266" s="146"/>
      <c r="M266" s="146"/>
      <c r="N266" s="146"/>
      <c r="O266" s="146"/>
      <c r="P266" s="146"/>
      <c r="Q266" s="146"/>
    </row>
    <row r="267" spans="1:17" s="149" customFormat="1" ht="15">
      <c r="A267" s="143"/>
      <c r="B267" s="150" t="str">
        <f>заказы!A92</f>
        <v>Anney-M</v>
      </c>
      <c r="C267" s="154" t="s">
        <v>74</v>
      </c>
      <c r="D267" s="157">
        <v>7.3</v>
      </c>
      <c r="E267" s="158">
        <f>D267/$D$275*$E$275+3/10+8</f>
        <v>56.84353413654619</v>
      </c>
      <c r="F267" s="158">
        <f t="shared" si="31"/>
        <v>1632</v>
      </c>
      <c r="G267" s="158">
        <f>заказы!N98</f>
        <v>146</v>
      </c>
      <c r="H267" s="158">
        <v>1486</v>
      </c>
      <c r="I267" s="159">
        <f t="shared" si="30"/>
        <v>0</v>
      </c>
      <c r="J267" s="160"/>
      <c r="K267" s="146"/>
      <c r="L267" s="146"/>
      <c r="M267" s="146"/>
      <c r="N267" s="146"/>
      <c r="O267" s="146"/>
      <c r="P267" s="146"/>
      <c r="Q267" s="146"/>
    </row>
    <row r="268" spans="1:17" s="149" customFormat="1" ht="15">
      <c r="A268" s="143"/>
      <c r="B268" s="150" t="str">
        <f>заказы!A101</f>
        <v>ershik</v>
      </c>
      <c r="C268" s="154" t="s">
        <v>75</v>
      </c>
      <c r="D268" s="157">
        <v>1.8</v>
      </c>
      <c r="E268" s="158">
        <f>D268/$D$275*$E$275+3/10+6</f>
        <v>18.26963855421687</v>
      </c>
      <c r="F268" s="158">
        <f t="shared" si="31"/>
        <v>525</v>
      </c>
      <c r="G268" s="158">
        <f>заказы!N108</f>
        <v>417</v>
      </c>
      <c r="H268" s="158">
        <f>135-27</f>
        <v>108</v>
      </c>
      <c r="I268" s="159">
        <f t="shared" si="30"/>
        <v>0</v>
      </c>
      <c r="J268" s="160" t="s">
        <v>307</v>
      </c>
      <c r="K268" s="161"/>
      <c r="L268" s="146"/>
      <c r="M268" s="146"/>
      <c r="N268" s="146"/>
      <c r="O268" s="146"/>
      <c r="P268" s="146"/>
      <c r="Q268" s="146"/>
    </row>
    <row r="269" spans="1:17" s="149" customFormat="1" ht="15">
      <c r="A269" s="143"/>
      <c r="B269" s="150" t="str">
        <f>заказы!A197</f>
        <v>Blackberry</v>
      </c>
      <c r="C269" s="154" t="s">
        <v>148</v>
      </c>
      <c r="D269" s="157">
        <v>0.2</v>
      </c>
      <c r="E269" s="158">
        <f>D269/$D$275*$E$275+3/10+4</f>
        <v>5.62995983935743</v>
      </c>
      <c r="F269" s="158">
        <f t="shared" si="31"/>
        <v>162</v>
      </c>
      <c r="G269" s="158">
        <f>заказы!N201</f>
        <v>131</v>
      </c>
      <c r="H269" s="158">
        <v>34</v>
      </c>
      <c r="I269" s="159">
        <f t="shared" si="30"/>
        <v>3</v>
      </c>
      <c r="J269" s="160"/>
      <c r="K269" s="161"/>
      <c r="L269" s="146"/>
      <c r="M269" s="146"/>
      <c r="N269" s="146"/>
      <c r="O269" s="146"/>
      <c r="P269" s="146"/>
      <c r="Q269" s="146"/>
    </row>
    <row r="270" spans="1:17" s="149" customFormat="1" ht="15">
      <c r="A270" s="143"/>
      <c r="B270" s="150" t="s">
        <v>49</v>
      </c>
      <c r="C270" s="154"/>
      <c r="D270" s="157">
        <v>2.5</v>
      </c>
      <c r="E270" s="158">
        <f>D270/$D$275*$E$275+1</f>
        <v>17.62449799196787</v>
      </c>
      <c r="F270" s="158">
        <f t="shared" si="31"/>
        <v>506</v>
      </c>
      <c r="G270" s="158">
        <v>60</v>
      </c>
      <c r="H270" s="158">
        <v>446</v>
      </c>
      <c r="I270" s="159">
        <f t="shared" si="30"/>
        <v>0</v>
      </c>
      <c r="J270" s="160"/>
      <c r="K270" s="161"/>
      <c r="L270" s="146"/>
      <c r="M270" s="146"/>
      <c r="N270" s="146"/>
      <c r="O270" s="146"/>
      <c r="P270" s="146"/>
      <c r="Q270" s="146"/>
    </row>
    <row r="271" spans="1:17" s="149" customFormat="1" ht="15">
      <c r="A271" s="143"/>
      <c r="B271" s="150" t="s">
        <v>16</v>
      </c>
      <c r="C271" s="154"/>
      <c r="D271" s="157">
        <v>2.8</v>
      </c>
      <c r="E271" s="158">
        <f>D271/$D$275*$E$275+1</f>
        <v>19.619437751004018</v>
      </c>
      <c r="F271" s="158">
        <f t="shared" si="31"/>
        <v>564</v>
      </c>
      <c r="G271" s="158"/>
      <c r="H271" s="158"/>
      <c r="I271" s="159"/>
      <c r="J271" s="160"/>
      <c r="K271" s="146"/>
      <c r="L271" s="146"/>
      <c r="M271" s="146"/>
      <c r="N271" s="146"/>
      <c r="O271" s="146"/>
      <c r="P271" s="146"/>
      <c r="Q271" s="146"/>
    </row>
    <row r="272" spans="1:17" s="149" customFormat="1" ht="15">
      <c r="A272" s="143"/>
      <c r="B272" s="150" t="str">
        <f>заказы!A5</f>
        <v>Nisina</v>
      </c>
      <c r="C272" s="154" t="s">
        <v>66</v>
      </c>
      <c r="D272" s="157">
        <v>2</v>
      </c>
      <c r="E272" s="158">
        <f>D272/$D$275*$E$275+3/10+2/3</f>
        <v>14.266265060240965</v>
      </c>
      <c r="F272" s="158">
        <f t="shared" si="31"/>
        <v>410</v>
      </c>
      <c r="G272" s="158">
        <f>заказы!N10</f>
        <v>116</v>
      </c>
      <c r="H272" s="158">
        <f>324-30</f>
        <v>294</v>
      </c>
      <c r="I272" s="159">
        <f>H272-F272+G272</f>
        <v>0</v>
      </c>
      <c r="J272" s="160" t="s">
        <v>316</v>
      </c>
      <c r="K272" s="146"/>
      <c r="L272" s="146"/>
      <c r="M272" s="146"/>
      <c r="N272" s="146"/>
      <c r="O272" s="146"/>
      <c r="P272" s="146"/>
      <c r="Q272" s="146"/>
    </row>
    <row r="273" spans="1:17" s="149" customFormat="1" ht="15">
      <c r="A273" s="143"/>
      <c r="B273" s="150" t="str">
        <f>заказы!A13</f>
        <v>JT*</v>
      </c>
      <c r="C273" s="154" t="s">
        <v>66</v>
      </c>
      <c r="D273" s="157">
        <v>1.2</v>
      </c>
      <c r="E273" s="158">
        <f>D273/$D$275*$E$275+3/10+2/3</f>
        <v>8.946425702811245</v>
      </c>
      <c r="F273" s="158">
        <f t="shared" si="31"/>
        <v>257</v>
      </c>
      <c r="G273" s="158"/>
      <c r="H273" s="158">
        <f>300-43</f>
        <v>257</v>
      </c>
      <c r="I273" s="159">
        <f>H273-F273+G273</f>
        <v>0</v>
      </c>
      <c r="J273" s="160" t="s">
        <v>313</v>
      </c>
      <c r="K273" s="146"/>
      <c r="L273" s="146"/>
      <c r="M273" s="146"/>
      <c r="N273" s="146"/>
      <c r="O273" s="146"/>
      <c r="P273" s="146"/>
      <c r="Q273" s="146"/>
    </row>
    <row r="274" spans="1:17" s="149" customFormat="1" ht="15">
      <c r="A274" s="143"/>
      <c r="B274" s="150" t="str">
        <f>заказы!A20</f>
        <v>Тиффани</v>
      </c>
      <c r="C274" s="154" t="s">
        <v>66</v>
      </c>
      <c r="D274" s="157">
        <v>1.6</v>
      </c>
      <c r="E274" s="158">
        <f>D274/$D$275*$E$275+3/10+2/3</f>
        <v>11.606345381526106</v>
      </c>
      <c r="F274" s="158">
        <f t="shared" si="31"/>
        <v>334</v>
      </c>
      <c r="G274" s="158">
        <f>заказы!N24</f>
        <v>160</v>
      </c>
      <c r="H274" s="158">
        <f>198-24</f>
        <v>174</v>
      </c>
      <c r="I274" s="159">
        <f>H274-F274+G274</f>
        <v>0</v>
      </c>
      <c r="J274" s="160" t="s">
        <v>311</v>
      </c>
      <c r="K274" s="146"/>
      <c r="L274" s="146"/>
      <c r="M274" s="146"/>
      <c r="N274" s="146"/>
      <c r="O274" s="146"/>
      <c r="P274" s="146"/>
      <c r="Q274" s="146"/>
    </row>
    <row r="275" spans="1:10" s="149" customFormat="1" ht="15">
      <c r="A275" s="143"/>
      <c r="B275" s="150"/>
      <c r="C275" s="163"/>
      <c r="D275" s="157">
        <v>24.9</v>
      </c>
      <c r="E275" s="164">
        <f>197.58-32</f>
        <v>165.58</v>
      </c>
      <c r="F275" s="165">
        <f>SUM(F263:F274)</f>
        <v>5762</v>
      </c>
      <c r="G275" s="166">
        <f>SUM(G263:G274)</f>
        <v>1599</v>
      </c>
      <c r="H275" s="166"/>
      <c r="I275" s="167">
        <f>SUM(I263:I274)</f>
        <v>20</v>
      </c>
      <c r="J275" s="160"/>
    </row>
    <row r="276" spans="1:10" s="149" customFormat="1" ht="15">
      <c r="A276" s="143"/>
      <c r="D276" s="168"/>
      <c r="E276" s="172"/>
      <c r="F276" s="169"/>
      <c r="J276" s="143"/>
    </row>
    <row r="277" spans="1:10" s="149" customFormat="1" ht="15">
      <c r="A277" s="143"/>
      <c r="E277" s="172"/>
      <c r="J277" s="143"/>
    </row>
    <row r="278" spans="1:12" s="149" customFormat="1" ht="15">
      <c r="A278" s="143"/>
      <c r="J278" s="143"/>
      <c r="L278" s="172"/>
    </row>
  </sheetData>
  <sheetProtection/>
  <mergeCells count="18">
    <mergeCell ref="B261:G261"/>
    <mergeCell ref="B202:G202"/>
    <mergeCell ref="B244:G244"/>
    <mergeCell ref="B225:G225"/>
    <mergeCell ref="B180:G180"/>
    <mergeCell ref="B159:G159"/>
    <mergeCell ref="B140:G140"/>
    <mergeCell ref="B119:G119"/>
    <mergeCell ref="B54:G54"/>
    <mergeCell ref="B38:G38"/>
    <mergeCell ref="B3:I3"/>
    <mergeCell ref="B96:G96"/>
    <mergeCell ref="B76:G76"/>
    <mergeCell ref="B138:I138"/>
    <mergeCell ref="B5:I5"/>
    <mergeCell ref="B52:I52"/>
    <mergeCell ref="B22:G22"/>
    <mergeCell ref="B8:G8"/>
  </mergeCells>
  <conditionalFormatting sqref="I263:I275 I182:I196 I161:I177 I142:I155 I98:I113 I78:I90 I40:I50 I24:I35 I10:I19">
    <cfRule type="cellIs" priority="33" dxfId="47" operator="lessThan">
      <formula>0</formula>
    </cfRule>
  </conditionalFormatting>
  <conditionalFormatting sqref="I246:I258">
    <cfRule type="cellIs" priority="13" dxfId="47" operator="lessThan">
      <formula>0</formula>
    </cfRule>
  </conditionalFormatting>
  <conditionalFormatting sqref="I227:I239">
    <cfRule type="cellIs" priority="12" dxfId="47" operator="lessThan">
      <formula>0</formula>
    </cfRule>
  </conditionalFormatting>
  <conditionalFormatting sqref="I204:I221">
    <cfRule type="cellIs" priority="11" dxfId="47" operator="lessThan">
      <formula>0</formula>
    </cfRule>
  </conditionalFormatting>
  <conditionalFormatting sqref="I121:I136">
    <cfRule type="cellIs" priority="7" dxfId="47" operator="lessThan">
      <formula>0</formula>
    </cfRule>
  </conditionalFormatting>
  <conditionalFormatting sqref="I56:I72">
    <cfRule type="cellIs" priority="4" dxfId="47" operator="lessThan">
      <formula>0</formula>
    </cfRule>
  </conditionalFormatting>
  <hyperlinks>
    <hyperlink ref="I261" r:id="rId1" display="http://trkcnfrm1.smi.usps.com/PTSInternetWeb/InterLabelInquiry.do?strOrigTrackNum=EE970004511US"/>
    <hyperlink ref="I244" r:id="rId2" display="http://trkcnfrm1.smi.usps.com/PTSInternetWeb/InterLabelInquiry.do?strOrigTrackNum=EE970058545US"/>
    <hyperlink ref="I225" r:id="rId3" display="http://trkcnfrm1.smi.usps.com/PTSInternetWeb/InterLabelInquiry.do?strOrigTrackNum=EE970157089US"/>
    <hyperlink ref="I202" r:id="rId4" display="http://trkcnfrm1.smi.usps.com/PTSInternetWeb/InterLabelInquiry.do?strOrigTrackNum=EE970210411US"/>
    <hyperlink ref="I180" r:id="rId5" display="http://trkcnfrm1.smi.usps.com/PTSInternetWeb/InterLabelInquiry.do?strOrigTrackNum=EE970354407US"/>
    <hyperlink ref="I159" r:id="rId6" display="http://trkcnfrm1.smi.usps.com/PTSInternetWeb/InterLabelInquiry.do?strOrigTrackNum=EE970357054US"/>
    <hyperlink ref="I140" r:id="rId7" display="http://trkcnfrm1.smi.usps.com/PTSInternetWeb/InterLabelInquiry.do?strOrigTrackNum=EE970445553US"/>
    <hyperlink ref="I119" r:id="rId8" display="http://trkcnfrm1.smi.usps.com/PTSInternetWeb/InterLabelInquiry.do?strOrigTrackNum=EE970483667US"/>
    <hyperlink ref="I96" r:id="rId9" display="http://trkcnfrm1.smi.usps.com/PTSInternetWeb/InterLabelInquiry.do?strOrigTrackNum=EE970575010US"/>
    <hyperlink ref="I76" r:id="rId10" display="http://trkcnfrm1.smi.usps.com/PTSInternetWeb/InterLabelInquiry.do?strOrigTrackNum=EE970650665US"/>
    <hyperlink ref="I54" r:id="rId11" display="http://trkcnfrm1.smi.usps.com/PTSInternetWeb/InterLabelInquiry.do?strOrigTrackNum=EE970679933US"/>
    <hyperlink ref="I38" r:id="rId12" display="http://trkcnfrm1.smi.usps.com/PTSInternetWeb/InterLabelInquiry.do?strOrigTrackNum=EE970784070US"/>
    <hyperlink ref="I22" r:id="rId13" display="http://trkcnfrm1.smi.usps.com/PTSInternetWeb/InterLabelInquiry.do?strOrigTrackNum=EE970834880US"/>
    <hyperlink ref="I8" r:id="rId14" display="http://trkcnfrm1.smi.usps.com/PTSInternetWeb/InterLabelInquiry.do?strOrigTrackNum=EE970891737US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99"/>
  <sheetViews>
    <sheetView zoomScalePageLayoutView="0" workbookViewId="0" topLeftCell="A276">
      <selection activeCell="P260" sqref="P260:Q264"/>
    </sheetView>
  </sheetViews>
  <sheetFormatPr defaultColWidth="9.140625" defaultRowHeight="15"/>
  <cols>
    <col min="1" max="1" width="13.421875" style="6" customWidth="1"/>
    <col min="2" max="2" width="5.57421875" style="6" bestFit="1" customWidth="1"/>
    <col min="3" max="3" width="24.8515625" style="6" customWidth="1"/>
    <col min="4" max="4" width="9.140625" style="6" customWidth="1"/>
    <col min="5" max="5" width="20.8515625" style="6" customWidth="1"/>
    <col min="6" max="7" width="9.140625" style="6" customWidth="1"/>
    <col min="8" max="8" width="6.421875" style="6" bestFit="1" customWidth="1"/>
    <col min="9" max="9" width="9.140625" style="6" customWidth="1"/>
    <col min="10" max="10" width="7.140625" style="6" bestFit="1" customWidth="1"/>
    <col min="11" max="11" width="9.00390625" style="6" bestFit="1" customWidth="1"/>
    <col min="12" max="12" width="6.00390625" style="6" bestFit="1" customWidth="1"/>
    <col min="13" max="13" width="10.7109375" style="6" customWidth="1"/>
    <col min="14" max="14" width="8.57421875" style="6" bestFit="1" customWidth="1"/>
    <col min="15" max="15" width="11.28125" style="6" bestFit="1" customWidth="1"/>
    <col min="16" max="16" width="11.28125" style="6" customWidth="1"/>
    <col min="17" max="18" width="10.7109375" style="6" bestFit="1" customWidth="1"/>
    <col min="19" max="19" width="9.140625" style="6" customWidth="1"/>
    <col min="20" max="20" width="9.57421875" style="6" bestFit="1" customWidth="1"/>
    <col min="21" max="16384" width="9.140625" style="6" customWidth="1"/>
  </cols>
  <sheetData>
    <row r="3" ht="14.25">
      <c r="A3" s="22">
        <v>40632</v>
      </c>
    </row>
    <row r="4" spans="1:14" ht="33.75">
      <c r="A4" s="81" t="s">
        <v>0</v>
      </c>
      <c r="B4" s="82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3" t="s">
        <v>6</v>
      </c>
      <c r="H4" s="84" t="s">
        <v>25</v>
      </c>
      <c r="I4" s="84" t="s">
        <v>7</v>
      </c>
      <c r="J4" s="84" t="s">
        <v>8</v>
      </c>
      <c r="K4" s="82" t="s">
        <v>26</v>
      </c>
      <c r="L4" s="84" t="s">
        <v>9</v>
      </c>
      <c r="M4" s="84" t="s">
        <v>10</v>
      </c>
      <c r="N4" s="85" t="s">
        <v>11</v>
      </c>
    </row>
    <row r="5" spans="1:15" ht="24.75" customHeight="1">
      <c r="A5" s="86" t="s">
        <v>79</v>
      </c>
      <c r="B5" s="87">
        <v>1</v>
      </c>
      <c r="C5" s="94" t="s">
        <v>80</v>
      </c>
      <c r="D5" s="89" t="s">
        <v>81</v>
      </c>
      <c r="E5" s="90" t="s">
        <v>82</v>
      </c>
      <c r="F5" s="90" t="s">
        <v>18</v>
      </c>
      <c r="G5" s="91">
        <v>5</v>
      </c>
      <c r="H5" s="92">
        <v>1</v>
      </c>
      <c r="I5" s="92">
        <v>22.28</v>
      </c>
      <c r="J5" s="92">
        <f>H5*I5</f>
        <v>22.28</v>
      </c>
      <c r="K5" s="93">
        <v>1.65</v>
      </c>
      <c r="L5" s="93"/>
      <c r="M5" s="93">
        <f>SUM(J5:L5)</f>
        <v>23.93</v>
      </c>
      <c r="N5" s="93">
        <f>ROUNDUP(M5*28.5,)</f>
        <v>683</v>
      </c>
      <c r="O5" s="6" t="s">
        <v>66</v>
      </c>
    </row>
    <row r="6" spans="1:14" ht="24.75" customHeight="1">
      <c r="A6" s="86"/>
      <c r="B6" s="87">
        <v>2</v>
      </c>
      <c r="C6" s="88" t="s">
        <v>83</v>
      </c>
      <c r="D6" s="89" t="s">
        <v>84</v>
      </c>
      <c r="E6" s="90" t="s">
        <v>85</v>
      </c>
      <c r="F6" s="90" t="s">
        <v>86</v>
      </c>
      <c r="G6" s="91">
        <v>5.5</v>
      </c>
      <c r="H6" s="92">
        <v>1</v>
      </c>
      <c r="I6" s="92">
        <v>31.17</v>
      </c>
      <c r="J6" s="92">
        <f>H6*I6</f>
        <v>31.17</v>
      </c>
      <c r="K6" s="93"/>
      <c r="L6" s="93"/>
      <c r="M6" s="93">
        <f>SUM(J6:L6)</f>
        <v>31.17</v>
      </c>
      <c r="N6" s="93">
        <f>ROUNDUP(M6*28.5,)</f>
        <v>889</v>
      </c>
    </row>
    <row r="7" spans="1:14" ht="38.25">
      <c r="A7" s="92"/>
      <c r="B7" s="87">
        <v>3</v>
      </c>
      <c r="C7" s="88" t="s">
        <v>87</v>
      </c>
      <c r="D7" s="89" t="s">
        <v>88</v>
      </c>
      <c r="E7" s="90" t="s">
        <v>89</v>
      </c>
      <c r="F7" s="91" t="s">
        <v>60</v>
      </c>
      <c r="G7" s="91">
        <v>12</v>
      </c>
      <c r="H7" s="92">
        <v>1</v>
      </c>
      <c r="I7" s="92">
        <v>35.5</v>
      </c>
      <c r="J7" s="92">
        <f>H7*I7</f>
        <v>35.5</v>
      </c>
      <c r="K7" s="93"/>
      <c r="L7" s="93"/>
      <c r="M7" s="93">
        <f>SUM(J7:L7)</f>
        <v>35.5</v>
      </c>
      <c r="N7" s="93">
        <f>ROUNDUP(M7*28.5,)</f>
        <v>1012</v>
      </c>
    </row>
    <row r="8" spans="3:14" ht="14.25">
      <c r="C8" s="9"/>
      <c r="D8" s="9"/>
      <c r="J8" s="10">
        <f>SUM(J5:J7)</f>
        <v>88.95</v>
      </c>
      <c r="K8" s="10">
        <f>SUM(K5:K7)</f>
        <v>1.65</v>
      </c>
      <c r="L8" s="10">
        <f>SUM(L5:L7)</f>
        <v>0</v>
      </c>
      <c r="M8" s="10">
        <f>SUM(M5:M7)</f>
        <v>90.6</v>
      </c>
      <c r="N8" s="18">
        <f>SUM(N5:N7)</f>
        <v>2584</v>
      </c>
    </row>
    <row r="9" spans="3:14" ht="14.25">
      <c r="C9" s="9"/>
      <c r="D9" s="9"/>
      <c r="J9" s="11"/>
      <c r="K9" s="11"/>
      <c r="L9" s="12"/>
      <c r="M9" s="13" t="s">
        <v>12</v>
      </c>
      <c r="N9" s="14">
        <v>2700</v>
      </c>
    </row>
    <row r="10" spans="12:14" ht="14.25">
      <c r="L10" s="20"/>
      <c r="M10" s="21" t="s">
        <v>13</v>
      </c>
      <c r="N10" s="19">
        <f>N9-N8</f>
        <v>116</v>
      </c>
    </row>
    <row r="11" ht="14.25">
      <c r="A11" s="22">
        <v>40632</v>
      </c>
    </row>
    <row r="12" spans="1:14" ht="33.75">
      <c r="A12" s="81" t="s">
        <v>0</v>
      </c>
      <c r="B12" s="82" t="s">
        <v>1</v>
      </c>
      <c r="C12" s="82" t="s">
        <v>2</v>
      </c>
      <c r="D12" s="82" t="s">
        <v>3</v>
      </c>
      <c r="E12" s="82" t="s">
        <v>4</v>
      </c>
      <c r="F12" s="82" t="s">
        <v>5</v>
      </c>
      <c r="G12" s="83" t="s">
        <v>6</v>
      </c>
      <c r="H12" s="84" t="s">
        <v>25</v>
      </c>
      <c r="I12" s="84" t="s">
        <v>7</v>
      </c>
      <c r="J12" s="84" t="s">
        <v>8</v>
      </c>
      <c r="K12" s="82" t="s">
        <v>26</v>
      </c>
      <c r="L12" s="84" t="s">
        <v>9</v>
      </c>
      <c r="M12" s="84" t="s">
        <v>10</v>
      </c>
      <c r="N12" s="85" t="s">
        <v>11</v>
      </c>
    </row>
    <row r="13" spans="1:15" ht="24.75" customHeight="1">
      <c r="A13" s="86" t="s">
        <v>46</v>
      </c>
      <c r="B13" s="87">
        <v>1</v>
      </c>
      <c r="C13" s="88" t="s">
        <v>77</v>
      </c>
      <c r="D13" s="89"/>
      <c r="E13" s="90"/>
      <c r="F13" s="90" t="s">
        <v>90</v>
      </c>
      <c r="G13" s="91">
        <v>8.5</v>
      </c>
      <c r="H13" s="92">
        <v>1</v>
      </c>
      <c r="I13" s="92">
        <v>16.5</v>
      </c>
      <c r="J13" s="92">
        <f>H13*I13</f>
        <v>16.5</v>
      </c>
      <c r="K13" s="93">
        <v>1.65</v>
      </c>
      <c r="L13" s="93"/>
      <c r="M13" s="93">
        <f>SUM(J13:L13)</f>
        <v>18.15</v>
      </c>
      <c r="N13" s="93">
        <f>ROUNDUP(M13*28.5,)</f>
        <v>518</v>
      </c>
      <c r="O13" s="6" t="s">
        <v>66</v>
      </c>
    </row>
    <row r="14" spans="1:14" ht="14.25">
      <c r="A14" s="92"/>
      <c r="B14" s="87">
        <v>2</v>
      </c>
      <c r="C14" s="88"/>
      <c r="D14" s="89"/>
      <c r="E14" s="90"/>
      <c r="F14" s="91"/>
      <c r="G14" s="91"/>
      <c r="H14" s="92"/>
      <c r="I14" s="92"/>
      <c r="J14" s="92">
        <f>H14*I14</f>
        <v>0</v>
      </c>
      <c r="K14" s="93"/>
      <c r="L14" s="93"/>
      <c r="M14" s="93">
        <f>SUM(J14:L14)</f>
        <v>0</v>
      </c>
      <c r="N14" s="93">
        <f>ROUNDUP(M14*28.5,)</f>
        <v>0</v>
      </c>
    </row>
    <row r="15" spans="3:14" ht="14.25">
      <c r="C15" s="9"/>
      <c r="D15" s="9"/>
      <c r="J15" s="10">
        <f>SUM(J13:J14)</f>
        <v>16.5</v>
      </c>
      <c r="K15" s="10">
        <f>SUM(K13:K14)</f>
        <v>1.65</v>
      </c>
      <c r="L15" s="10">
        <f>SUM(L13:L14)</f>
        <v>0</v>
      </c>
      <c r="M15" s="10">
        <f>SUM(M13:M14)</f>
        <v>18.15</v>
      </c>
      <c r="N15" s="18">
        <f>SUM(N13:N14)</f>
        <v>518</v>
      </c>
    </row>
    <row r="16" spans="3:14" ht="14.25">
      <c r="C16" s="9"/>
      <c r="D16" s="9"/>
      <c r="J16" s="11"/>
      <c r="K16" s="11"/>
      <c r="L16" s="12"/>
      <c r="M16" s="13" t="s">
        <v>12</v>
      </c>
      <c r="N16" s="14">
        <v>1300</v>
      </c>
    </row>
    <row r="17" spans="12:15" ht="14.25">
      <c r="L17" s="20"/>
      <c r="M17" s="21" t="s">
        <v>13</v>
      </c>
      <c r="N17" s="19">
        <f>N16-N15</f>
        <v>782</v>
      </c>
      <c r="O17" s="6" t="s">
        <v>149</v>
      </c>
    </row>
    <row r="18" ht="14.25">
      <c r="A18" s="22">
        <v>40632</v>
      </c>
    </row>
    <row r="19" spans="1:14" ht="33.75">
      <c r="A19" s="81" t="s">
        <v>0</v>
      </c>
      <c r="B19" s="82" t="s">
        <v>1</v>
      </c>
      <c r="C19" s="82" t="s">
        <v>2</v>
      </c>
      <c r="D19" s="82" t="s">
        <v>3</v>
      </c>
      <c r="E19" s="82" t="s">
        <v>4</v>
      </c>
      <c r="F19" s="82" t="s">
        <v>5</v>
      </c>
      <c r="G19" s="83" t="s">
        <v>6</v>
      </c>
      <c r="H19" s="84" t="s">
        <v>25</v>
      </c>
      <c r="I19" s="84" t="s">
        <v>7</v>
      </c>
      <c r="J19" s="84" t="s">
        <v>8</v>
      </c>
      <c r="K19" s="82" t="s">
        <v>26</v>
      </c>
      <c r="L19" s="84" t="s">
        <v>9</v>
      </c>
      <c r="M19" s="84" t="s">
        <v>10</v>
      </c>
      <c r="N19" s="85" t="s">
        <v>11</v>
      </c>
    </row>
    <row r="20" spans="1:15" ht="24.75" customHeight="1">
      <c r="A20" s="86" t="s">
        <v>39</v>
      </c>
      <c r="B20" s="87">
        <v>1</v>
      </c>
      <c r="C20" s="94" t="s">
        <v>91</v>
      </c>
      <c r="D20" s="89" t="s">
        <v>92</v>
      </c>
      <c r="E20" s="90"/>
      <c r="F20" s="90" t="s">
        <v>17</v>
      </c>
      <c r="G20" s="91">
        <v>7</v>
      </c>
      <c r="H20" s="92">
        <v>1</v>
      </c>
      <c r="I20" s="92">
        <v>105</v>
      </c>
      <c r="J20" s="92">
        <f>H20*I20</f>
        <v>105</v>
      </c>
      <c r="K20" s="93">
        <v>1.65</v>
      </c>
      <c r="L20" s="93"/>
      <c r="M20" s="93">
        <f>SUM(J20:L20)</f>
        <v>106.65</v>
      </c>
      <c r="N20" s="93">
        <f>ROUNDUP(M20*28.5,)</f>
        <v>3040</v>
      </c>
      <c r="O20" s="6" t="s">
        <v>66</v>
      </c>
    </row>
    <row r="21" spans="1:14" ht="14.25">
      <c r="A21" s="92"/>
      <c r="B21" s="87">
        <v>2</v>
      </c>
      <c r="C21" s="88"/>
      <c r="D21" s="89"/>
      <c r="E21" s="90"/>
      <c r="F21" s="91"/>
      <c r="G21" s="91"/>
      <c r="H21" s="92"/>
      <c r="I21" s="92"/>
      <c r="J21" s="92">
        <f>H21*I21</f>
        <v>0</v>
      </c>
      <c r="K21" s="93"/>
      <c r="L21" s="93"/>
      <c r="M21" s="93">
        <f>SUM(J21:L21)</f>
        <v>0</v>
      </c>
      <c r="N21" s="93">
        <f>ROUNDUP(M21*28.5,)</f>
        <v>0</v>
      </c>
    </row>
    <row r="22" spans="3:14" ht="14.25">
      <c r="C22" s="9"/>
      <c r="D22" s="9"/>
      <c r="J22" s="10">
        <f>SUM(J20:J21)</f>
        <v>105</v>
      </c>
      <c r="K22" s="10">
        <f>SUM(K20:K21)</f>
        <v>1.65</v>
      </c>
      <c r="L22" s="10">
        <f>SUM(L20:L21)</f>
        <v>0</v>
      </c>
      <c r="M22" s="10">
        <f>SUM(M20:M21)</f>
        <v>106.65</v>
      </c>
      <c r="N22" s="18">
        <f>SUM(N20:N21)</f>
        <v>3040</v>
      </c>
    </row>
    <row r="23" spans="3:14" ht="14.25">
      <c r="C23" s="9"/>
      <c r="D23" s="9"/>
      <c r="J23" s="11"/>
      <c r="K23" s="11"/>
      <c r="L23" s="12"/>
      <c r="M23" s="13" t="s">
        <v>12</v>
      </c>
      <c r="N23" s="14">
        <v>3200</v>
      </c>
    </row>
    <row r="24" spans="12:14" ht="14.25">
      <c r="L24" s="20"/>
      <c r="M24" s="21" t="s">
        <v>13</v>
      </c>
      <c r="N24" s="19">
        <f>N23-N22</f>
        <v>160</v>
      </c>
    </row>
    <row r="25" ht="14.25">
      <c r="A25" s="22">
        <v>40632</v>
      </c>
    </row>
    <row r="26" spans="1:14" ht="33.75">
      <c r="A26" s="51" t="s">
        <v>0</v>
      </c>
      <c r="B26" s="52" t="s">
        <v>1</v>
      </c>
      <c r="C26" s="52" t="s">
        <v>2</v>
      </c>
      <c r="D26" s="52" t="s">
        <v>3</v>
      </c>
      <c r="E26" s="52" t="s">
        <v>4</v>
      </c>
      <c r="F26" s="52" t="s">
        <v>5</v>
      </c>
      <c r="G26" s="53" t="s">
        <v>6</v>
      </c>
      <c r="H26" s="54" t="s">
        <v>25</v>
      </c>
      <c r="I26" s="54" t="s">
        <v>7</v>
      </c>
      <c r="J26" s="54" t="s">
        <v>8</v>
      </c>
      <c r="K26" s="52" t="s">
        <v>26</v>
      </c>
      <c r="L26" s="54" t="s">
        <v>9</v>
      </c>
      <c r="M26" s="54" t="s">
        <v>10</v>
      </c>
      <c r="N26" s="55" t="s">
        <v>11</v>
      </c>
    </row>
    <row r="27" spans="1:15" ht="24.75" customHeight="1">
      <c r="A27" s="56" t="s">
        <v>46</v>
      </c>
      <c r="B27" s="57">
        <v>1</v>
      </c>
      <c r="C27" s="64" t="s">
        <v>93</v>
      </c>
      <c r="D27" s="59"/>
      <c r="E27" s="60" t="s">
        <v>94</v>
      </c>
      <c r="F27" s="60" t="s">
        <v>90</v>
      </c>
      <c r="G27" s="61">
        <v>7</v>
      </c>
      <c r="H27" s="62">
        <v>1</v>
      </c>
      <c r="I27" s="62">
        <v>18</v>
      </c>
      <c r="J27" s="62">
        <f>H27*I27</f>
        <v>18</v>
      </c>
      <c r="K27" s="63">
        <v>2.475</v>
      </c>
      <c r="L27" s="63"/>
      <c r="M27" s="63">
        <f>SUM(J27:L27)</f>
        <v>20.475</v>
      </c>
      <c r="N27" s="63">
        <f>ROUNDUP(M27*28.5,)</f>
        <v>584</v>
      </c>
      <c r="O27" s="6" t="s">
        <v>67</v>
      </c>
    </row>
    <row r="28" spans="1:14" ht="14.25">
      <c r="A28" s="62"/>
      <c r="B28" s="57">
        <v>2</v>
      </c>
      <c r="C28" s="58"/>
      <c r="D28" s="59"/>
      <c r="E28" s="60"/>
      <c r="F28" s="61"/>
      <c r="G28" s="61"/>
      <c r="H28" s="62"/>
      <c r="I28" s="62"/>
      <c r="J28" s="62">
        <f>H28*I28</f>
        <v>0</v>
      </c>
      <c r="K28" s="63"/>
      <c r="L28" s="63"/>
      <c r="M28" s="63">
        <f>SUM(J28:L28)</f>
        <v>0</v>
      </c>
      <c r="N28" s="63">
        <f>ROUNDUP(M28*28.5,)</f>
        <v>0</v>
      </c>
    </row>
    <row r="29" spans="3:14" ht="14.25">
      <c r="C29" s="9"/>
      <c r="D29" s="9"/>
      <c r="J29" s="10">
        <f>SUM(J27:J28)</f>
        <v>18</v>
      </c>
      <c r="K29" s="10">
        <f>SUM(K27:K28)</f>
        <v>2.475</v>
      </c>
      <c r="L29" s="10">
        <f>SUM(L27:L28)</f>
        <v>0</v>
      </c>
      <c r="M29" s="10">
        <f>SUM(M27:M28)</f>
        <v>20.475</v>
      </c>
      <c r="N29" s="18">
        <f>SUM(N27:N28)</f>
        <v>584</v>
      </c>
    </row>
    <row r="30" spans="3:14" ht="14.25">
      <c r="C30" s="9"/>
      <c r="D30" s="9"/>
      <c r="J30" s="11"/>
      <c r="K30" s="11"/>
      <c r="L30" s="12"/>
      <c r="M30" s="13" t="s">
        <v>12</v>
      </c>
      <c r="N30" s="14"/>
    </row>
    <row r="31" spans="12:14" ht="14.25">
      <c r="L31" s="20"/>
      <c r="M31" s="21" t="s">
        <v>13</v>
      </c>
      <c r="N31" s="19">
        <f>N30-N29</f>
        <v>-584</v>
      </c>
    </row>
    <row r="32" ht="14.25">
      <c r="A32" s="22">
        <v>40632</v>
      </c>
    </row>
    <row r="33" spans="1:14" ht="33.75">
      <c r="A33" s="51" t="s">
        <v>0</v>
      </c>
      <c r="B33" s="52" t="s">
        <v>1</v>
      </c>
      <c r="C33" s="52" t="s">
        <v>2</v>
      </c>
      <c r="D33" s="52" t="s">
        <v>3</v>
      </c>
      <c r="E33" s="52" t="s">
        <v>4</v>
      </c>
      <c r="F33" s="52" t="s">
        <v>5</v>
      </c>
      <c r="G33" s="53" t="s">
        <v>6</v>
      </c>
      <c r="H33" s="54" t="s">
        <v>25</v>
      </c>
      <c r="I33" s="54" t="s">
        <v>7</v>
      </c>
      <c r="J33" s="54" t="s">
        <v>8</v>
      </c>
      <c r="K33" s="52" t="s">
        <v>26</v>
      </c>
      <c r="L33" s="54" t="s">
        <v>9</v>
      </c>
      <c r="M33" s="54" t="s">
        <v>10</v>
      </c>
      <c r="N33" s="55" t="s">
        <v>11</v>
      </c>
    </row>
    <row r="34" spans="1:15" ht="24.75" customHeight="1">
      <c r="A34" s="56" t="s">
        <v>39</v>
      </c>
      <c r="B34" s="57">
        <v>2</v>
      </c>
      <c r="C34" s="64" t="s">
        <v>77</v>
      </c>
      <c r="D34" s="59"/>
      <c r="E34" s="60" t="s">
        <v>95</v>
      </c>
      <c r="F34" s="60" t="s">
        <v>96</v>
      </c>
      <c r="G34" s="61">
        <v>7</v>
      </c>
      <c r="H34" s="62">
        <v>1</v>
      </c>
      <c r="I34" s="62">
        <v>16.5</v>
      </c>
      <c r="J34" s="62">
        <f>H34*I34</f>
        <v>16.5</v>
      </c>
      <c r="K34" s="63">
        <v>2.48</v>
      </c>
      <c r="L34" s="63"/>
      <c r="M34" s="63">
        <f>SUM(J34:L34)</f>
        <v>18.98</v>
      </c>
      <c r="N34" s="63">
        <f>ROUNDUP(M34*28.5,)</f>
        <v>541</v>
      </c>
      <c r="O34" s="6" t="s">
        <v>67</v>
      </c>
    </row>
    <row r="35" spans="1:14" ht="14.25">
      <c r="A35" s="62"/>
      <c r="B35" s="57">
        <v>2</v>
      </c>
      <c r="C35" s="58"/>
      <c r="D35" s="59"/>
      <c r="E35" s="60"/>
      <c r="F35" s="61"/>
      <c r="G35" s="61"/>
      <c r="H35" s="62"/>
      <c r="I35" s="62"/>
      <c r="J35" s="62">
        <f>H35*I35</f>
        <v>0</v>
      </c>
      <c r="K35" s="63"/>
      <c r="L35" s="63"/>
      <c r="M35" s="63">
        <f>SUM(J35:L35)</f>
        <v>0</v>
      </c>
      <c r="N35" s="63">
        <f>ROUNDUP(M35*28.5,)</f>
        <v>0</v>
      </c>
    </row>
    <row r="36" spans="3:14" ht="14.25">
      <c r="C36" s="9"/>
      <c r="D36" s="9"/>
      <c r="J36" s="10">
        <f>SUM(J34:J35)</f>
        <v>16.5</v>
      </c>
      <c r="K36" s="10">
        <f>SUM(K34:K35)</f>
        <v>2.48</v>
      </c>
      <c r="L36" s="10">
        <f>SUM(L34:L35)</f>
        <v>0</v>
      </c>
      <c r="M36" s="10">
        <f>SUM(M34:M35)</f>
        <v>18.98</v>
      </c>
      <c r="N36" s="18">
        <f>SUM(N34:N35)</f>
        <v>541</v>
      </c>
    </row>
    <row r="37" spans="3:14" ht="14.25">
      <c r="C37" s="9"/>
      <c r="D37" s="9"/>
      <c r="J37" s="11"/>
      <c r="K37" s="11"/>
      <c r="L37" s="12"/>
      <c r="M37" s="13" t="s">
        <v>12</v>
      </c>
      <c r="N37" s="14">
        <v>500</v>
      </c>
    </row>
    <row r="38" spans="12:14" ht="14.25">
      <c r="L38" s="20"/>
      <c r="M38" s="21" t="s">
        <v>13</v>
      </c>
      <c r="N38" s="19">
        <f>N37-N36</f>
        <v>-41</v>
      </c>
    </row>
    <row r="39" ht="14.25">
      <c r="A39" s="22">
        <v>40633</v>
      </c>
    </row>
    <row r="40" spans="1:14" ht="33.75">
      <c r="A40" s="81" t="s">
        <v>0</v>
      </c>
      <c r="B40" s="82" t="s">
        <v>1</v>
      </c>
      <c r="C40" s="82" t="s">
        <v>2</v>
      </c>
      <c r="D40" s="82" t="s">
        <v>3</v>
      </c>
      <c r="E40" s="82" t="s">
        <v>4</v>
      </c>
      <c r="F40" s="82" t="s">
        <v>5</v>
      </c>
      <c r="G40" s="83" t="s">
        <v>6</v>
      </c>
      <c r="H40" s="84" t="s">
        <v>25</v>
      </c>
      <c r="I40" s="84" t="s">
        <v>7</v>
      </c>
      <c r="J40" s="84" t="s">
        <v>8</v>
      </c>
      <c r="K40" s="82" t="s">
        <v>26</v>
      </c>
      <c r="L40" s="84" t="s">
        <v>9</v>
      </c>
      <c r="M40" s="84" t="s">
        <v>10</v>
      </c>
      <c r="N40" s="85" t="s">
        <v>11</v>
      </c>
    </row>
    <row r="41" spans="1:15" ht="24.75" customHeight="1">
      <c r="A41" s="95" t="s">
        <v>54</v>
      </c>
      <c r="B41" s="87">
        <v>1</v>
      </c>
      <c r="C41" s="88" t="s">
        <v>97</v>
      </c>
      <c r="D41" s="89" t="s">
        <v>98</v>
      </c>
      <c r="E41" s="90" t="s">
        <v>99</v>
      </c>
      <c r="F41" s="90" t="s">
        <v>100</v>
      </c>
      <c r="G41" s="91" t="s">
        <v>20</v>
      </c>
      <c r="H41" s="92">
        <v>1</v>
      </c>
      <c r="I41" s="92">
        <v>29.7</v>
      </c>
      <c r="J41" s="92">
        <f>H41*I41</f>
        <v>29.7</v>
      </c>
      <c r="K41" s="93">
        <v>1.24</v>
      </c>
      <c r="L41" s="93"/>
      <c r="M41" s="93">
        <f>SUM(J41:L41)</f>
        <v>30.939999999999998</v>
      </c>
      <c r="N41" s="93">
        <f>ROUNDUP(M41*28.5,)</f>
        <v>882</v>
      </c>
      <c r="O41" s="6" t="s">
        <v>68</v>
      </c>
    </row>
    <row r="42" spans="1:14" ht="38.25">
      <c r="A42" s="92"/>
      <c r="B42" s="87">
        <v>2</v>
      </c>
      <c r="C42" s="88" t="s">
        <v>101</v>
      </c>
      <c r="D42" s="89" t="s">
        <v>102</v>
      </c>
      <c r="E42" s="90" t="s">
        <v>103</v>
      </c>
      <c r="F42" s="91" t="s">
        <v>104</v>
      </c>
      <c r="G42" s="91" t="s">
        <v>20</v>
      </c>
      <c r="H42" s="92">
        <v>1</v>
      </c>
      <c r="I42" s="92">
        <v>59.1</v>
      </c>
      <c r="J42" s="92">
        <f>H42*I42</f>
        <v>59.1</v>
      </c>
      <c r="K42" s="93">
        <v>1.24</v>
      </c>
      <c r="L42" s="93"/>
      <c r="M42" s="93">
        <f>SUM(J42:L42)</f>
        <v>60.34</v>
      </c>
      <c r="N42" s="93">
        <f>ROUNDUP(M42*28.5,)</f>
        <v>1720</v>
      </c>
    </row>
    <row r="43" spans="3:14" ht="14.25">
      <c r="C43" s="9"/>
      <c r="D43" s="9"/>
      <c r="J43" s="10">
        <f>SUM(J41:J42)</f>
        <v>88.8</v>
      </c>
      <c r="K43" s="10">
        <f>SUM(K41:K42)</f>
        <v>2.48</v>
      </c>
      <c r="L43" s="10">
        <f>SUM(L41:L42)</f>
        <v>0</v>
      </c>
      <c r="M43" s="10">
        <f>SUM(M41:M42)</f>
        <v>91.28</v>
      </c>
      <c r="N43" s="18">
        <f>SUM(N41:N42)</f>
        <v>2602</v>
      </c>
    </row>
    <row r="44" spans="3:14" ht="14.25">
      <c r="C44" s="9"/>
      <c r="D44" s="9"/>
      <c r="J44" s="11"/>
      <c r="K44" s="11"/>
      <c r="L44" s="12"/>
      <c r="M44" s="13" t="s">
        <v>12</v>
      </c>
      <c r="N44" s="14">
        <v>2638</v>
      </c>
    </row>
    <row r="45" spans="12:14" ht="14.25">
      <c r="L45" s="20"/>
      <c r="M45" s="21" t="s">
        <v>13</v>
      </c>
      <c r="N45" s="19">
        <f>N44-N43</f>
        <v>36</v>
      </c>
    </row>
    <row r="46" ht="14.25">
      <c r="A46" s="22">
        <v>40633</v>
      </c>
    </row>
    <row r="47" spans="1:14" ht="33.75">
      <c r="A47" s="81" t="s">
        <v>0</v>
      </c>
      <c r="B47" s="82" t="s">
        <v>1</v>
      </c>
      <c r="C47" s="82" t="s">
        <v>2</v>
      </c>
      <c r="D47" s="82" t="s">
        <v>3</v>
      </c>
      <c r="E47" s="82" t="s">
        <v>4</v>
      </c>
      <c r="F47" s="82" t="s">
        <v>5</v>
      </c>
      <c r="G47" s="83" t="s">
        <v>6</v>
      </c>
      <c r="H47" s="84" t="s">
        <v>25</v>
      </c>
      <c r="I47" s="84" t="s">
        <v>7</v>
      </c>
      <c r="J47" s="84" t="s">
        <v>8</v>
      </c>
      <c r="K47" s="82" t="s">
        <v>26</v>
      </c>
      <c r="L47" s="84" t="s">
        <v>9</v>
      </c>
      <c r="M47" s="84" t="s">
        <v>10</v>
      </c>
      <c r="N47" s="85" t="s">
        <v>11</v>
      </c>
    </row>
    <row r="48" spans="1:15" ht="24.75" customHeight="1">
      <c r="A48" s="86" t="s">
        <v>78</v>
      </c>
      <c r="B48" s="87">
        <v>3</v>
      </c>
      <c r="C48" s="94" t="s">
        <v>93</v>
      </c>
      <c r="D48" s="89"/>
      <c r="E48" s="90"/>
      <c r="F48" s="90" t="s">
        <v>90</v>
      </c>
      <c r="G48" s="91">
        <v>8.5</v>
      </c>
      <c r="H48" s="92">
        <v>1</v>
      </c>
      <c r="I48" s="92">
        <v>18</v>
      </c>
      <c r="J48" s="92">
        <f>H48*I48</f>
        <v>18</v>
      </c>
      <c r="K48" s="93">
        <v>1.24</v>
      </c>
      <c r="L48" s="93"/>
      <c r="M48" s="93">
        <f>SUM(J48:L48)</f>
        <v>19.24</v>
      </c>
      <c r="N48" s="93">
        <f>ROUNDUP(M48*28.5,)</f>
        <v>549</v>
      </c>
      <c r="O48" s="6" t="s">
        <v>68</v>
      </c>
    </row>
    <row r="49" spans="1:14" ht="14.25">
      <c r="A49" s="92"/>
      <c r="B49" s="87">
        <v>2</v>
      </c>
      <c r="C49" s="88"/>
      <c r="D49" s="89"/>
      <c r="E49" s="90"/>
      <c r="F49" s="91"/>
      <c r="G49" s="91"/>
      <c r="H49" s="92"/>
      <c r="I49" s="92"/>
      <c r="J49" s="92">
        <f>H49*I49</f>
        <v>0</v>
      </c>
      <c r="K49" s="93"/>
      <c r="L49" s="93"/>
      <c r="M49" s="93">
        <f>SUM(J49:L49)</f>
        <v>0</v>
      </c>
      <c r="N49" s="93">
        <f>ROUNDUP(M49*28.5,)</f>
        <v>0</v>
      </c>
    </row>
    <row r="50" spans="3:14" ht="14.25">
      <c r="C50" s="9"/>
      <c r="D50" s="9"/>
      <c r="J50" s="10">
        <f>SUM(J48:J49)</f>
        <v>18</v>
      </c>
      <c r="K50" s="10">
        <f>SUM(K48:K49)</f>
        <v>1.24</v>
      </c>
      <c r="L50" s="10">
        <f>SUM(L48:L49)</f>
        <v>0</v>
      </c>
      <c r="M50" s="10">
        <f>SUM(M48:M49)</f>
        <v>19.24</v>
      </c>
      <c r="N50" s="18">
        <f>SUM(N48:N49)</f>
        <v>549</v>
      </c>
    </row>
    <row r="51" spans="3:14" ht="14.25">
      <c r="C51" s="9"/>
      <c r="D51" s="9"/>
      <c r="J51" s="11"/>
      <c r="K51" s="11"/>
      <c r="L51" s="12"/>
      <c r="M51" s="13" t="s">
        <v>12</v>
      </c>
      <c r="N51" s="14">
        <v>600</v>
      </c>
    </row>
    <row r="52" spans="12:14" ht="14.25">
      <c r="L52" s="20"/>
      <c r="M52" s="21" t="s">
        <v>13</v>
      </c>
      <c r="N52" s="19">
        <f>N51-N50</f>
        <v>51</v>
      </c>
    </row>
    <row r="53" ht="14.25">
      <c r="A53" s="22">
        <v>40633</v>
      </c>
    </row>
    <row r="54" spans="1:14" ht="33.75">
      <c r="A54" s="81" t="s">
        <v>0</v>
      </c>
      <c r="B54" s="82" t="s">
        <v>1</v>
      </c>
      <c r="C54" s="82" t="s">
        <v>2</v>
      </c>
      <c r="D54" s="82" t="s">
        <v>3</v>
      </c>
      <c r="E54" s="82" t="s">
        <v>4</v>
      </c>
      <c r="F54" s="82" t="s">
        <v>5</v>
      </c>
      <c r="G54" s="83" t="s">
        <v>6</v>
      </c>
      <c r="H54" s="84" t="s">
        <v>25</v>
      </c>
      <c r="I54" s="84" t="s">
        <v>7</v>
      </c>
      <c r="J54" s="84" t="s">
        <v>8</v>
      </c>
      <c r="K54" s="82" t="s">
        <v>26</v>
      </c>
      <c r="L54" s="84" t="s">
        <v>9</v>
      </c>
      <c r="M54" s="84" t="s">
        <v>10</v>
      </c>
      <c r="N54" s="85" t="s">
        <v>11</v>
      </c>
    </row>
    <row r="55" spans="1:15" ht="24.75" customHeight="1">
      <c r="A55" s="86" t="s">
        <v>105</v>
      </c>
      <c r="B55" s="87">
        <v>4</v>
      </c>
      <c r="C55" s="88" t="s">
        <v>106</v>
      </c>
      <c r="D55" s="89"/>
      <c r="E55" s="90"/>
      <c r="F55" s="90" t="s">
        <v>41</v>
      </c>
      <c r="G55" s="91">
        <v>6</v>
      </c>
      <c r="H55" s="92">
        <v>1</v>
      </c>
      <c r="I55" s="92">
        <v>13.5</v>
      </c>
      <c r="J55" s="92">
        <f>H55*I55</f>
        <v>13.5</v>
      </c>
      <c r="K55" s="93">
        <v>1.24</v>
      </c>
      <c r="L55" s="93"/>
      <c r="M55" s="93">
        <f>SUM(J55:L55)</f>
        <v>14.74</v>
      </c>
      <c r="N55" s="93">
        <f>ROUNDUP(M55*28.5,)</f>
        <v>421</v>
      </c>
      <c r="O55" s="6" t="s">
        <v>68</v>
      </c>
    </row>
    <row r="56" spans="1:14" ht="14.25">
      <c r="A56" s="92"/>
      <c r="B56" s="87">
        <v>2</v>
      </c>
      <c r="C56" s="88"/>
      <c r="D56" s="89"/>
      <c r="E56" s="90"/>
      <c r="F56" s="91"/>
      <c r="G56" s="91"/>
      <c r="H56" s="92"/>
      <c r="I56" s="92"/>
      <c r="J56" s="92">
        <f>H56*I56</f>
        <v>0</v>
      </c>
      <c r="K56" s="93"/>
      <c r="L56" s="93"/>
      <c r="M56" s="93">
        <f>SUM(J56:L56)</f>
        <v>0</v>
      </c>
      <c r="N56" s="93">
        <f>ROUNDUP(M56*28.5,)</f>
        <v>0</v>
      </c>
    </row>
    <row r="57" spans="3:14" ht="14.25">
      <c r="C57" s="9"/>
      <c r="D57" s="9"/>
      <c r="J57" s="10">
        <f>SUM(J55:J56)</f>
        <v>13.5</v>
      </c>
      <c r="K57" s="10">
        <f>SUM(K55:K56)</f>
        <v>1.24</v>
      </c>
      <c r="L57" s="10">
        <f>SUM(L55:L56)</f>
        <v>0</v>
      </c>
      <c r="M57" s="10">
        <f>SUM(M55:M56)</f>
        <v>14.74</v>
      </c>
      <c r="N57" s="18">
        <f>SUM(N55:N56)</f>
        <v>421</v>
      </c>
    </row>
    <row r="58" spans="3:14" ht="14.25">
      <c r="C58" s="9"/>
      <c r="D58" s="9"/>
      <c r="J58" s="11"/>
      <c r="K58" s="11"/>
      <c r="L58" s="12"/>
      <c r="M58" s="13" t="s">
        <v>12</v>
      </c>
      <c r="N58" s="14">
        <v>800</v>
      </c>
    </row>
    <row r="59" spans="12:14" ht="14.25">
      <c r="L59" s="20"/>
      <c r="M59" s="21" t="s">
        <v>13</v>
      </c>
      <c r="N59" s="19">
        <f>N58-N57</f>
        <v>379</v>
      </c>
    </row>
    <row r="60" ht="14.25">
      <c r="A60" s="22">
        <v>40633</v>
      </c>
    </row>
    <row r="61" spans="1:14" ht="33.75">
      <c r="A61" s="67" t="s">
        <v>0</v>
      </c>
      <c r="B61" s="68" t="s">
        <v>1</v>
      </c>
      <c r="C61" s="68" t="s">
        <v>2</v>
      </c>
      <c r="D61" s="68" t="s">
        <v>3</v>
      </c>
      <c r="E61" s="68" t="s">
        <v>4</v>
      </c>
      <c r="F61" s="68" t="s">
        <v>5</v>
      </c>
      <c r="G61" s="69" t="s">
        <v>6</v>
      </c>
      <c r="H61" s="70" t="s">
        <v>25</v>
      </c>
      <c r="I61" s="70" t="s">
        <v>7</v>
      </c>
      <c r="J61" s="70" t="s">
        <v>8</v>
      </c>
      <c r="K61" s="68" t="s">
        <v>26</v>
      </c>
      <c r="L61" s="70" t="s">
        <v>9</v>
      </c>
      <c r="M61" s="70" t="s">
        <v>10</v>
      </c>
      <c r="N61" s="71" t="s">
        <v>11</v>
      </c>
    </row>
    <row r="62" spans="1:15" ht="24.75" customHeight="1">
      <c r="A62" s="79" t="s">
        <v>14</v>
      </c>
      <c r="B62" s="72">
        <v>1</v>
      </c>
      <c r="C62" s="80" t="s">
        <v>107</v>
      </c>
      <c r="D62" s="74" t="s">
        <v>108</v>
      </c>
      <c r="E62" s="75" t="s">
        <v>109</v>
      </c>
      <c r="F62" s="75" t="s">
        <v>110</v>
      </c>
      <c r="G62" s="76">
        <v>9</v>
      </c>
      <c r="H62" s="77">
        <v>1</v>
      </c>
      <c r="I62" s="77">
        <v>46.99</v>
      </c>
      <c r="J62" s="77">
        <f>H62*I62</f>
        <v>46.99</v>
      </c>
      <c r="K62" s="78">
        <v>2.48</v>
      </c>
      <c r="L62" s="78"/>
      <c r="M62" s="78">
        <f>SUM(J62:L62)</f>
        <v>49.47</v>
      </c>
      <c r="N62" s="78">
        <f>ROUNDUP(M62*28.5,)</f>
        <v>1410</v>
      </c>
      <c r="O62" s="6" t="s">
        <v>111</v>
      </c>
    </row>
    <row r="63" spans="1:14" ht="14.25">
      <c r="A63" s="77"/>
      <c r="B63" s="72">
        <v>2</v>
      </c>
      <c r="C63" s="73"/>
      <c r="D63" s="74"/>
      <c r="E63" s="75"/>
      <c r="F63" s="76"/>
      <c r="G63" s="76"/>
      <c r="H63" s="77"/>
      <c r="I63" s="77"/>
      <c r="J63" s="77">
        <f>H63*I63</f>
        <v>0</v>
      </c>
      <c r="K63" s="78"/>
      <c r="L63" s="78"/>
      <c r="M63" s="78">
        <f>SUM(J63:L63)</f>
        <v>0</v>
      </c>
      <c r="N63" s="78">
        <f>ROUNDUP(M63*28.5,)</f>
        <v>0</v>
      </c>
    </row>
    <row r="64" spans="3:14" ht="14.25">
      <c r="C64" s="9"/>
      <c r="D64" s="9"/>
      <c r="J64" s="10">
        <f>SUM(J62:J63)</f>
        <v>46.99</v>
      </c>
      <c r="K64" s="10">
        <f>SUM(K62:K63)</f>
        <v>2.48</v>
      </c>
      <c r="L64" s="10">
        <f>SUM(L62:L63)</f>
        <v>0</v>
      </c>
      <c r="M64" s="10">
        <f>SUM(M62:M63)</f>
        <v>49.47</v>
      </c>
      <c r="N64" s="18">
        <f>SUM(N62:N63)</f>
        <v>1410</v>
      </c>
    </row>
    <row r="65" spans="3:14" ht="14.25">
      <c r="C65" s="9"/>
      <c r="D65" s="9"/>
      <c r="J65" s="11"/>
      <c r="K65" s="11"/>
      <c r="L65" s="12"/>
      <c r="M65" s="13" t="s">
        <v>12</v>
      </c>
      <c r="N65" s="14">
        <v>1500</v>
      </c>
    </row>
    <row r="66" spans="12:14" ht="14.25">
      <c r="L66" s="20"/>
      <c r="M66" s="21" t="s">
        <v>13</v>
      </c>
      <c r="N66" s="19">
        <f>N65-N64</f>
        <v>90</v>
      </c>
    </row>
    <row r="67" ht="14.25">
      <c r="A67" s="22">
        <v>40633</v>
      </c>
    </row>
    <row r="68" spans="1:14" ht="33.75">
      <c r="A68" s="67" t="s">
        <v>0</v>
      </c>
      <c r="B68" s="68" t="s">
        <v>1</v>
      </c>
      <c r="C68" s="68" t="s">
        <v>2</v>
      </c>
      <c r="D68" s="68" t="s">
        <v>3</v>
      </c>
      <c r="E68" s="68" t="s">
        <v>4</v>
      </c>
      <c r="F68" s="68" t="s">
        <v>5</v>
      </c>
      <c r="G68" s="69" t="s">
        <v>6</v>
      </c>
      <c r="H68" s="70" t="s">
        <v>25</v>
      </c>
      <c r="I68" s="70" t="s">
        <v>7</v>
      </c>
      <c r="J68" s="70" t="s">
        <v>8</v>
      </c>
      <c r="K68" s="68" t="s">
        <v>26</v>
      </c>
      <c r="L68" s="70" t="s">
        <v>9</v>
      </c>
      <c r="M68" s="70" t="s">
        <v>10</v>
      </c>
      <c r="N68" s="71" t="s">
        <v>11</v>
      </c>
    </row>
    <row r="69" spans="1:15" ht="24.75" customHeight="1">
      <c r="A69" s="79" t="s">
        <v>112</v>
      </c>
      <c r="B69" s="72">
        <v>2</v>
      </c>
      <c r="C69" s="80" t="s">
        <v>113</v>
      </c>
      <c r="D69" s="74" t="s">
        <v>114</v>
      </c>
      <c r="E69" s="75" t="s">
        <v>115</v>
      </c>
      <c r="F69" s="75" t="s">
        <v>116</v>
      </c>
      <c r="G69" s="76">
        <v>8.5</v>
      </c>
      <c r="H69" s="77">
        <v>1</v>
      </c>
      <c r="I69" s="77">
        <v>65.99</v>
      </c>
      <c r="J69" s="77">
        <f>H69*I69</f>
        <v>65.99</v>
      </c>
      <c r="K69" s="78">
        <v>2.48</v>
      </c>
      <c r="L69" s="78"/>
      <c r="M69" s="78">
        <f>SUM(J69:L69)</f>
        <v>68.47</v>
      </c>
      <c r="N69" s="78">
        <f>ROUNDUP(M69*28.5,)</f>
        <v>1952</v>
      </c>
      <c r="O69" s="6" t="s">
        <v>111</v>
      </c>
    </row>
    <row r="70" spans="1:14" ht="14.25">
      <c r="A70" s="77"/>
      <c r="B70" s="72">
        <v>2</v>
      </c>
      <c r="C70" s="73"/>
      <c r="D70" s="74"/>
      <c r="E70" s="75"/>
      <c r="F70" s="76"/>
      <c r="G70" s="76"/>
      <c r="H70" s="77"/>
      <c r="I70" s="77"/>
      <c r="J70" s="77">
        <f>H70*I70</f>
        <v>0</v>
      </c>
      <c r="K70" s="78"/>
      <c r="L70" s="78"/>
      <c r="M70" s="78">
        <f>SUM(J70:L70)</f>
        <v>0</v>
      </c>
      <c r="N70" s="78">
        <f>ROUNDUP(M70*28.5,)</f>
        <v>0</v>
      </c>
    </row>
    <row r="71" spans="3:14" ht="14.25">
      <c r="C71" s="9"/>
      <c r="D71" s="9"/>
      <c r="J71" s="10">
        <f>SUM(J69:J70)</f>
        <v>65.99</v>
      </c>
      <c r="K71" s="10">
        <f>SUM(K69:K70)</f>
        <v>2.48</v>
      </c>
      <c r="L71" s="10">
        <f>SUM(L69:L70)</f>
        <v>0</v>
      </c>
      <c r="M71" s="10">
        <f>SUM(M69:M70)</f>
        <v>68.47</v>
      </c>
      <c r="N71" s="18">
        <f>SUM(N69:N70)</f>
        <v>1952</v>
      </c>
    </row>
    <row r="72" spans="3:14" ht="14.25">
      <c r="C72" s="9"/>
      <c r="D72" s="9"/>
      <c r="J72" s="11"/>
      <c r="K72" s="11"/>
      <c r="L72" s="12"/>
      <c r="M72" s="13" t="s">
        <v>12</v>
      </c>
      <c r="N72" s="14">
        <v>2000</v>
      </c>
    </row>
    <row r="73" spans="12:14" ht="14.25">
      <c r="L73" s="20"/>
      <c r="M73" s="21" t="s">
        <v>13</v>
      </c>
      <c r="N73" s="19">
        <f>N72-N71</f>
        <v>48</v>
      </c>
    </row>
    <row r="74" ht="14.25">
      <c r="A74" s="22">
        <v>40630</v>
      </c>
    </row>
    <row r="75" spans="1:14" ht="33.75">
      <c r="A75" s="81" t="s">
        <v>0</v>
      </c>
      <c r="B75" s="82" t="s">
        <v>1</v>
      </c>
      <c r="C75" s="82" t="s">
        <v>2</v>
      </c>
      <c r="D75" s="82" t="s">
        <v>3</v>
      </c>
      <c r="E75" s="82" t="s">
        <v>4</v>
      </c>
      <c r="F75" s="82" t="s">
        <v>5</v>
      </c>
      <c r="G75" s="83" t="s">
        <v>6</v>
      </c>
      <c r="H75" s="84" t="s">
        <v>25</v>
      </c>
      <c r="I75" s="84" t="s">
        <v>7</v>
      </c>
      <c r="J75" s="84" t="s">
        <v>8</v>
      </c>
      <c r="K75" s="82" t="s">
        <v>26</v>
      </c>
      <c r="L75" s="84" t="s">
        <v>9</v>
      </c>
      <c r="M75" s="84" t="s">
        <v>10</v>
      </c>
      <c r="N75" s="85" t="s">
        <v>11</v>
      </c>
    </row>
    <row r="76" spans="1:15" ht="24.75" customHeight="1">
      <c r="A76" s="86" t="s">
        <v>118</v>
      </c>
      <c r="B76" s="87">
        <v>1</v>
      </c>
      <c r="C76" s="88" t="s">
        <v>119</v>
      </c>
      <c r="D76" s="89"/>
      <c r="E76" s="90" t="s">
        <v>120</v>
      </c>
      <c r="F76" s="90" t="s">
        <v>121</v>
      </c>
      <c r="G76" s="91" t="s">
        <v>122</v>
      </c>
      <c r="H76" s="92">
        <v>1</v>
      </c>
      <c r="I76" s="92">
        <v>9.99</v>
      </c>
      <c r="J76" s="92">
        <f>H76*I76</f>
        <v>9.99</v>
      </c>
      <c r="K76" s="93"/>
      <c r="L76" s="93"/>
      <c r="M76" s="93">
        <f>SUM(J76:L76)</f>
        <v>9.99</v>
      </c>
      <c r="N76" s="93">
        <f>ROUNDUP(M76*28.5,)</f>
        <v>285</v>
      </c>
      <c r="O76" t="s">
        <v>64</v>
      </c>
    </row>
    <row r="77" spans="1:14" ht="24.75" customHeight="1">
      <c r="A77" s="86"/>
      <c r="B77" s="87">
        <v>2</v>
      </c>
      <c r="C77" s="88" t="s">
        <v>123</v>
      </c>
      <c r="D77" s="89"/>
      <c r="E77" s="90" t="s">
        <v>124</v>
      </c>
      <c r="F77" s="90"/>
      <c r="G77" s="91"/>
      <c r="H77" s="92">
        <v>1</v>
      </c>
      <c r="I77" s="92">
        <v>4.95</v>
      </c>
      <c r="J77" s="92">
        <f>H77*I77</f>
        <v>4.95</v>
      </c>
      <c r="K77" s="93">
        <v>2.49</v>
      </c>
      <c r="L77" s="93"/>
      <c r="M77" s="93">
        <f>SUM(J77:L77)</f>
        <v>7.44</v>
      </c>
      <c r="N77" s="93">
        <f>ROUNDUP(M77*28.5,)</f>
        <v>213</v>
      </c>
    </row>
    <row r="78" spans="1:14" ht="24.75" customHeight="1">
      <c r="A78" s="86"/>
      <c r="B78" s="87">
        <v>3</v>
      </c>
      <c r="C78" s="88" t="s">
        <v>125</v>
      </c>
      <c r="D78" s="89"/>
      <c r="E78" s="90" t="s">
        <v>126</v>
      </c>
      <c r="F78" s="90" t="s">
        <v>127</v>
      </c>
      <c r="G78" s="91"/>
      <c r="H78" s="92">
        <v>1</v>
      </c>
      <c r="I78" s="92">
        <v>7.99</v>
      </c>
      <c r="J78" s="92">
        <f>H78*I78</f>
        <v>7.99</v>
      </c>
      <c r="K78" s="93"/>
      <c r="L78" s="93"/>
      <c r="M78" s="93">
        <f>SUM(J78:L78)</f>
        <v>7.99</v>
      </c>
      <c r="N78" s="93">
        <f>ROUNDUP(M78*28.5,)</f>
        <v>228</v>
      </c>
    </row>
    <row r="79" spans="1:14" ht="21.75" customHeight="1">
      <c r="A79" s="92"/>
      <c r="B79" s="87">
        <v>4</v>
      </c>
      <c r="C79" s="88" t="s">
        <v>128</v>
      </c>
      <c r="D79" s="89"/>
      <c r="E79" s="90" t="s">
        <v>129</v>
      </c>
      <c r="F79" s="91" t="s">
        <v>32</v>
      </c>
      <c r="G79" s="91"/>
      <c r="H79" s="92">
        <v>1</v>
      </c>
      <c r="I79" s="92">
        <v>6.5</v>
      </c>
      <c r="J79" s="92">
        <f>H79*I79</f>
        <v>6.5</v>
      </c>
      <c r="K79" s="93">
        <v>2.99</v>
      </c>
      <c r="L79" s="93"/>
      <c r="M79" s="93">
        <f>SUM(J79:L79)</f>
        <v>9.49</v>
      </c>
      <c r="N79" s="93">
        <f>ROUNDUP(M79*28.5,)</f>
        <v>271</v>
      </c>
    </row>
    <row r="80" spans="3:14" ht="14.25">
      <c r="C80" s="9"/>
      <c r="D80" s="9"/>
      <c r="J80" s="10">
        <f>SUM(J76:J79)</f>
        <v>29.43</v>
      </c>
      <c r="K80" s="10">
        <f>SUM(K76:K79)</f>
        <v>5.48</v>
      </c>
      <c r="L80" s="10">
        <f>SUM(L76:L79)</f>
        <v>0</v>
      </c>
      <c r="M80" s="10">
        <f>SUM(M76:M79)</f>
        <v>34.910000000000004</v>
      </c>
      <c r="N80" s="18">
        <f>SUM(N76:N79)</f>
        <v>997</v>
      </c>
    </row>
    <row r="81" spans="3:14" ht="14.25">
      <c r="C81" s="9"/>
      <c r="D81" s="9"/>
      <c r="J81" s="11"/>
      <c r="K81" s="11"/>
      <c r="L81" s="12"/>
      <c r="M81" s="13" t="s">
        <v>12</v>
      </c>
      <c r="N81" s="14">
        <v>1100</v>
      </c>
    </row>
    <row r="82" spans="12:14" ht="14.25">
      <c r="L82" s="20"/>
      <c r="M82" s="21" t="s">
        <v>13</v>
      </c>
      <c r="N82" s="19">
        <f>N81-N80</f>
        <v>103</v>
      </c>
    </row>
    <row r="83" ht="14.25">
      <c r="A83" s="22">
        <v>40630</v>
      </c>
    </row>
    <row r="84" spans="1:14" ht="33.75">
      <c r="A84" s="1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3" t="s">
        <v>6</v>
      </c>
      <c r="H84" s="4" t="s">
        <v>25</v>
      </c>
      <c r="I84" s="4" t="s">
        <v>7</v>
      </c>
      <c r="J84" s="4" t="s">
        <v>8</v>
      </c>
      <c r="K84" s="2" t="s">
        <v>26</v>
      </c>
      <c r="L84" s="4" t="s">
        <v>9</v>
      </c>
      <c r="M84" s="4" t="s">
        <v>10</v>
      </c>
      <c r="N84" s="5" t="s">
        <v>11</v>
      </c>
    </row>
    <row r="85" spans="1:14" ht="24.75" customHeight="1">
      <c r="A85" s="23" t="s">
        <v>130</v>
      </c>
      <c r="B85" s="7">
        <v>1</v>
      </c>
      <c r="C85" s="26" t="s">
        <v>131</v>
      </c>
      <c r="D85" s="8"/>
      <c r="E85" s="15" t="s">
        <v>117</v>
      </c>
      <c r="F85" s="15"/>
      <c r="G85" s="25"/>
      <c r="H85" s="16">
        <v>1</v>
      </c>
      <c r="I85" s="16">
        <v>12.99</v>
      </c>
      <c r="J85" s="16">
        <f>H85*I85</f>
        <v>12.99</v>
      </c>
      <c r="K85" s="17">
        <v>7</v>
      </c>
      <c r="L85" s="17"/>
      <c r="M85" s="17">
        <f>SUM(J85:L85)</f>
        <v>19.990000000000002</v>
      </c>
      <c r="N85" s="17">
        <f>ROUNDUP(M85*28.5,)</f>
        <v>570</v>
      </c>
    </row>
    <row r="86" spans="1:14" ht="14.25">
      <c r="A86" s="24"/>
      <c r="B86" s="7">
        <v>2</v>
      </c>
      <c r="C86" s="26"/>
      <c r="D86" s="8"/>
      <c r="E86" s="15"/>
      <c r="F86" s="25"/>
      <c r="G86" s="25"/>
      <c r="H86" s="16"/>
      <c r="I86" s="16"/>
      <c r="J86" s="16">
        <f>H86*I86</f>
        <v>0</v>
      </c>
      <c r="K86" s="17"/>
      <c r="L86" s="17"/>
      <c r="M86" s="17">
        <f>SUM(J86:L86)</f>
        <v>0</v>
      </c>
      <c r="N86" s="17">
        <f>ROUNDUP(M86*28.5,)</f>
        <v>0</v>
      </c>
    </row>
    <row r="87" spans="3:14" ht="14.25">
      <c r="C87" s="9"/>
      <c r="D87" s="9"/>
      <c r="J87" s="10">
        <f>SUM(J85:J86)</f>
        <v>12.99</v>
      </c>
      <c r="K87" s="10">
        <f>SUM(K85:K86)</f>
        <v>7</v>
      </c>
      <c r="L87" s="10">
        <f>SUM(L85:L86)</f>
        <v>0</v>
      </c>
      <c r="M87" s="10">
        <f>SUM(M85:M86)</f>
        <v>19.990000000000002</v>
      </c>
      <c r="N87" s="18">
        <f>SUM(N85:N86)</f>
        <v>570</v>
      </c>
    </row>
    <row r="88" spans="3:14" ht="14.25">
      <c r="C88" s="9"/>
      <c r="D88" s="9"/>
      <c r="J88" s="11"/>
      <c r="K88" s="11"/>
      <c r="L88" s="12"/>
      <c r="M88" s="13" t="s">
        <v>12</v>
      </c>
      <c r="N88" s="14">
        <v>600</v>
      </c>
    </row>
    <row r="89" spans="12:14" ht="14.25">
      <c r="L89" s="20"/>
      <c r="M89" s="21" t="s">
        <v>13</v>
      </c>
      <c r="N89" s="19">
        <f>N88-N87</f>
        <v>30</v>
      </c>
    </row>
    <row r="90" ht="14.25">
      <c r="A90" s="22">
        <v>40634</v>
      </c>
    </row>
    <row r="91" spans="1:14" ht="33.75">
      <c r="A91" s="81" t="s">
        <v>0</v>
      </c>
      <c r="B91" s="82" t="s">
        <v>1</v>
      </c>
      <c r="C91" s="82" t="s">
        <v>2</v>
      </c>
      <c r="D91" s="82" t="s">
        <v>3</v>
      </c>
      <c r="E91" s="82" t="s">
        <v>4</v>
      </c>
      <c r="F91" s="82" t="s">
        <v>5</v>
      </c>
      <c r="G91" s="83" t="s">
        <v>6</v>
      </c>
      <c r="H91" s="84" t="s">
        <v>25</v>
      </c>
      <c r="I91" s="84" t="s">
        <v>7</v>
      </c>
      <c r="J91" s="84" t="s">
        <v>8</v>
      </c>
      <c r="K91" s="82" t="s">
        <v>26</v>
      </c>
      <c r="L91" s="84" t="s">
        <v>9</v>
      </c>
      <c r="M91" s="84" t="s">
        <v>10</v>
      </c>
      <c r="N91" s="85" t="s">
        <v>11</v>
      </c>
    </row>
    <row r="92" spans="1:15" ht="24.75" customHeight="1">
      <c r="A92" s="86" t="s">
        <v>132</v>
      </c>
      <c r="B92" s="87">
        <v>1</v>
      </c>
      <c r="C92" s="88" t="s">
        <v>133</v>
      </c>
      <c r="D92" s="89">
        <v>11094115</v>
      </c>
      <c r="E92" s="90" t="s">
        <v>134</v>
      </c>
      <c r="F92" s="90" t="s">
        <v>135</v>
      </c>
      <c r="G92" s="91"/>
      <c r="H92" s="92">
        <v>1</v>
      </c>
      <c r="I92" s="92">
        <v>59.99</v>
      </c>
      <c r="J92" s="92">
        <f>H92*I92</f>
        <v>59.99</v>
      </c>
      <c r="K92" s="93"/>
      <c r="L92" s="93"/>
      <c r="M92" s="93">
        <f>SUM(J92:L92)</f>
        <v>59.99</v>
      </c>
      <c r="N92" s="93">
        <f>ROUNDUP(M92*28.5,)</f>
        <v>1710</v>
      </c>
      <c r="O92" t="s">
        <v>74</v>
      </c>
    </row>
    <row r="93" spans="1:14" ht="24.75" customHeight="1">
      <c r="A93" s="86"/>
      <c r="B93" s="87">
        <v>2</v>
      </c>
      <c r="C93" s="88" t="s">
        <v>136</v>
      </c>
      <c r="D93" s="89"/>
      <c r="E93" s="90" t="s">
        <v>137</v>
      </c>
      <c r="F93" s="90" t="s">
        <v>22</v>
      </c>
      <c r="G93" s="91">
        <v>9</v>
      </c>
      <c r="H93" s="92">
        <v>1</v>
      </c>
      <c r="I93" s="92">
        <v>19.99</v>
      </c>
      <c r="J93" s="92">
        <f>H93*I93</f>
        <v>19.99</v>
      </c>
      <c r="K93" s="93">
        <v>5.95</v>
      </c>
      <c r="L93" s="93"/>
      <c r="M93" s="93">
        <f>SUM(J93:L93)</f>
        <v>25.939999999999998</v>
      </c>
      <c r="N93" s="93">
        <f>ROUNDUP(M93*28.5,)</f>
        <v>740</v>
      </c>
    </row>
    <row r="94" spans="1:14" ht="24.75" customHeight="1">
      <c r="A94" s="86"/>
      <c r="B94" s="87">
        <v>3</v>
      </c>
      <c r="C94" s="88" t="s">
        <v>138</v>
      </c>
      <c r="D94" s="89" t="s">
        <v>139</v>
      </c>
      <c r="E94" s="90" t="s">
        <v>140</v>
      </c>
      <c r="F94" s="90" t="s">
        <v>22</v>
      </c>
      <c r="G94" s="91"/>
      <c r="H94" s="92">
        <v>1</v>
      </c>
      <c r="I94" s="92">
        <v>54.95</v>
      </c>
      <c r="J94" s="92">
        <f>H94*I94</f>
        <v>54.95</v>
      </c>
      <c r="K94" s="93"/>
      <c r="L94" s="93"/>
      <c r="M94" s="93">
        <f>SUM(J94:L94)</f>
        <v>54.95</v>
      </c>
      <c r="N94" s="93">
        <f>ROUNDUP(M94*28.5,)</f>
        <v>1567</v>
      </c>
    </row>
    <row r="95" spans="1:14" ht="51">
      <c r="A95" s="92"/>
      <c r="B95" s="87">
        <v>4</v>
      </c>
      <c r="C95" s="88" t="s">
        <v>141</v>
      </c>
      <c r="D95" s="89"/>
      <c r="E95" s="90" t="s">
        <v>142</v>
      </c>
      <c r="F95" s="91" t="s">
        <v>143</v>
      </c>
      <c r="G95" s="91">
        <v>8.5</v>
      </c>
      <c r="H95" s="92">
        <v>1</v>
      </c>
      <c r="I95" s="92">
        <v>39.92</v>
      </c>
      <c r="J95" s="92">
        <f>H95*I95</f>
        <v>39.92</v>
      </c>
      <c r="K95" s="93">
        <v>6.99</v>
      </c>
      <c r="L95" s="93"/>
      <c r="M95" s="93">
        <f>SUM(J95:L95)</f>
        <v>46.910000000000004</v>
      </c>
      <c r="N95" s="93">
        <f>ROUNDUP(M95*28.5,)</f>
        <v>1337</v>
      </c>
    </row>
    <row r="96" spans="3:14" ht="14.25">
      <c r="C96" s="9"/>
      <c r="D96" s="9"/>
      <c r="J96" s="10">
        <f>SUM(J92:J95)</f>
        <v>174.85000000000002</v>
      </c>
      <c r="K96" s="10">
        <f>SUM(K92:K95)</f>
        <v>12.940000000000001</v>
      </c>
      <c r="L96" s="10">
        <f>SUM(L92:L95)</f>
        <v>0</v>
      </c>
      <c r="M96" s="10">
        <f>SUM(M92:M95)</f>
        <v>187.79</v>
      </c>
      <c r="N96" s="18">
        <f>SUM(N92:N95)</f>
        <v>5354</v>
      </c>
    </row>
    <row r="97" spans="3:14" ht="14.25">
      <c r="C97" s="9"/>
      <c r="D97" s="9"/>
      <c r="J97" s="11"/>
      <c r="K97" s="11"/>
      <c r="L97" s="12"/>
      <c r="M97" s="13" t="s">
        <v>12</v>
      </c>
      <c r="N97" s="14">
        <v>5500</v>
      </c>
    </row>
    <row r="98" spans="12:14" ht="14.25">
      <c r="L98" s="20"/>
      <c r="M98" s="21" t="s">
        <v>13</v>
      </c>
      <c r="N98" s="19">
        <f>N97-N96</f>
        <v>146</v>
      </c>
    </row>
    <row r="99" ht="14.25">
      <c r="A99" s="22">
        <v>40634</v>
      </c>
    </row>
    <row r="100" spans="1:14" ht="33.75">
      <c r="A100" s="81" t="s">
        <v>0</v>
      </c>
      <c r="B100" s="82" t="s">
        <v>1</v>
      </c>
      <c r="C100" s="82" t="s">
        <v>2</v>
      </c>
      <c r="D100" s="82" t="s">
        <v>3</v>
      </c>
      <c r="E100" s="82" t="s">
        <v>4</v>
      </c>
      <c r="F100" s="82" t="s">
        <v>5</v>
      </c>
      <c r="G100" s="83" t="s">
        <v>6</v>
      </c>
      <c r="H100" s="84" t="s">
        <v>25</v>
      </c>
      <c r="I100" s="84" t="s">
        <v>7</v>
      </c>
      <c r="J100" s="84" t="s">
        <v>8</v>
      </c>
      <c r="K100" s="82" t="s">
        <v>26</v>
      </c>
      <c r="L100" s="84" t="s">
        <v>9</v>
      </c>
      <c r="M100" s="84" t="s">
        <v>10</v>
      </c>
      <c r="N100" s="85" t="s">
        <v>11</v>
      </c>
    </row>
    <row r="101" spans="1:15" ht="24.75" customHeight="1">
      <c r="A101" s="86" t="s">
        <v>73</v>
      </c>
      <c r="B101" s="87">
        <v>1</v>
      </c>
      <c r="C101" s="88"/>
      <c r="D101" s="89"/>
      <c r="E101" s="90" t="s">
        <v>144</v>
      </c>
      <c r="F101" s="90"/>
      <c r="G101" s="91"/>
      <c r="H101" s="92">
        <v>1</v>
      </c>
      <c r="I101" s="92">
        <v>5.99</v>
      </c>
      <c r="J101" s="92">
        <f>H101*I101</f>
        <v>5.99</v>
      </c>
      <c r="K101" s="93">
        <v>5.95</v>
      </c>
      <c r="L101" s="93"/>
      <c r="M101" s="93">
        <f>SUM(J101:L101)</f>
        <v>11.940000000000001</v>
      </c>
      <c r="N101" s="93">
        <f>ROUNDUP(M101*28.5,)</f>
        <v>341</v>
      </c>
      <c r="O101" t="s">
        <v>75</v>
      </c>
    </row>
    <row r="102" spans="1:14" ht="24.75" customHeight="1">
      <c r="A102" s="86"/>
      <c r="B102" s="87">
        <v>2</v>
      </c>
      <c r="C102" s="88"/>
      <c r="D102" s="89"/>
      <c r="E102" s="90" t="s">
        <v>145</v>
      </c>
      <c r="F102" s="90"/>
      <c r="G102" s="91"/>
      <c r="H102" s="92">
        <v>2</v>
      </c>
      <c r="I102" s="92">
        <v>6.99</v>
      </c>
      <c r="J102" s="92">
        <f>H102*I102</f>
        <v>13.98</v>
      </c>
      <c r="K102" s="93">
        <v>6.49</v>
      </c>
      <c r="L102" s="93"/>
      <c r="M102" s="93">
        <f>SUM(J102:L102)</f>
        <v>20.47</v>
      </c>
      <c r="N102" s="93">
        <f>ROUNDUP(M102*28.5,)</f>
        <v>584</v>
      </c>
    </row>
    <row r="103" spans="1:14" ht="24.75" customHeight="1">
      <c r="A103" s="86"/>
      <c r="B103" s="87">
        <v>3</v>
      </c>
      <c r="C103" s="88"/>
      <c r="D103" s="89"/>
      <c r="E103" s="90" t="s">
        <v>146</v>
      </c>
      <c r="F103" s="90"/>
      <c r="G103" s="91"/>
      <c r="H103" s="92">
        <v>2</v>
      </c>
      <c r="I103" s="92">
        <v>12.99</v>
      </c>
      <c r="J103" s="92">
        <f>H103*I103</f>
        <v>25.98</v>
      </c>
      <c r="K103" s="93">
        <v>10.99</v>
      </c>
      <c r="L103" s="93">
        <v>5.18</v>
      </c>
      <c r="M103" s="93">
        <f>SUM(J103:L103)</f>
        <v>42.15</v>
      </c>
      <c r="N103" s="93">
        <f>ROUNDUP(M103*28.5,)</f>
        <v>1202</v>
      </c>
    </row>
    <row r="104" spans="1:14" ht="24.75" customHeight="1">
      <c r="A104" s="86"/>
      <c r="B104" s="87">
        <v>4</v>
      </c>
      <c r="C104" s="88"/>
      <c r="D104" s="89"/>
      <c r="E104" s="90" t="s">
        <v>147</v>
      </c>
      <c r="F104" s="90"/>
      <c r="G104" s="91"/>
      <c r="H104" s="92">
        <v>2</v>
      </c>
      <c r="I104" s="92">
        <v>7.99</v>
      </c>
      <c r="J104" s="92">
        <f>H104*I104</f>
        <v>15.98</v>
      </c>
      <c r="K104" s="93"/>
      <c r="L104" s="93"/>
      <c r="M104" s="93">
        <f>SUM(J104:L104)</f>
        <v>15.98</v>
      </c>
      <c r="N104" s="93">
        <f>ROUNDUP(M104*28.5,)</f>
        <v>456</v>
      </c>
    </row>
    <row r="105" spans="1:14" ht="14.25">
      <c r="A105" s="92"/>
      <c r="B105" s="87">
        <v>5</v>
      </c>
      <c r="C105" s="88"/>
      <c r="D105" s="89"/>
      <c r="E105" s="90"/>
      <c r="F105" s="91"/>
      <c r="G105" s="91"/>
      <c r="H105" s="92"/>
      <c r="I105" s="92"/>
      <c r="J105" s="92">
        <f>H105*I105</f>
        <v>0</v>
      </c>
      <c r="K105" s="93"/>
      <c r="L105" s="93"/>
      <c r="M105" s="93">
        <f>SUM(J105:L105)</f>
        <v>0</v>
      </c>
      <c r="N105" s="93">
        <f>ROUNDUP(M105*28.5,)</f>
        <v>0</v>
      </c>
    </row>
    <row r="106" spans="3:14" ht="14.25">
      <c r="C106" s="9"/>
      <c r="D106" s="9"/>
      <c r="J106" s="10">
        <f>SUM(J101:J105)</f>
        <v>61.93000000000001</v>
      </c>
      <c r="K106" s="10">
        <f>SUM(K101:K105)</f>
        <v>23.43</v>
      </c>
      <c r="L106" s="10">
        <f>SUM(L101:L105)</f>
        <v>5.18</v>
      </c>
      <c r="M106" s="10">
        <f>SUM(M101:M105)</f>
        <v>90.54</v>
      </c>
      <c r="N106" s="18">
        <f>SUM(N101:N105)</f>
        <v>2583</v>
      </c>
    </row>
    <row r="107" spans="3:14" ht="14.25">
      <c r="C107" s="9"/>
      <c r="D107" s="9"/>
      <c r="J107" s="11"/>
      <c r="K107" s="11"/>
      <c r="L107" s="12"/>
      <c r="M107" s="13" t="s">
        <v>12</v>
      </c>
      <c r="N107" s="14">
        <v>3000</v>
      </c>
    </row>
    <row r="108" spans="12:14" ht="14.25">
      <c r="L108" s="20"/>
      <c r="M108" s="21" t="s">
        <v>13</v>
      </c>
      <c r="N108" s="19">
        <f>N107-N106</f>
        <v>417</v>
      </c>
    </row>
    <row r="109" ht="14.25">
      <c r="A109" s="22">
        <v>40642</v>
      </c>
    </row>
    <row r="110" spans="1:14" ht="33.75">
      <c r="A110" s="67" t="s">
        <v>0</v>
      </c>
      <c r="B110" s="68" t="s">
        <v>1</v>
      </c>
      <c r="C110" s="68" t="s">
        <v>2</v>
      </c>
      <c r="D110" s="68" t="s">
        <v>3</v>
      </c>
      <c r="E110" s="68" t="s">
        <v>4</v>
      </c>
      <c r="F110" s="68" t="s">
        <v>5</v>
      </c>
      <c r="G110" s="69" t="s">
        <v>6</v>
      </c>
      <c r="H110" s="70" t="s">
        <v>25</v>
      </c>
      <c r="I110" s="70" t="s">
        <v>7</v>
      </c>
      <c r="J110" s="70" t="s">
        <v>8</v>
      </c>
      <c r="K110" s="68" t="s">
        <v>26</v>
      </c>
      <c r="L110" s="70" t="s">
        <v>9</v>
      </c>
      <c r="M110" s="70" t="s">
        <v>10</v>
      </c>
      <c r="N110" s="71" t="s">
        <v>11</v>
      </c>
    </row>
    <row r="111" spans="1:15" ht="24.75" customHeight="1">
      <c r="A111" s="79" t="s">
        <v>37</v>
      </c>
      <c r="B111" s="72">
        <v>1</v>
      </c>
      <c r="C111" s="80" t="s">
        <v>163</v>
      </c>
      <c r="D111" s="74" t="s">
        <v>164</v>
      </c>
      <c r="E111" s="75" t="s">
        <v>165</v>
      </c>
      <c r="F111" s="75" t="s">
        <v>166</v>
      </c>
      <c r="G111" s="76" t="s">
        <v>167</v>
      </c>
      <c r="H111" s="77">
        <v>2</v>
      </c>
      <c r="I111" s="77">
        <v>17.4</v>
      </c>
      <c r="J111" s="77">
        <f>H111*I111</f>
        <v>34.8</v>
      </c>
      <c r="K111" s="78">
        <v>3.48</v>
      </c>
      <c r="L111" s="78"/>
      <c r="M111" s="78">
        <f>SUM(J111:L111)</f>
        <v>38.279999999999994</v>
      </c>
      <c r="N111" s="78">
        <f>ROUNDUP(M111*28.5,)</f>
        <v>1091</v>
      </c>
      <c r="O111" s="6" t="s">
        <v>154</v>
      </c>
    </row>
    <row r="112" spans="1:14" ht="14.25">
      <c r="A112" s="77"/>
      <c r="B112" s="72">
        <v>2</v>
      </c>
      <c r="C112" s="73"/>
      <c r="D112" s="74"/>
      <c r="E112" s="75"/>
      <c r="F112" s="76"/>
      <c r="G112" s="76"/>
      <c r="H112" s="77"/>
      <c r="I112" s="77"/>
      <c r="J112" s="77">
        <f>H112*I112</f>
        <v>0</v>
      </c>
      <c r="K112" s="78"/>
      <c r="L112" s="78"/>
      <c r="M112" s="78">
        <f>SUM(J112:L112)</f>
        <v>0</v>
      </c>
      <c r="N112" s="78">
        <f>ROUNDUP(M112*28.5,)</f>
        <v>0</v>
      </c>
    </row>
    <row r="113" spans="3:14" ht="14.25">
      <c r="C113" s="9"/>
      <c r="D113" s="9"/>
      <c r="J113" s="10">
        <f>SUM(J111:J112)</f>
        <v>34.8</v>
      </c>
      <c r="K113" s="10">
        <f>SUM(K111:K112)</f>
        <v>3.48</v>
      </c>
      <c r="L113" s="10">
        <f>SUM(L111:L112)</f>
        <v>0</v>
      </c>
      <c r="M113" s="10">
        <f>SUM(M111:M112)</f>
        <v>38.279999999999994</v>
      </c>
      <c r="N113" s="18">
        <f>SUM(N111:N112)</f>
        <v>1091</v>
      </c>
    </row>
    <row r="114" spans="3:14" ht="14.25">
      <c r="C114" s="9"/>
      <c r="D114" s="9"/>
      <c r="J114" s="11"/>
      <c r="K114" s="11"/>
      <c r="L114" s="12"/>
      <c r="M114" s="13" t="s">
        <v>12</v>
      </c>
      <c r="N114" s="14">
        <v>1300</v>
      </c>
    </row>
    <row r="115" spans="12:14" ht="14.25">
      <c r="L115" s="20"/>
      <c r="M115" s="21" t="s">
        <v>13</v>
      </c>
      <c r="N115" s="19">
        <f>N114-N113</f>
        <v>209</v>
      </c>
    </row>
    <row r="116" ht="14.25">
      <c r="A116" s="22">
        <v>40642</v>
      </c>
    </row>
    <row r="117" spans="1:14" ht="33.75">
      <c r="A117" s="67" t="s">
        <v>0</v>
      </c>
      <c r="B117" s="68" t="s">
        <v>1</v>
      </c>
      <c r="C117" s="68" t="s">
        <v>2</v>
      </c>
      <c r="D117" s="68" t="s">
        <v>3</v>
      </c>
      <c r="E117" s="68" t="s">
        <v>4</v>
      </c>
      <c r="F117" s="68" t="s">
        <v>5</v>
      </c>
      <c r="G117" s="69" t="s">
        <v>6</v>
      </c>
      <c r="H117" s="70" t="s">
        <v>25</v>
      </c>
      <c r="I117" s="70" t="s">
        <v>7</v>
      </c>
      <c r="J117" s="70" t="s">
        <v>8</v>
      </c>
      <c r="K117" s="68" t="s">
        <v>26</v>
      </c>
      <c r="L117" s="70" t="s">
        <v>9</v>
      </c>
      <c r="M117" s="70" t="s">
        <v>10</v>
      </c>
      <c r="N117" s="71" t="s">
        <v>11</v>
      </c>
    </row>
    <row r="118" spans="1:15" ht="24.75" customHeight="1">
      <c r="A118" s="79" t="s">
        <v>150</v>
      </c>
      <c r="B118" s="72">
        <v>1</v>
      </c>
      <c r="C118" s="80" t="s">
        <v>168</v>
      </c>
      <c r="D118" s="74" t="s">
        <v>169</v>
      </c>
      <c r="E118" s="75" t="s">
        <v>170</v>
      </c>
      <c r="F118" s="75" t="s">
        <v>171</v>
      </c>
      <c r="G118" s="76">
        <v>9</v>
      </c>
      <c r="H118" s="77">
        <v>1</v>
      </c>
      <c r="I118" s="77">
        <v>69</v>
      </c>
      <c r="J118" s="77">
        <f>H118*I118</f>
        <v>69</v>
      </c>
      <c r="K118" s="78">
        <v>1.74</v>
      </c>
      <c r="L118" s="78"/>
      <c r="M118" s="78">
        <f>SUM(J118:L118)</f>
        <v>70.74</v>
      </c>
      <c r="N118" s="78">
        <f>ROUNDUP(M118*28.5,)</f>
        <v>2017</v>
      </c>
      <c r="O118" s="6" t="s">
        <v>154</v>
      </c>
    </row>
    <row r="119" spans="1:14" ht="14.25">
      <c r="A119" s="77"/>
      <c r="B119" s="72">
        <v>2</v>
      </c>
      <c r="C119" s="73"/>
      <c r="D119" s="74"/>
      <c r="E119" s="75"/>
      <c r="F119" s="76"/>
      <c r="G119" s="76"/>
      <c r="H119" s="77"/>
      <c r="I119" s="77"/>
      <c r="J119" s="77">
        <f>H119*I119</f>
        <v>0</v>
      </c>
      <c r="K119" s="78"/>
      <c r="L119" s="78"/>
      <c r="M119" s="78">
        <f>SUM(J119:L119)</f>
        <v>0</v>
      </c>
      <c r="N119" s="78">
        <f>ROUNDUP(M119*28.5,)</f>
        <v>0</v>
      </c>
    </row>
    <row r="120" spans="3:14" ht="14.25">
      <c r="C120" s="9"/>
      <c r="D120" s="9"/>
      <c r="J120" s="10">
        <f>SUM(J118:J119)</f>
        <v>69</v>
      </c>
      <c r="K120" s="10">
        <f>SUM(K118:K119)</f>
        <v>1.74</v>
      </c>
      <c r="L120" s="10">
        <f>SUM(L118:L119)</f>
        <v>0</v>
      </c>
      <c r="M120" s="10">
        <f>SUM(M118:M119)</f>
        <v>70.74</v>
      </c>
      <c r="N120" s="18">
        <f>SUM(N118:N119)</f>
        <v>2017</v>
      </c>
    </row>
    <row r="121" spans="3:14" ht="14.25">
      <c r="C121" s="9"/>
      <c r="D121" s="9"/>
      <c r="J121" s="11"/>
      <c r="K121" s="11"/>
      <c r="L121" s="12"/>
      <c r="M121" s="13" t="s">
        <v>12</v>
      </c>
      <c r="N121" s="14">
        <v>2500</v>
      </c>
    </row>
    <row r="122" spans="12:14" ht="14.25">
      <c r="L122" s="20"/>
      <c r="M122" s="21" t="s">
        <v>13</v>
      </c>
      <c r="N122" s="19">
        <f>N121-N120</f>
        <v>483</v>
      </c>
    </row>
    <row r="123" ht="14.25">
      <c r="A123" s="22">
        <v>40642</v>
      </c>
    </row>
    <row r="124" spans="1:14" ht="33.75">
      <c r="A124" s="67" t="s">
        <v>0</v>
      </c>
      <c r="B124" s="68" t="s">
        <v>1</v>
      </c>
      <c r="C124" s="68" t="s">
        <v>2</v>
      </c>
      <c r="D124" s="68" t="s">
        <v>3</v>
      </c>
      <c r="E124" s="68" t="s">
        <v>4</v>
      </c>
      <c r="F124" s="68" t="s">
        <v>5</v>
      </c>
      <c r="G124" s="69" t="s">
        <v>6</v>
      </c>
      <c r="H124" s="70" t="s">
        <v>25</v>
      </c>
      <c r="I124" s="70" t="s">
        <v>7</v>
      </c>
      <c r="J124" s="70" t="s">
        <v>8</v>
      </c>
      <c r="K124" s="68" t="s">
        <v>26</v>
      </c>
      <c r="L124" s="70" t="s">
        <v>9</v>
      </c>
      <c r="M124" s="70" t="s">
        <v>10</v>
      </c>
      <c r="N124" s="71" t="s">
        <v>11</v>
      </c>
    </row>
    <row r="125" spans="1:15" ht="24.75" customHeight="1">
      <c r="A125" s="79" t="s">
        <v>55</v>
      </c>
      <c r="B125" s="72">
        <v>1</v>
      </c>
      <c r="C125" s="80" t="s">
        <v>172</v>
      </c>
      <c r="D125" s="74" t="s">
        <v>173</v>
      </c>
      <c r="E125" s="75" t="s">
        <v>174</v>
      </c>
      <c r="F125" s="75" t="s">
        <v>175</v>
      </c>
      <c r="G125" s="76">
        <v>11</v>
      </c>
      <c r="H125" s="77">
        <v>1</v>
      </c>
      <c r="I125" s="77">
        <v>14.5</v>
      </c>
      <c r="J125" s="77">
        <f>H125*I125</f>
        <v>14.5</v>
      </c>
      <c r="K125" s="78">
        <v>1.74</v>
      </c>
      <c r="L125" s="78"/>
      <c r="M125" s="78">
        <f>SUM(J125:L125)</f>
        <v>16.24</v>
      </c>
      <c r="N125" s="78">
        <f>ROUNDUP(M125*28.5,)</f>
        <v>463</v>
      </c>
      <c r="O125" s="6" t="s">
        <v>154</v>
      </c>
    </row>
    <row r="126" spans="1:14" ht="14.25">
      <c r="A126" s="77"/>
      <c r="B126" s="72">
        <v>2</v>
      </c>
      <c r="C126" s="73"/>
      <c r="D126" s="74"/>
      <c r="E126" s="75"/>
      <c r="F126" s="76"/>
      <c r="G126" s="76"/>
      <c r="H126" s="77"/>
      <c r="I126" s="77"/>
      <c r="J126" s="77">
        <f>H126*I126</f>
        <v>0</v>
      </c>
      <c r="K126" s="78"/>
      <c r="L126" s="78"/>
      <c r="M126" s="78">
        <f>SUM(J126:L126)</f>
        <v>0</v>
      </c>
      <c r="N126" s="78">
        <f>ROUNDUP(M126*28.5,)</f>
        <v>0</v>
      </c>
    </row>
    <row r="127" spans="3:14" ht="14.25">
      <c r="C127" s="9"/>
      <c r="D127" s="9"/>
      <c r="J127" s="10">
        <f>SUM(J125:J126)</f>
        <v>14.5</v>
      </c>
      <c r="K127" s="10">
        <f>SUM(K125:K126)</f>
        <v>1.74</v>
      </c>
      <c r="L127" s="10">
        <f>SUM(L125:L126)</f>
        <v>0</v>
      </c>
      <c r="M127" s="10">
        <f>SUM(M125:M126)</f>
        <v>16.24</v>
      </c>
      <c r="N127" s="18">
        <f>SUM(N125:N126)</f>
        <v>463</v>
      </c>
    </row>
    <row r="128" spans="3:14" ht="14.25">
      <c r="C128" s="9"/>
      <c r="D128" s="9"/>
      <c r="J128" s="11"/>
      <c r="K128" s="11"/>
      <c r="L128" s="12"/>
      <c r="M128" s="13" t="s">
        <v>12</v>
      </c>
      <c r="N128" s="14">
        <v>2000</v>
      </c>
    </row>
    <row r="129" spans="12:15" ht="14.25">
      <c r="L129" s="20"/>
      <c r="M129" s="21" t="s">
        <v>13</v>
      </c>
      <c r="N129" s="19">
        <f>N128-N127-1437</f>
        <v>100</v>
      </c>
      <c r="O129" s="27"/>
    </row>
    <row r="130" ht="14.25">
      <c r="A130" s="22">
        <v>40643</v>
      </c>
    </row>
    <row r="131" spans="1:14" ht="33.75">
      <c r="A131" s="67" t="s">
        <v>0</v>
      </c>
      <c r="B131" s="68" t="s">
        <v>1</v>
      </c>
      <c r="C131" s="68" t="s">
        <v>2</v>
      </c>
      <c r="D131" s="68" t="s">
        <v>3</v>
      </c>
      <c r="E131" s="68" t="s">
        <v>4</v>
      </c>
      <c r="F131" s="68" t="s">
        <v>5</v>
      </c>
      <c r="G131" s="69" t="s">
        <v>6</v>
      </c>
      <c r="H131" s="70" t="s">
        <v>25</v>
      </c>
      <c r="I131" s="70" t="s">
        <v>7</v>
      </c>
      <c r="J131" s="70" t="s">
        <v>8</v>
      </c>
      <c r="K131" s="68" t="s">
        <v>26</v>
      </c>
      <c r="L131" s="70" t="s">
        <v>9</v>
      </c>
      <c r="M131" s="70" t="s">
        <v>10</v>
      </c>
      <c r="N131" s="71" t="s">
        <v>11</v>
      </c>
    </row>
    <row r="132" spans="1:15" ht="24.75" customHeight="1">
      <c r="A132" s="79" t="s">
        <v>62</v>
      </c>
      <c r="B132" s="72">
        <v>1</v>
      </c>
      <c r="C132" s="80" t="s">
        <v>176</v>
      </c>
      <c r="D132" s="74" t="s">
        <v>177</v>
      </c>
      <c r="E132" s="75" t="s">
        <v>178</v>
      </c>
      <c r="F132" s="75" t="s">
        <v>179</v>
      </c>
      <c r="G132" s="76" t="s">
        <v>180</v>
      </c>
      <c r="H132" s="77">
        <v>1</v>
      </c>
      <c r="I132" s="77">
        <v>19.95</v>
      </c>
      <c r="J132" s="77">
        <f>H132*I132</f>
        <v>19.95</v>
      </c>
      <c r="K132" s="78">
        <v>6.95</v>
      </c>
      <c r="L132" s="78"/>
      <c r="M132" s="78">
        <f>SUM(J132:L132)</f>
        <v>26.9</v>
      </c>
      <c r="N132" s="78">
        <f>ROUNDUP(M132*28.5,)</f>
        <v>767</v>
      </c>
      <c r="O132" s="6" t="s">
        <v>155</v>
      </c>
    </row>
    <row r="133" spans="1:14" ht="14.25">
      <c r="A133" s="77"/>
      <c r="B133" s="72">
        <v>2</v>
      </c>
      <c r="C133" s="73"/>
      <c r="D133" s="74"/>
      <c r="E133" s="75"/>
      <c r="F133" s="76"/>
      <c r="G133" s="76"/>
      <c r="H133" s="77"/>
      <c r="I133" s="77"/>
      <c r="J133" s="77">
        <f>H133*I133</f>
        <v>0</v>
      </c>
      <c r="K133" s="78"/>
      <c r="L133" s="78"/>
      <c r="M133" s="78">
        <f>SUM(J133:L133)</f>
        <v>0</v>
      </c>
      <c r="N133" s="78">
        <f>ROUNDUP(M133*28.5,)</f>
        <v>0</v>
      </c>
    </row>
    <row r="134" spans="3:14" ht="14.25">
      <c r="C134" s="9"/>
      <c r="D134" s="9"/>
      <c r="J134" s="10">
        <f>SUM(J132:J133)</f>
        <v>19.95</v>
      </c>
      <c r="K134" s="10">
        <f>SUM(K132:K133)</f>
        <v>6.95</v>
      </c>
      <c r="L134" s="10">
        <f>SUM(L132:L133)</f>
        <v>0</v>
      </c>
      <c r="M134" s="10">
        <f>SUM(M132:M133)</f>
        <v>26.9</v>
      </c>
      <c r="N134" s="18">
        <f>SUM(N132:N133)</f>
        <v>767</v>
      </c>
    </row>
    <row r="135" spans="3:14" ht="14.25">
      <c r="C135" s="9"/>
      <c r="D135" s="9"/>
      <c r="J135" s="11"/>
      <c r="K135" s="11"/>
      <c r="L135" s="12"/>
      <c r="M135" s="13" t="s">
        <v>12</v>
      </c>
      <c r="N135" s="14">
        <v>1000</v>
      </c>
    </row>
    <row r="136" spans="12:14" ht="14.25">
      <c r="L136" s="20"/>
      <c r="M136" s="21" t="s">
        <v>13</v>
      </c>
      <c r="N136" s="19">
        <f>N135-N134</f>
        <v>233</v>
      </c>
    </row>
    <row r="137" ht="14.25">
      <c r="A137" s="22">
        <v>40643</v>
      </c>
    </row>
    <row r="138" spans="1:14" ht="33.75">
      <c r="A138" s="101" t="s">
        <v>0</v>
      </c>
      <c r="B138" s="102" t="s">
        <v>1</v>
      </c>
      <c r="C138" s="102" t="s">
        <v>2</v>
      </c>
      <c r="D138" s="102" t="s">
        <v>3</v>
      </c>
      <c r="E138" s="102" t="s">
        <v>4</v>
      </c>
      <c r="F138" s="102" t="s">
        <v>5</v>
      </c>
      <c r="G138" s="103" t="s">
        <v>6</v>
      </c>
      <c r="H138" s="104" t="s">
        <v>25</v>
      </c>
      <c r="I138" s="104" t="s">
        <v>7</v>
      </c>
      <c r="J138" s="104" t="s">
        <v>8</v>
      </c>
      <c r="K138" s="102" t="s">
        <v>26</v>
      </c>
      <c r="L138" s="104" t="s">
        <v>9</v>
      </c>
      <c r="M138" s="104" t="s">
        <v>10</v>
      </c>
      <c r="N138" s="105" t="s">
        <v>11</v>
      </c>
    </row>
    <row r="139" spans="1:15" ht="24.75" customHeight="1">
      <c r="A139" s="106" t="s">
        <v>39</v>
      </c>
      <c r="B139" s="107">
        <v>1</v>
      </c>
      <c r="C139" s="114" t="s">
        <v>181</v>
      </c>
      <c r="D139" s="109" t="s">
        <v>182</v>
      </c>
      <c r="E139" s="110" t="s">
        <v>183</v>
      </c>
      <c r="F139" s="110"/>
      <c r="G139" s="111">
        <v>38</v>
      </c>
      <c r="H139" s="112">
        <v>1</v>
      </c>
      <c r="I139" s="112">
        <v>22.5</v>
      </c>
      <c r="J139" s="112">
        <f>H139*I139</f>
        <v>22.5</v>
      </c>
      <c r="K139" s="113">
        <v>2.32</v>
      </c>
      <c r="L139" s="113"/>
      <c r="M139" s="113">
        <f>SUM(J139:L139)</f>
        <v>24.82</v>
      </c>
      <c r="N139" s="113">
        <f>ROUNDUP(M139*28.5,)</f>
        <v>708</v>
      </c>
      <c r="O139" s="6" t="s">
        <v>156</v>
      </c>
    </row>
    <row r="140" spans="1:14" ht="38.25">
      <c r="A140" s="112"/>
      <c r="B140" s="107">
        <v>2</v>
      </c>
      <c r="C140" s="114" t="s">
        <v>184</v>
      </c>
      <c r="D140" s="109" t="s">
        <v>185</v>
      </c>
      <c r="E140" s="110" t="s">
        <v>186</v>
      </c>
      <c r="F140" s="111"/>
      <c r="G140" s="111" t="s">
        <v>36</v>
      </c>
      <c r="H140" s="112">
        <v>1</v>
      </c>
      <c r="I140" s="112">
        <v>62.5</v>
      </c>
      <c r="J140" s="112">
        <f>H140*I140</f>
        <v>62.5</v>
      </c>
      <c r="K140" s="113">
        <v>2.32</v>
      </c>
      <c r="L140" s="113"/>
      <c r="M140" s="113">
        <f>SUM(J140:L140)</f>
        <v>64.82</v>
      </c>
      <c r="N140" s="113">
        <f>ROUNDUP(M140*28.5,)</f>
        <v>1848</v>
      </c>
    </row>
    <row r="141" spans="3:14" ht="14.25">
      <c r="C141" s="9"/>
      <c r="D141" s="9"/>
      <c r="J141" s="10">
        <f>SUM(J139:J140)</f>
        <v>85</v>
      </c>
      <c r="K141" s="10">
        <f>SUM(K139:K140)</f>
        <v>4.64</v>
      </c>
      <c r="L141" s="10">
        <f>SUM(L139:L140)</f>
        <v>0</v>
      </c>
      <c r="M141" s="10">
        <f>SUM(M139:M140)</f>
        <v>89.63999999999999</v>
      </c>
      <c r="N141" s="18">
        <f>SUM(N139:N140)</f>
        <v>2556</v>
      </c>
    </row>
    <row r="142" spans="3:14" ht="14.25">
      <c r="C142" s="9"/>
      <c r="D142" s="9"/>
      <c r="J142" s="11"/>
      <c r="K142" s="11"/>
      <c r="L142" s="12"/>
      <c r="M142" s="13" t="s">
        <v>12</v>
      </c>
      <c r="N142" s="14">
        <v>3000</v>
      </c>
    </row>
    <row r="143" spans="12:14" ht="14.25">
      <c r="L143" s="20"/>
      <c r="M143" s="21" t="s">
        <v>13</v>
      </c>
      <c r="N143" s="19">
        <f>N142-N141</f>
        <v>444</v>
      </c>
    </row>
    <row r="144" ht="14.25">
      <c r="A144" s="22">
        <v>40643</v>
      </c>
    </row>
    <row r="145" spans="1:14" ht="33.75">
      <c r="A145" s="101" t="s">
        <v>0</v>
      </c>
      <c r="B145" s="102" t="s">
        <v>1</v>
      </c>
      <c r="C145" s="102" t="s">
        <v>2</v>
      </c>
      <c r="D145" s="102" t="s">
        <v>3</v>
      </c>
      <c r="E145" s="102" t="s">
        <v>4</v>
      </c>
      <c r="F145" s="102" t="s">
        <v>5</v>
      </c>
      <c r="G145" s="103" t="s">
        <v>6</v>
      </c>
      <c r="H145" s="104" t="s">
        <v>25</v>
      </c>
      <c r="I145" s="104" t="s">
        <v>7</v>
      </c>
      <c r="J145" s="104" t="s">
        <v>8</v>
      </c>
      <c r="K145" s="102" t="s">
        <v>26</v>
      </c>
      <c r="L145" s="104" t="s">
        <v>9</v>
      </c>
      <c r="M145" s="104" t="s">
        <v>10</v>
      </c>
      <c r="N145" s="105" t="s">
        <v>11</v>
      </c>
    </row>
    <row r="146" spans="1:15" ht="24.75" customHeight="1">
      <c r="A146" s="106" t="s">
        <v>151</v>
      </c>
      <c r="B146" s="107">
        <v>1</v>
      </c>
      <c r="C146" s="114" t="s">
        <v>187</v>
      </c>
      <c r="D146" s="109"/>
      <c r="E146" s="110" t="s">
        <v>188</v>
      </c>
      <c r="F146" s="110" t="s">
        <v>189</v>
      </c>
      <c r="G146" s="111">
        <v>31</v>
      </c>
      <c r="H146" s="112">
        <v>1</v>
      </c>
      <c r="I146" s="112">
        <v>49.5</v>
      </c>
      <c r="J146" s="112">
        <f>H146*I146</f>
        <v>49.5</v>
      </c>
      <c r="K146" s="113">
        <v>2.32</v>
      </c>
      <c r="L146" s="113"/>
      <c r="M146" s="113">
        <f>SUM(J146:L146)</f>
        <v>51.82</v>
      </c>
      <c r="N146" s="113">
        <f>ROUNDUP(M146*28.5,)</f>
        <v>1477</v>
      </c>
      <c r="O146" s="6" t="s">
        <v>156</v>
      </c>
    </row>
    <row r="147" spans="1:14" ht="14.25">
      <c r="A147" s="112"/>
      <c r="B147" s="107">
        <v>2</v>
      </c>
      <c r="C147" s="108"/>
      <c r="D147" s="109"/>
      <c r="E147" s="110"/>
      <c r="F147" s="111"/>
      <c r="G147" s="111"/>
      <c r="H147" s="112"/>
      <c r="I147" s="112"/>
      <c r="J147" s="112">
        <f>H147*I147</f>
        <v>0</v>
      </c>
      <c r="K147" s="113"/>
      <c r="L147" s="113"/>
      <c r="M147" s="113">
        <f>SUM(J147:L147)</f>
        <v>0</v>
      </c>
      <c r="N147" s="113">
        <f>ROUNDUP(M147*28.5,)</f>
        <v>0</v>
      </c>
    </row>
    <row r="148" spans="3:14" ht="14.25">
      <c r="C148" s="9"/>
      <c r="D148" s="9"/>
      <c r="J148" s="10">
        <f>SUM(J146:J147)</f>
        <v>49.5</v>
      </c>
      <c r="K148" s="10">
        <f>SUM(K146:K147)</f>
        <v>2.32</v>
      </c>
      <c r="L148" s="10">
        <f>SUM(L146:L147)</f>
        <v>0</v>
      </c>
      <c r="M148" s="10">
        <f>SUM(M146:M147)</f>
        <v>51.82</v>
      </c>
      <c r="N148" s="18">
        <f>SUM(N146:N147)</f>
        <v>1477</v>
      </c>
    </row>
    <row r="149" spans="3:14" ht="14.25">
      <c r="C149" s="9"/>
      <c r="D149" s="9"/>
      <c r="J149" s="11"/>
      <c r="K149" s="11"/>
      <c r="L149" s="12"/>
      <c r="M149" s="13" t="s">
        <v>12</v>
      </c>
      <c r="N149" s="14">
        <v>2000</v>
      </c>
    </row>
    <row r="150" spans="12:14" ht="14.25">
      <c r="L150" s="20"/>
      <c r="M150" s="21" t="s">
        <v>13</v>
      </c>
      <c r="N150" s="19">
        <f>N149-N148</f>
        <v>523</v>
      </c>
    </row>
    <row r="151" ht="14.25">
      <c r="A151" s="22">
        <v>40644</v>
      </c>
    </row>
    <row r="152" spans="1:14" ht="33.75">
      <c r="A152" s="67" t="s">
        <v>0</v>
      </c>
      <c r="B152" s="68" t="s">
        <v>1</v>
      </c>
      <c r="C152" s="68" t="s">
        <v>2</v>
      </c>
      <c r="D152" s="68" t="s">
        <v>3</v>
      </c>
      <c r="E152" s="68" t="s">
        <v>4</v>
      </c>
      <c r="F152" s="68" t="s">
        <v>5</v>
      </c>
      <c r="G152" s="69" t="s">
        <v>6</v>
      </c>
      <c r="H152" s="70" t="s">
        <v>25</v>
      </c>
      <c r="I152" s="70" t="s">
        <v>7</v>
      </c>
      <c r="J152" s="70" t="s">
        <v>8</v>
      </c>
      <c r="K152" s="68" t="s">
        <v>26</v>
      </c>
      <c r="L152" s="70" t="s">
        <v>9</v>
      </c>
      <c r="M152" s="70" t="s">
        <v>10</v>
      </c>
      <c r="N152" s="71" t="s">
        <v>11</v>
      </c>
    </row>
    <row r="153" spans="1:15" ht="24.75" customHeight="1">
      <c r="A153" s="79" t="s">
        <v>48</v>
      </c>
      <c r="B153" s="72">
        <v>1</v>
      </c>
      <c r="C153" s="80" t="s">
        <v>190</v>
      </c>
      <c r="D153" s="74" t="s">
        <v>191</v>
      </c>
      <c r="E153" s="75" t="s">
        <v>192</v>
      </c>
      <c r="F153" s="75" t="s">
        <v>22</v>
      </c>
      <c r="G153" s="76">
        <v>27</v>
      </c>
      <c r="H153" s="77">
        <v>1</v>
      </c>
      <c r="I153" s="77">
        <v>48.3</v>
      </c>
      <c r="J153" s="77">
        <f>H153*I153</f>
        <v>48.3</v>
      </c>
      <c r="K153" s="78">
        <v>2.32</v>
      </c>
      <c r="L153" s="78"/>
      <c r="M153" s="78">
        <f>SUM(J153:L153)</f>
        <v>50.62</v>
      </c>
      <c r="N153" s="78">
        <f>ROUNDUP(M153*28.5,)</f>
        <v>1443</v>
      </c>
      <c r="O153" s="6" t="s">
        <v>157</v>
      </c>
    </row>
    <row r="154" spans="1:14" ht="38.25">
      <c r="A154" s="77"/>
      <c r="B154" s="72">
        <v>2</v>
      </c>
      <c r="C154" s="80" t="s">
        <v>193</v>
      </c>
      <c r="D154" s="74" t="s">
        <v>194</v>
      </c>
      <c r="E154" s="75" t="s">
        <v>195</v>
      </c>
      <c r="F154" s="76" t="s">
        <v>196</v>
      </c>
      <c r="G154" s="76">
        <v>27</v>
      </c>
      <c r="H154" s="77">
        <v>1</v>
      </c>
      <c r="I154" s="77">
        <v>42.75</v>
      </c>
      <c r="J154" s="77">
        <f>H154*I154</f>
        <v>42.75</v>
      </c>
      <c r="K154" s="78">
        <v>2.32</v>
      </c>
      <c r="L154" s="78"/>
      <c r="M154" s="78">
        <f>SUM(J154:L154)</f>
        <v>45.07</v>
      </c>
      <c r="N154" s="78">
        <f>ROUNDUP(M154*28.5,)</f>
        <v>1285</v>
      </c>
    </row>
    <row r="155" spans="3:14" ht="14.25">
      <c r="C155" s="9"/>
      <c r="D155" s="9"/>
      <c r="J155" s="10">
        <f>SUM(J153:J154)</f>
        <v>91.05</v>
      </c>
      <c r="K155" s="10">
        <f>SUM(K153:K154)</f>
        <v>4.64</v>
      </c>
      <c r="L155" s="10">
        <f>SUM(L153:L154)</f>
        <v>0</v>
      </c>
      <c r="M155" s="10">
        <f>SUM(M153:M154)</f>
        <v>95.69</v>
      </c>
      <c r="N155" s="18">
        <f>SUM(N153:N154)</f>
        <v>2728</v>
      </c>
    </row>
    <row r="156" spans="3:15" ht="14.25">
      <c r="C156" s="9"/>
      <c r="D156" s="9"/>
      <c r="J156" s="11"/>
      <c r="K156" s="11"/>
      <c r="L156" s="12"/>
      <c r="M156" s="13" t="s">
        <v>12</v>
      </c>
      <c r="N156" s="14">
        <v>2734</v>
      </c>
      <c r="O156" s="6" t="s">
        <v>197</v>
      </c>
    </row>
    <row r="157" spans="12:14" ht="14.25">
      <c r="L157" s="20"/>
      <c r="M157" s="21" t="s">
        <v>13</v>
      </c>
      <c r="N157" s="19">
        <f>N156-N155</f>
        <v>6</v>
      </c>
    </row>
    <row r="158" ht="14.25">
      <c r="A158" s="22">
        <v>40644</v>
      </c>
    </row>
    <row r="159" spans="1:14" ht="33.75">
      <c r="A159" s="67" t="s">
        <v>0</v>
      </c>
      <c r="B159" s="68" t="s">
        <v>1</v>
      </c>
      <c r="C159" s="68" t="s">
        <v>2</v>
      </c>
      <c r="D159" s="68" t="s">
        <v>3</v>
      </c>
      <c r="E159" s="68" t="s">
        <v>4</v>
      </c>
      <c r="F159" s="68" t="s">
        <v>5</v>
      </c>
      <c r="G159" s="69" t="s">
        <v>6</v>
      </c>
      <c r="H159" s="70" t="s">
        <v>25</v>
      </c>
      <c r="I159" s="70" t="s">
        <v>7</v>
      </c>
      <c r="J159" s="70" t="s">
        <v>8</v>
      </c>
      <c r="K159" s="68" t="s">
        <v>26</v>
      </c>
      <c r="L159" s="70" t="s">
        <v>9</v>
      </c>
      <c r="M159" s="70" t="s">
        <v>10</v>
      </c>
      <c r="N159" s="71" t="s">
        <v>11</v>
      </c>
    </row>
    <row r="160" spans="1:15" ht="24.75" customHeight="1">
      <c r="A160" s="79" t="s">
        <v>14</v>
      </c>
      <c r="B160" s="72">
        <v>1</v>
      </c>
      <c r="C160" s="80" t="s">
        <v>198</v>
      </c>
      <c r="D160" s="74" t="s">
        <v>199</v>
      </c>
      <c r="E160" s="75" t="s">
        <v>200</v>
      </c>
      <c r="F160" s="75" t="s">
        <v>201</v>
      </c>
      <c r="G160" s="76">
        <v>9</v>
      </c>
      <c r="H160" s="77">
        <v>1</v>
      </c>
      <c r="I160" s="77">
        <v>30</v>
      </c>
      <c r="J160" s="77">
        <f>H160*I160</f>
        <v>30</v>
      </c>
      <c r="K160" s="78">
        <v>2.32</v>
      </c>
      <c r="L160" s="78"/>
      <c r="M160" s="78">
        <f>SUM(J160:L160)</f>
        <v>32.32</v>
      </c>
      <c r="N160" s="78">
        <f>ROUNDUP(M160*28.5,)</f>
        <v>922</v>
      </c>
      <c r="O160" s="6" t="s">
        <v>157</v>
      </c>
    </row>
    <row r="161" spans="1:14" ht="14.25">
      <c r="A161" s="77"/>
      <c r="B161" s="72">
        <v>2</v>
      </c>
      <c r="C161" s="73"/>
      <c r="D161" s="74"/>
      <c r="E161" s="75"/>
      <c r="F161" s="76"/>
      <c r="G161" s="76"/>
      <c r="H161" s="77"/>
      <c r="I161" s="77"/>
      <c r="J161" s="77">
        <f>H161*I161</f>
        <v>0</v>
      </c>
      <c r="K161" s="78"/>
      <c r="L161" s="78"/>
      <c r="M161" s="78">
        <f>SUM(J161:L161)</f>
        <v>0</v>
      </c>
      <c r="N161" s="78">
        <f>ROUNDUP(M161*28.5,)</f>
        <v>0</v>
      </c>
    </row>
    <row r="162" spans="3:14" ht="14.25">
      <c r="C162" s="9"/>
      <c r="D162" s="9"/>
      <c r="J162" s="10">
        <f>SUM(J160:J161)</f>
        <v>30</v>
      </c>
      <c r="K162" s="10">
        <f>SUM(K160:K161)</f>
        <v>2.32</v>
      </c>
      <c r="L162" s="10">
        <f>SUM(L160:L161)</f>
        <v>0</v>
      </c>
      <c r="M162" s="10">
        <f>SUM(M160:M161)</f>
        <v>32.32</v>
      </c>
      <c r="N162" s="18">
        <f>SUM(N160:N161)</f>
        <v>922</v>
      </c>
    </row>
    <row r="163" spans="3:14" ht="14.25">
      <c r="C163" s="9"/>
      <c r="D163" s="9"/>
      <c r="J163" s="11"/>
      <c r="K163" s="11"/>
      <c r="L163" s="12"/>
      <c r="M163" s="13" t="s">
        <v>12</v>
      </c>
      <c r="N163" s="14">
        <v>1400</v>
      </c>
    </row>
    <row r="164" spans="12:14" ht="14.25">
      <c r="L164" s="20"/>
      <c r="M164" s="21" t="s">
        <v>13</v>
      </c>
      <c r="N164" s="19">
        <f>N163-N162</f>
        <v>478</v>
      </c>
    </row>
    <row r="165" ht="14.25">
      <c r="A165" s="22">
        <v>40644</v>
      </c>
    </row>
    <row r="166" spans="1:14" ht="33.75">
      <c r="A166" s="67" t="s">
        <v>0</v>
      </c>
      <c r="B166" s="68" t="s">
        <v>1</v>
      </c>
      <c r="C166" s="68" t="s">
        <v>2</v>
      </c>
      <c r="D166" s="68" t="s">
        <v>3</v>
      </c>
      <c r="E166" s="68" t="s">
        <v>4</v>
      </c>
      <c r="F166" s="68" t="s">
        <v>5</v>
      </c>
      <c r="G166" s="69" t="s">
        <v>6</v>
      </c>
      <c r="H166" s="70" t="s">
        <v>25</v>
      </c>
      <c r="I166" s="70" t="s">
        <v>7</v>
      </c>
      <c r="J166" s="70" t="s">
        <v>8</v>
      </c>
      <c r="K166" s="68" t="s">
        <v>26</v>
      </c>
      <c r="L166" s="70" t="s">
        <v>9</v>
      </c>
      <c r="M166" s="70" t="s">
        <v>10</v>
      </c>
      <c r="N166" s="71" t="s">
        <v>11</v>
      </c>
    </row>
    <row r="167" spans="1:15" ht="24.75" customHeight="1">
      <c r="A167" s="79" t="s">
        <v>14</v>
      </c>
      <c r="B167" s="72">
        <v>1</v>
      </c>
      <c r="C167" s="80" t="s">
        <v>202</v>
      </c>
      <c r="D167" s="74" t="s">
        <v>203</v>
      </c>
      <c r="E167" s="75" t="s">
        <v>204</v>
      </c>
      <c r="F167" s="75" t="s">
        <v>205</v>
      </c>
      <c r="G167" s="76" t="s">
        <v>206</v>
      </c>
      <c r="H167" s="77">
        <v>1</v>
      </c>
      <c r="I167" s="77">
        <v>33.3</v>
      </c>
      <c r="J167" s="77">
        <f>H167*I167</f>
        <v>33.3</v>
      </c>
      <c r="K167" s="78">
        <v>3.48</v>
      </c>
      <c r="L167" s="78"/>
      <c r="M167" s="78">
        <f>SUM(J167:L167)</f>
        <v>36.779999999999994</v>
      </c>
      <c r="N167" s="78">
        <f>ROUNDUP(M167*28.5,)</f>
        <v>1049</v>
      </c>
      <c r="O167" s="6" t="s">
        <v>158</v>
      </c>
    </row>
    <row r="168" spans="1:14" ht="14.25">
      <c r="A168" s="77"/>
      <c r="B168" s="72">
        <v>2</v>
      </c>
      <c r="C168" s="73"/>
      <c r="D168" s="74"/>
      <c r="E168" s="75"/>
      <c r="F168" s="76"/>
      <c r="G168" s="76"/>
      <c r="H168" s="77"/>
      <c r="I168" s="77"/>
      <c r="J168" s="77">
        <f>H168*I168</f>
        <v>0</v>
      </c>
      <c r="K168" s="78"/>
      <c r="L168" s="78"/>
      <c r="M168" s="78">
        <f>SUM(J168:L168)</f>
        <v>0</v>
      </c>
      <c r="N168" s="78">
        <f>ROUNDUP(M168*28.5,)</f>
        <v>0</v>
      </c>
    </row>
    <row r="169" spans="3:14" ht="14.25">
      <c r="C169" s="9"/>
      <c r="D169" s="9"/>
      <c r="J169" s="10">
        <f>SUM(J167:J168)</f>
        <v>33.3</v>
      </c>
      <c r="K169" s="10">
        <f>SUM(K167:K168)</f>
        <v>3.48</v>
      </c>
      <c r="L169" s="10">
        <f>SUM(L167:L168)</f>
        <v>0</v>
      </c>
      <c r="M169" s="10">
        <f>SUM(M167:M168)</f>
        <v>36.779999999999994</v>
      </c>
      <c r="N169" s="18">
        <f>SUM(N167:N168)</f>
        <v>1049</v>
      </c>
    </row>
    <row r="170" spans="3:14" ht="14.25">
      <c r="C170" s="9"/>
      <c r="D170" s="9"/>
      <c r="J170" s="11"/>
      <c r="K170" s="11"/>
      <c r="L170" s="12"/>
      <c r="M170" s="13" t="s">
        <v>12</v>
      </c>
      <c r="N170" s="14">
        <v>1500</v>
      </c>
    </row>
    <row r="171" spans="12:14" ht="14.25">
      <c r="L171" s="20"/>
      <c r="M171" s="21" t="s">
        <v>13</v>
      </c>
      <c r="N171" s="19">
        <f>N170-N169</f>
        <v>451</v>
      </c>
    </row>
    <row r="172" ht="14.25">
      <c r="A172" s="22">
        <v>40644</v>
      </c>
    </row>
    <row r="173" spans="1:14" ht="33.75">
      <c r="A173" s="67" t="s">
        <v>0</v>
      </c>
      <c r="B173" s="68" t="s">
        <v>1</v>
      </c>
      <c r="C173" s="68" t="s">
        <v>2</v>
      </c>
      <c r="D173" s="68" t="s">
        <v>3</v>
      </c>
      <c r="E173" s="68" t="s">
        <v>4</v>
      </c>
      <c r="F173" s="68" t="s">
        <v>5</v>
      </c>
      <c r="G173" s="69" t="s">
        <v>6</v>
      </c>
      <c r="H173" s="70" t="s">
        <v>25</v>
      </c>
      <c r="I173" s="70" t="s">
        <v>7</v>
      </c>
      <c r="J173" s="70" t="s">
        <v>8</v>
      </c>
      <c r="K173" s="68" t="s">
        <v>26</v>
      </c>
      <c r="L173" s="70" t="s">
        <v>9</v>
      </c>
      <c r="M173" s="70" t="s">
        <v>10</v>
      </c>
      <c r="N173" s="71" t="s">
        <v>11</v>
      </c>
    </row>
    <row r="174" spans="1:15" ht="24.75" customHeight="1">
      <c r="A174" s="79" t="s">
        <v>207</v>
      </c>
      <c r="B174" s="72">
        <v>1</v>
      </c>
      <c r="C174" s="80" t="s">
        <v>208</v>
      </c>
      <c r="D174" s="74"/>
      <c r="E174" s="75" t="s">
        <v>209</v>
      </c>
      <c r="F174" s="75" t="s">
        <v>210</v>
      </c>
      <c r="G174" s="76" t="s">
        <v>211</v>
      </c>
      <c r="H174" s="77">
        <v>1</v>
      </c>
      <c r="I174" s="77">
        <v>45</v>
      </c>
      <c r="J174" s="77">
        <f>H174*I174</f>
        <v>45</v>
      </c>
      <c r="K174" s="78">
        <v>3.48</v>
      </c>
      <c r="L174" s="78"/>
      <c r="M174" s="78">
        <f>SUM(J174:L174)</f>
        <v>48.48</v>
      </c>
      <c r="N174" s="78">
        <f>ROUNDUP(M174*28.5,)</f>
        <v>1382</v>
      </c>
      <c r="O174" s="6" t="s">
        <v>158</v>
      </c>
    </row>
    <row r="175" spans="1:14" ht="14.25">
      <c r="A175" s="77"/>
      <c r="B175" s="72">
        <v>2</v>
      </c>
      <c r="C175" s="73"/>
      <c r="D175" s="74"/>
      <c r="E175" s="75"/>
      <c r="F175" s="76"/>
      <c r="G175" s="76"/>
      <c r="H175" s="77"/>
      <c r="I175" s="77"/>
      <c r="J175" s="77">
        <f>H175*I175</f>
        <v>0</v>
      </c>
      <c r="K175" s="78"/>
      <c r="L175" s="78"/>
      <c r="M175" s="78">
        <f>SUM(J175:L175)</f>
        <v>0</v>
      </c>
      <c r="N175" s="78">
        <f>ROUNDUP(M175*28.5,)</f>
        <v>0</v>
      </c>
    </row>
    <row r="176" spans="3:14" ht="14.25">
      <c r="C176" s="9"/>
      <c r="D176" s="9"/>
      <c r="J176" s="10">
        <f>SUM(J174:J175)</f>
        <v>45</v>
      </c>
      <c r="K176" s="10">
        <f>SUM(K174:K175)</f>
        <v>3.48</v>
      </c>
      <c r="L176" s="10">
        <f>SUM(L174:L175)</f>
        <v>0</v>
      </c>
      <c r="M176" s="10">
        <f>SUM(M174:M175)</f>
        <v>48.48</v>
      </c>
      <c r="N176" s="18">
        <f>SUM(N174:N175)</f>
        <v>1382</v>
      </c>
    </row>
    <row r="177" spans="3:14" ht="14.25">
      <c r="C177" s="9"/>
      <c r="D177" s="9"/>
      <c r="J177" s="11"/>
      <c r="K177" s="11"/>
      <c r="L177" s="12"/>
      <c r="M177" s="13" t="s">
        <v>12</v>
      </c>
      <c r="N177" s="14">
        <v>2300</v>
      </c>
    </row>
    <row r="178" spans="12:14" ht="14.25">
      <c r="L178" s="20"/>
      <c r="M178" s="21" t="s">
        <v>13</v>
      </c>
      <c r="N178" s="19">
        <f>N177-N176</f>
        <v>918</v>
      </c>
    </row>
    <row r="179" ht="14.25">
      <c r="A179" s="22">
        <v>40644</v>
      </c>
    </row>
    <row r="180" spans="1:14" ht="33.75">
      <c r="A180" s="101" t="s">
        <v>0</v>
      </c>
      <c r="B180" s="102" t="s">
        <v>1</v>
      </c>
      <c r="C180" s="102" t="s">
        <v>2</v>
      </c>
      <c r="D180" s="102" t="s">
        <v>3</v>
      </c>
      <c r="E180" s="102" t="s">
        <v>4</v>
      </c>
      <c r="F180" s="102" t="s">
        <v>5</v>
      </c>
      <c r="G180" s="103" t="s">
        <v>6</v>
      </c>
      <c r="H180" s="104" t="s">
        <v>25</v>
      </c>
      <c r="I180" s="104" t="s">
        <v>7</v>
      </c>
      <c r="J180" s="104" t="s">
        <v>8</v>
      </c>
      <c r="K180" s="102" t="s">
        <v>26</v>
      </c>
      <c r="L180" s="104" t="s">
        <v>9</v>
      </c>
      <c r="M180" s="104" t="s">
        <v>10</v>
      </c>
      <c r="N180" s="105" t="s">
        <v>11</v>
      </c>
    </row>
    <row r="181" spans="1:15" ht="24.75" customHeight="1">
      <c r="A181" s="106" t="s">
        <v>39</v>
      </c>
      <c r="B181" s="107">
        <v>1</v>
      </c>
      <c r="C181" s="114" t="s">
        <v>212</v>
      </c>
      <c r="D181" s="109" t="s">
        <v>213</v>
      </c>
      <c r="E181" s="110" t="s">
        <v>214</v>
      </c>
      <c r="F181" s="110"/>
      <c r="G181" s="111"/>
      <c r="H181" s="112">
        <v>1</v>
      </c>
      <c r="I181" s="112">
        <v>28</v>
      </c>
      <c r="J181" s="112">
        <f>H181*I181</f>
        <v>28</v>
      </c>
      <c r="K181" s="113">
        <v>6.95</v>
      </c>
      <c r="L181" s="113"/>
      <c r="M181" s="113">
        <f>SUM(J181:L181)</f>
        <v>34.95</v>
      </c>
      <c r="N181" s="113">
        <f>ROUNDUP(M181*28.5,)</f>
        <v>997</v>
      </c>
      <c r="O181" s="6" t="s">
        <v>159</v>
      </c>
    </row>
    <row r="182" spans="1:14" ht="24.75" customHeight="1">
      <c r="A182" s="106"/>
      <c r="B182" s="107">
        <v>2</v>
      </c>
      <c r="C182" s="114" t="s">
        <v>181</v>
      </c>
      <c r="D182" s="109" t="s">
        <v>182</v>
      </c>
      <c r="E182" s="110"/>
      <c r="F182" s="110"/>
      <c r="G182" s="111">
        <v>40</v>
      </c>
      <c r="H182" s="112">
        <v>1</v>
      </c>
      <c r="I182" s="112">
        <v>22.5</v>
      </c>
      <c r="J182" s="112">
        <f>H182*I182</f>
        <v>22.5</v>
      </c>
      <c r="K182" s="113"/>
      <c r="L182" s="113"/>
      <c r="M182" s="113">
        <f>SUM(J182:L182)</f>
        <v>22.5</v>
      </c>
      <c r="N182" s="113">
        <f>ROUNDUP(M182*28.5,)</f>
        <v>642</v>
      </c>
    </row>
    <row r="183" spans="1:14" ht="24.75" customHeight="1">
      <c r="A183" s="106"/>
      <c r="B183" s="107">
        <v>3</v>
      </c>
      <c r="C183" s="114" t="s">
        <v>215</v>
      </c>
      <c r="D183" s="109" t="s">
        <v>216</v>
      </c>
      <c r="E183" s="110" t="s">
        <v>217</v>
      </c>
      <c r="F183" s="110"/>
      <c r="G183" s="111" t="s">
        <v>36</v>
      </c>
      <c r="H183" s="112">
        <v>1</v>
      </c>
      <c r="I183" s="112">
        <v>35.1</v>
      </c>
      <c r="J183" s="112">
        <f>H183*I183</f>
        <v>35.1</v>
      </c>
      <c r="K183" s="113"/>
      <c r="L183" s="113"/>
      <c r="M183" s="113">
        <f>SUM(J183:L183)</f>
        <v>35.1</v>
      </c>
      <c r="N183" s="113">
        <f>ROUNDUP(M183*28.5,)</f>
        <v>1001</v>
      </c>
    </row>
    <row r="184" spans="1:14" ht="19.5" customHeight="1">
      <c r="A184" s="112"/>
      <c r="B184" s="107">
        <v>4</v>
      </c>
      <c r="C184" s="114" t="s">
        <v>218</v>
      </c>
      <c r="D184" s="109" t="s">
        <v>219</v>
      </c>
      <c r="E184" s="110" t="s">
        <v>220</v>
      </c>
      <c r="F184" s="111"/>
      <c r="G184" s="111" t="s">
        <v>221</v>
      </c>
      <c r="H184" s="112">
        <v>1</v>
      </c>
      <c r="I184" s="112">
        <v>47.4</v>
      </c>
      <c r="J184" s="112">
        <f>H184*I184</f>
        <v>47.4</v>
      </c>
      <c r="K184" s="113"/>
      <c r="L184" s="113"/>
      <c r="M184" s="113">
        <f>SUM(J184:L184)</f>
        <v>47.4</v>
      </c>
      <c r="N184" s="113">
        <f>ROUNDUP(M184*28.5,)</f>
        <v>1351</v>
      </c>
    </row>
    <row r="185" spans="3:14" ht="14.25">
      <c r="C185" s="9"/>
      <c r="D185" s="9"/>
      <c r="J185" s="10">
        <f>SUM(J181:J184)</f>
        <v>133</v>
      </c>
      <c r="K185" s="10">
        <f>SUM(K181:K184)</f>
        <v>6.95</v>
      </c>
      <c r="L185" s="10">
        <f>SUM(L181:L184)</f>
        <v>0</v>
      </c>
      <c r="M185" s="10">
        <f>SUM(M181:M184)</f>
        <v>139.95000000000002</v>
      </c>
      <c r="N185" s="18">
        <f>SUM(N181:N184)</f>
        <v>3991</v>
      </c>
    </row>
    <row r="186" spans="3:14" ht="14.25">
      <c r="C186" s="9"/>
      <c r="D186" s="9"/>
      <c r="J186" s="11"/>
      <c r="K186" s="11"/>
      <c r="L186" s="12"/>
      <c r="M186" s="13" t="s">
        <v>12</v>
      </c>
      <c r="N186" s="14">
        <v>4000</v>
      </c>
    </row>
    <row r="187" spans="12:14" ht="14.25">
      <c r="L187" s="20"/>
      <c r="M187" s="21" t="s">
        <v>13</v>
      </c>
      <c r="N187" s="19">
        <f>N186-N185</f>
        <v>9</v>
      </c>
    </row>
    <row r="188" ht="14.25">
      <c r="A188" s="22">
        <v>40645</v>
      </c>
    </row>
    <row r="189" spans="1:14" ht="33.75">
      <c r="A189" s="101" t="s">
        <v>0</v>
      </c>
      <c r="B189" s="102" t="s">
        <v>1</v>
      </c>
      <c r="C189" s="102" t="s">
        <v>2</v>
      </c>
      <c r="D189" s="102" t="s">
        <v>3</v>
      </c>
      <c r="E189" s="102" t="s">
        <v>4</v>
      </c>
      <c r="F189" s="102" t="s">
        <v>5</v>
      </c>
      <c r="G189" s="103" t="s">
        <v>6</v>
      </c>
      <c r="H189" s="104" t="s">
        <v>25</v>
      </c>
      <c r="I189" s="104" t="s">
        <v>7</v>
      </c>
      <c r="J189" s="104" t="s">
        <v>8</v>
      </c>
      <c r="K189" s="102" t="s">
        <v>26</v>
      </c>
      <c r="L189" s="104" t="s">
        <v>9</v>
      </c>
      <c r="M189" s="104" t="s">
        <v>10</v>
      </c>
      <c r="N189" s="105" t="s">
        <v>11</v>
      </c>
    </row>
    <row r="190" spans="1:15" ht="24.75" customHeight="1">
      <c r="A190" s="106" t="s">
        <v>162</v>
      </c>
      <c r="B190" s="107">
        <v>1</v>
      </c>
      <c r="C190" s="108" t="s">
        <v>222</v>
      </c>
      <c r="D190" s="109" t="s">
        <v>223</v>
      </c>
      <c r="E190" s="110" t="s">
        <v>224</v>
      </c>
      <c r="F190" s="110" t="s">
        <v>22</v>
      </c>
      <c r="G190" s="111" t="s">
        <v>225</v>
      </c>
      <c r="H190" s="112">
        <v>1</v>
      </c>
      <c r="I190" s="112">
        <v>16.8</v>
      </c>
      <c r="J190" s="112">
        <f>H190*I190</f>
        <v>16.8</v>
      </c>
      <c r="K190" s="113">
        <v>6.95</v>
      </c>
      <c r="L190" s="113"/>
      <c r="M190" s="113">
        <f>SUM(J190:L190)</f>
        <v>23.75</v>
      </c>
      <c r="N190" s="113">
        <f>ROUNDUP(M190*28.5,)</f>
        <v>677</v>
      </c>
      <c r="O190" s="6" t="s">
        <v>160</v>
      </c>
    </row>
    <row r="191" spans="1:14" ht="14.25">
      <c r="A191" s="112"/>
      <c r="B191" s="107">
        <v>2</v>
      </c>
      <c r="C191" s="108"/>
      <c r="D191" s="109"/>
      <c r="E191" s="110"/>
      <c r="F191" s="111"/>
      <c r="G191" s="111"/>
      <c r="H191" s="112"/>
      <c r="I191" s="112"/>
      <c r="J191" s="112">
        <f>H191*I191</f>
        <v>0</v>
      </c>
      <c r="K191" s="113"/>
      <c r="L191" s="113"/>
      <c r="M191" s="113">
        <f>SUM(J191:L191)</f>
        <v>0</v>
      </c>
      <c r="N191" s="113">
        <f>ROUNDUP(M191*28.5,)</f>
        <v>0</v>
      </c>
    </row>
    <row r="192" spans="3:14" ht="14.25">
      <c r="C192" s="9"/>
      <c r="D192" s="9"/>
      <c r="J192" s="10">
        <f>SUM(J190:J191)</f>
        <v>16.8</v>
      </c>
      <c r="K192" s="10">
        <f>SUM(K190:K191)</f>
        <v>6.95</v>
      </c>
      <c r="L192" s="10">
        <f>SUM(L190:L191)</f>
        <v>0</v>
      </c>
      <c r="M192" s="10">
        <f>SUM(M190:M191)</f>
        <v>23.75</v>
      </c>
      <c r="N192" s="18">
        <f>SUM(N190:N191)</f>
        <v>677</v>
      </c>
    </row>
    <row r="193" spans="3:14" ht="14.25">
      <c r="C193" s="9"/>
      <c r="D193" s="9"/>
      <c r="J193" s="11"/>
      <c r="K193" s="11"/>
      <c r="L193" s="12"/>
      <c r="M193" s="13" t="s">
        <v>12</v>
      </c>
      <c r="N193" s="14">
        <v>850</v>
      </c>
    </row>
    <row r="194" spans="12:14" ht="14.25">
      <c r="L194" s="20"/>
      <c r="M194" s="21" t="s">
        <v>13</v>
      </c>
      <c r="N194" s="19">
        <f>N193-N192</f>
        <v>173</v>
      </c>
    </row>
    <row r="195" ht="14.25">
      <c r="A195" s="22">
        <v>40639</v>
      </c>
    </row>
    <row r="196" spans="1:14" ht="33.75">
      <c r="A196" s="81" t="s">
        <v>0</v>
      </c>
      <c r="B196" s="82" t="s">
        <v>1</v>
      </c>
      <c r="C196" s="82" t="s">
        <v>2</v>
      </c>
      <c r="D196" s="82" t="s">
        <v>3</v>
      </c>
      <c r="E196" s="82" t="s">
        <v>4</v>
      </c>
      <c r="F196" s="82" t="s">
        <v>5</v>
      </c>
      <c r="G196" s="83" t="s">
        <v>6</v>
      </c>
      <c r="H196" s="84" t="s">
        <v>25</v>
      </c>
      <c r="I196" s="84" t="s">
        <v>7</v>
      </c>
      <c r="J196" s="84" t="s">
        <v>8</v>
      </c>
      <c r="K196" s="82" t="s">
        <v>26</v>
      </c>
      <c r="L196" s="84" t="s">
        <v>9</v>
      </c>
      <c r="M196" s="84" t="s">
        <v>10</v>
      </c>
      <c r="N196" s="85" t="s">
        <v>11</v>
      </c>
    </row>
    <row r="197" spans="1:15" ht="24.75" customHeight="1">
      <c r="A197" s="86" t="s">
        <v>44</v>
      </c>
      <c r="B197" s="87">
        <v>1</v>
      </c>
      <c r="C197" s="88" t="s">
        <v>228</v>
      </c>
      <c r="D197" s="89"/>
      <c r="E197" s="90" t="s">
        <v>229</v>
      </c>
      <c r="F197" s="90"/>
      <c r="G197" s="91"/>
      <c r="H197" s="92">
        <v>1</v>
      </c>
      <c r="I197" s="92">
        <v>9.95</v>
      </c>
      <c r="J197" s="92">
        <f>H197*I197</f>
        <v>9.95</v>
      </c>
      <c r="K197" s="93">
        <v>7.95</v>
      </c>
      <c r="L197" s="93">
        <v>2.14</v>
      </c>
      <c r="M197" s="93">
        <f>SUM(J197:L197)</f>
        <v>20.04</v>
      </c>
      <c r="N197" s="93">
        <f>ROUNDUP(M197*28.5,)</f>
        <v>572</v>
      </c>
      <c r="O197" t="s">
        <v>148</v>
      </c>
    </row>
    <row r="198" spans="1:14" ht="29.25" customHeight="1">
      <c r="A198" s="92"/>
      <c r="B198" s="87">
        <v>2</v>
      </c>
      <c r="C198" s="88" t="s">
        <v>230</v>
      </c>
      <c r="D198" s="89"/>
      <c r="E198" s="90" t="s">
        <v>231</v>
      </c>
      <c r="F198" s="91"/>
      <c r="G198" s="91"/>
      <c r="H198" s="92">
        <v>1</v>
      </c>
      <c r="I198" s="92">
        <v>21.95</v>
      </c>
      <c r="J198" s="92">
        <f>H198*I198</f>
        <v>21.95</v>
      </c>
      <c r="K198" s="93">
        <v>5.99</v>
      </c>
      <c r="L198" s="93"/>
      <c r="M198" s="93">
        <f>SUM(J198:L198)</f>
        <v>27.939999999999998</v>
      </c>
      <c r="N198" s="93">
        <f>ROUNDUP(M198*28.5,)</f>
        <v>797</v>
      </c>
    </row>
    <row r="199" spans="3:14" ht="14.25">
      <c r="C199" s="9"/>
      <c r="D199" s="9"/>
      <c r="J199" s="10">
        <f>SUM(J197:J198)</f>
        <v>31.9</v>
      </c>
      <c r="K199" s="10">
        <f>SUM(K197:K198)</f>
        <v>13.940000000000001</v>
      </c>
      <c r="L199" s="10">
        <f>SUM(L197:L198)</f>
        <v>2.14</v>
      </c>
      <c r="M199" s="10">
        <f>SUM(M197:M198)</f>
        <v>47.98</v>
      </c>
      <c r="N199" s="18">
        <f>SUM(N197:N198)</f>
        <v>1369</v>
      </c>
    </row>
    <row r="200" spans="3:14" ht="14.25">
      <c r="C200" s="9"/>
      <c r="D200" s="9"/>
      <c r="J200" s="11"/>
      <c r="K200" s="11"/>
      <c r="L200" s="12"/>
      <c r="M200" s="13" t="s">
        <v>12</v>
      </c>
      <c r="N200" s="14">
        <v>1500</v>
      </c>
    </row>
    <row r="201" spans="12:14" ht="14.25">
      <c r="L201" s="20"/>
      <c r="M201" s="21" t="s">
        <v>13</v>
      </c>
      <c r="N201" s="19">
        <f>N200-N199</f>
        <v>131</v>
      </c>
    </row>
    <row r="202" ht="14.25">
      <c r="A202" s="22">
        <v>40645</v>
      </c>
    </row>
    <row r="203" spans="1:14" ht="33.75">
      <c r="A203" s="67" t="s">
        <v>0</v>
      </c>
      <c r="B203" s="68" t="s">
        <v>1</v>
      </c>
      <c r="C203" s="68" t="s">
        <v>2</v>
      </c>
      <c r="D203" s="68" t="s">
        <v>3</v>
      </c>
      <c r="E203" s="68" t="s">
        <v>4</v>
      </c>
      <c r="F203" s="68" t="s">
        <v>5</v>
      </c>
      <c r="G203" s="69" t="s">
        <v>6</v>
      </c>
      <c r="H203" s="70" t="s">
        <v>25</v>
      </c>
      <c r="I203" s="70" t="s">
        <v>7</v>
      </c>
      <c r="J203" s="70" t="s">
        <v>8</v>
      </c>
      <c r="K203" s="68" t="s">
        <v>26</v>
      </c>
      <c r="L203" s="70" t="s">
        <v>9</v>
      </c>
      <c r="M203" s="70" t="s">
        <v>10</v>
      </c>
      <c r="N203" s="71" t="s">
        <v>11</v>
      </c>
    </row>
    <row r="204" spans="1:15" ht="24.75" customHeight="1">
      <c r="A204" s="79" t="s">
        <v>232</v>
      </c>
      <c r="B204" s="72">
        <v>1</v>
      </c>
      <c r="C204" s="80" t="s">
        <v>233</v>
      </c>
      <c r="D204" s="74"/>
      <c r="E204" s="75" t="s">
        <v>234</v>
      </c>
      <c r="F204" s="75" t="s">
        <v>17</v>
      </c>
      <c r="G204" s="76">
        <v>9</v>
      </c>
      <c r="H204" s="77">
        <v>1</v>
      </c>
      <c r="I204" s="77">
        <v>69.99</v>
      </c>
      <c r="J204" s="77">
        <f>H204*I204</f>
        <v>69.99</v>
      </c>
      <c r="K204" s="78"/>
      <c r="L204" s="78"/>
      <c r="M204" s="78">
        <f>SUM(J204:L204)</f>
        <v>69.99</v>
      </c>
      <c r="N204" s="78">
        <f>ROUNDUP(M204*28.5,)</f>
        <v>1995</v>
      </c>
      <c r="O204" t="s">
        <v>238</v>
      </c>
    </row>
    <row r="205" spans="1:14" ht="29.25" customHeight="1">
      <c r="A205" s="77"/>
      <c r="B205" s="72">
        <v>2</v>
      </c>
      <c r="C205" s="80" t="s">
        <v>235</v>
      </c>
      <c r="D205" s="74"/>
      <c r="E205" s="75" t="s">
        <v>236</v>
      </c>
      <c r="F205" s="76" t="s">
        <v>237</v>
      </c>
      <c r="G205" s="76">
        <v>9</v>
      </c>
      <c r="H205" s="77">
        <v>1</v>
      </c>
      <c r="I205" s="77">
        <v>79</v>
      </c>
      <c r="J205" s="77">
        <f>H205*I205</f>
        <v>79</v>
      </c>
      <c r="K205" s="78"/>
      <c r="L205" s="78"/>
      <c r="M205" s="78">
        <f>SUM(J205:L205)</f>
        <v>79</v>
      </c>
      <c r="N205" s="78">
        <f>ROUNDUP(M205*28.5,)</f>
        <v>2252</v>
      </c>
    </row>
    <row r="206" spans="3:14" ht="14.25">
      <c r="C206" s="9"/>
      <c r="D206" s="9"/>
      <c r="J206" s="10">
        <f>SUM(J204:J205)</f>
        <v>148.99</v>
      </c>
      <c r="K206" s="10">
        <f>SUM(K204:K205)</f>
        <v>0</v>
      </c>
      <c r="L206" s="10">
        <f>SUM(L204:L205)</f>
        <v>0</v>
      </c>
      <c r="M206" s="10">
        <f>SUM(M204:M205)</f>
        <v>148.99</v>
      </c>
      <c r="N206" s="18">
        <f>SUM(N204:N205)</f>
        <v>4247</v>
      </c>
    </row>
    <row r="207" spans="3:14" ht="14.25">
      <c r="C207" s="9"/>
      <c r="D207" s="9"/>
      <c r="J207" s="11"/>
      <c r="K207" s="11"/>
      <c r="L207" s="12"/>
      <c r="M207" s="13" t="s">
        <v>12</v>
      </c>
      <c r="N207" s="14">
        <v>4321</v>
      </c>
    </row>
    <row r="208" spans="12:14" ht="14.25">
      <c r="L208" s="20"/>
      <c r="M208" s="21" t="s">
        <v>13</v>
      </c>
      <c r="N208" s="19">
        <f>N207-N206</f>
        <v>74</v>
      </c>
    </row>
    <row r="209" ht="14.25">
      <c r="A209" s="22">
        <v>40645</v>
      </c>
    </row>
    <row r="210" spans="1:14" ht="33.75">
      <c r="A210" s="101" t="s">
        <v>0</v>
      </c>
      <c r="B210" s="102" t="s">
        <v>1</v>
      </c>
      <c r="C210" s="102" t="s">
        <v>2</v>
      </c>
      <c r="D210" s="102" t="s">
        <v>3</v>
      </c>
      <c r="E210" s="102" t="s">
        <v>4</v>
      </c>
      <c r="F210" s="102" t="s">
        <v>5</v>
      </c>
      <c r="G210" s="103" t="s">
        <v>6</v>
      </c>
      <c r="H210" s="104" t="s">
        <v>25</v>
      </c>
      <c r="I210" s="104" t="s">
        <v>7</v>
      </c>
      <c r="J210" s="104" t="s">
        <v>8</v>
      </c>
      <c r="K210" s="102" t="s">
        <v>26</v>
      </c>
      <c r="L210" s="104" t="s">
        <v>9</v>
      </c>
      <c r="M210" s="104" t="s">
        <v>10</v>
      </c>
      <c r="N210" s="105" t="s">
        <v>11</v>
      </c>
    </row>
    <row r="211" spans="1:15" ht="24.75" customHeight="1">
      <c r="A211" s="106" t="s">
        <v>151</v>
      </c>
      <c r="B211" s="107">
        <v>1</v>
      </c>
      <c r="C211" s="108" t="s">
        <v>239</v>
      </c>
      <c r="D211" s="109"/>
      <c r="E211" s="110" t="s">
        <v>240</v>
      </c>
      <c r="F211" s="110" t="s">
        <v>22</v>
      </c>
      <c r="G211" s="111">
        <v>30</v>
      </c>
      <c r="H211" s="112">
        <v>1</v>
      </c>
      <c r="I211" s="112">
        <v>57.34</v>
      </c>
      <c r="J211" s="112">
        <f>H211*I211</f>
        <v>57.34</v>
      </c>
      <c r="K211" s="113"/>
      <c r="L211" s="113"/>
      <c r="M211" s="113">
        <f>SUM(J211:L211)</f>
        <v>57.34</v>
      </c>
      <c r="N211" s="113">
        <f>ROUNDUP(M211*28.5,)</f>
        <v>1635</v>
      </c>
      <c r="O211" t="s">
        <v>241</v>
      </c>
    </row>
    <row r="212" spans="1:14" ht="14.25">
      <c r="A212" s="112"/>
      <c r="B212" s="107">
        <v>2</v>
      </c>
      <c r="C212" s="108"/>
      <c r="D212" s="109"/>
      <c r="E212" s="110"/>
      <c r="F212" s="111"/>
      <c r="G212" s="111"/>
      <c r="H212" s="112"/>
      <c r="I212" s="112"/>
      <c r="J212" s="112">
        <f>H212*I212</f>
        <v>0</v>
      </c>
      <c r="K212" s="113"/>
      <c r="L212" s="113"/>
      <c r="M212" s="113">
        <f>SUM(J212:L212)</f>
        <v>0</v>
      </c>
      <c r="N212" s="113">
        <f>ROUNDUP(M212*28.5,)</f>
        <v>0</v>
      </c>
    </row>
    <row r="213" spans="3:16" ht="14.25">
      <c r="C213" s="9"/>
      <c r="D213" s="9"/>
      <c r="J213" s="10">
        <f>SUM(J211:J212)</f>
        <v>57.34</v>
      </c>
      <c r="K213" s="10">
        <f>SUM(K211:K212)</f>
        <v>0</v>
      </c>
      <c r="L213" s="10">
        <f>SUM(L211:L212)</f>
        <v>0</v>
      </c>
      <c r="M213" s="10">
        <f>SUM(M211:M212)</f>
        <v>57.34</v>
      </c>
      <c r="N213" s="18">
        <f>SUM(N211:N212)</f>
        <v>1635</v>
      </c>
      <c r="P213" s="27">
        <f>N213+N206+N192+N185+N176+N169+N162+N155+N148+N141+N134+N127+N120+N113+N71+N64</f>
        <v>28364</v>
      </c>
    </row>
    <row r="214" spans="3:16" ht="14.25">
      <c r="C214" s="9"/>
      <c r="D214" s="9"/>
      <c r="J214" s="11"/>
      <c r="K214" s="11"/>
      <c r="L214" s="12"/>
      <c r="M214" s="13" t="s">
        <v>12</v>
      </c>
      <c r="N214" s="14">
        <v>2000</v>
      </c>
      <c r="P214" s="27">
        <f>N214+N207+N193+N186+N177+N170+N163+N156+N149+N142+N135+N128+N121+N114+N72+N65</f>
        <v>34405</v>
      </c>
    </row>
    <row r="215" spans="12:16" ht="14.25">
      <c r="L215" s="20"/>
      <c r="M215" s="21" t="s">
        <v>13</v>
      </c>
      <c r="N215" s="19">
        <f>N214-N213</f>
        <v>365</v>
      </c>
      <c r="P215" s="27">
        <f>N215+N208+N194+N187+N178+N171+N164+N157+N150+N143+N136+N129+N122+N115+N73+N66</f>
        <v>4604</v>
      </c>
    </row>
    <row r="216" ht="14.25">
      <c r="P216" s="27"/>
    </row>
    <row r="217" spans="1:14" ht="33.75">
      <c r="A217" s="1" t="s">
        <v>0</v>
      </c>
      <c r="B217" s="2" t="s">
        <v>1</v>
      </c>
      <c r="C217" s="2" t="s">
        <v>2</v>
      </c>
      <c r="D217" s="2" t="s">
        <v>3</v>
      </c>
      <c r="E217" s="2" t="s">
        <v>4</v>
      </c>
      <c r="F217" s="2" t="s">
        <v>5</v>
      </c>
      <c r="G217" s="3" t="s">
        <v>6</v>
      </c>
      <c r="H217" s="4" t="s">
        <v>25</v>
      </c>
      <c r="I217" s="4" t="s">
        <v>7</v>
      </c>
      <c r="J217" s="4" t="s">
        <v>8</v>
      </c>
      <c r="K217" s="2" t="s">
        <v>26</v>
      </c>
      <c r="L217" s="4" t="s">
        <v>9</v>
      </c>
      <c r="M217" s="4" t="s">
        <v>10</v>
      </c>
      <c r="N217" s="5" t="s">
        <v>11</v>
      </c>
    </row>
    <row r="218" spans="1:14" ht="24.75" customHeight="1">
      <c r="A218" s="86" t="s">
        <v>49</v>
      </c>
      <c r="B218" s="87">
        <v>1</v>
      </c>
      <c r="C218" s="88"/>
      <c r="D218" s="89"/>
      <c r="E218" s="90"/>
      <c r="F218" s="90"/>
      <c r="G218" s="91"/>
      <c r="H218" s="92">
        <v>1</v>
      </c>
      <c r="I218" s="92">
        <f>24.75+53.85</f>
        <v>78.6</v>
      </c>
      <c r="J218" s="92">
        <f>H218*I218</f>
        <v>78.6</v>
      </c>
      <c r="K218" s="93">
        <f>6.95/2</f>
        <v>3.475</v>
      </c>
      <c r="L218" s="93"/>
      <c r="M218" s="93">
        <f>SUM(J218:L218)</f>
        <v>82.07499999999999</v>
      </c>
      <c r="N218" s="93">
        <f>ROUNDUP(M218*28.5,)</f>
        <v>2340</v>
      </c>
    </row>
    <row r="219" spans="1:14" ht="14.25">
      <c r="A219" s="24"/>
      <c r="B219" s="7">
        <v>2</v>
      </c>
      <c r="C219" s="26"/>
      <c r="D219" s="8"/>
      <c r="E219" s="15"/>
      <c r="F219" s="25"/>
      <c r="G219" s="25"/>
      <c r="H219" s="16"/>
      <c r="I219" s="16"/>
      <c r="J219" s="16">
        <f>H219*I219</f>
        <v>0</v>
      </c>
      <c r="K219" s="17"/>
      <c r="L219" s="17"/>
      <c r="M219" s="17">
        <f>SUM(J219:L219)</f>
        <v>0</v>
      </c>
      <c r="N219" s="17">
        <f>ROUNDUP(M219*28.5,)</f>
        <v>0</v>
      </c>
    </row>
    <row r="220" spans="3:14" ht="14.25">
      <c r="C220" s="9"/>
      <c r="D220" s="9"/>
      <c r="J220" s="10">
        <f>SUM(J218:J219)</f>
        <v>78.6</v>
      </c>
      <c r="K220" s="10">
        <f>SUM(K218:K219)</f>
        <v>3.475</v>
      </c>
      <c r="L220" s="10">
        <f>SUM(L218:L219)</f>
        <v>0</v>
      </c>
      <c r="M220" s="10">
        <f>SUM(M218:M219)</f>
        <v>82.07499999999999</v>
      </c>
      <c r="N220" s="18">
        <f>SUM(N218:N219)</f>
        <v>2340</v>
      </c>
    </row>
    <row r="221" spans="3:14" ht="14.25">
      <c r="C221" s="9"/>
      <c r="D221" s="9"/>
      <c r="J221" s="11"/>
      <c r="K221" s="11"/>
      <c r="L221" s="12"/>
      <c r="M221" s="13" t="s">
        <v>12</v>
      </c>
      <c r="N221" s="14">
        <v>2400</v>
      </c>
    </row>
    <row r="222" spans="12:14" ht="14.25">
      <c r="L222" s="20"/>
      <c r="M222" s="21" t="s">
        <v>13</v>
      </c>
      <c r="N222" s="19">
        <f>N221-N220</f>
        <v>60</v>
      </c>
    </row>
    <row r="224" spans="1:14" ht="33.75">
      <c r="A224" s="101" t="s">
        <v>0</v>
      </c>
      <c r="B224" s="102" t="s">
        <v>1</v>
      </c>
      <c r="C224" s="102" t="s">
        <v>2</v>
      </c>
      <c r="D224" s="102" t="s">
        <v>3</v>
      </c>
      <c r="E224" s="102" t="s">
        <v>4</v>
      </c>
      <c r="F224" s="102" t="s">
        <v>5</v>
      </c>
      <c r="G224" s="103" t="s">
        <v>6</v>
      </c>
      <c r="H224" s="104" t="s">
        <v>25</v>
      </c>
      <c r="I224" s="104" t="s">
        <v>7</v>
      </c>
      <c r="J224" s="104" t="s">
        <v>8</v>
      </c>
      <c r="K224" s="102" t="s">
        <v>26</v>
      </c>
      <c r="L224" s="104" t="s">
        <v>9</v>
      </c>
      <c r="M224" s="104" t="s">
        <v>10</v>
      </c>
      <c r="N224" s="105" t="s">
        <v>11</v>
      </c>
    </row>
    <row r="225" spans="1:14" ht="24.75" customHeight="1">
      <c r="A225" s="106" t="s">
        <v>45</v>
      </c>
      <c r="B225" s="107">
        <v>1</v>
      </c>
      <c r="C225" s="108" t="s">
        <v>58</v>
      </c>
      <c r="D225" s="109"/>
      <c r="E225" s="110" t="s">
        <v>243</v>
      </c>
      <c r="F225" s="110"/>
      <c r="G225" s="111"/>
      <c r="H225" s="112">
        <v>1</v>
      </c>
      <c r="I225" s="112">
        <v>9.99</v>
      </c>
      <c r="J225" s="112">
        <f>H225*I225</f>
        <v>9.99</v>
      </c>
      <c r="K225" s="113"/>
      <c r="L225" s="113"/>
      <c r="M225" s="113">
        <f>SUM(J225:L225)</f>
        <v>9.99</v>
      </c>
      <c r="N225" s="113">
        <f>ROUNDUP(M225*28.5,)</f>
        <v>285</v>
      </c>
    </row>
    <row r="226" spans="1:14" ht="14.25">
      <c r="A226" s="112"/>
      <c r="B226" s="107">
        <v>2</v>
      </c>
      <c r="C226" s="108"/>
      <c r="D226" s="109"/>
      <c r="E226" s="110"/>
      <c r="F226" s="111"/>
      <c r="G226" s="111"/>
      <c r="H226" s="112"/>
      <c r="I226" s="112"/>
      <c r="J226" s="112">
        <f>H226*I226</f>
        <v>0</v>
      </c>
      <c r="K226" s="113"/>
      <c r="L226" s="113"/>
      <c r="M226" s="113">
        <f>SUM(J226:L226)</f>
        <v>0</v>
      </c>
      <c r="N226" s="113">
        <f>ROUNDUP(M226*28.5,)</f>
        <v>0</v>
      </c>
    </row>
    <row r="227" spans="3:14" ht="14.25">
      <c r="C227" s="9"/>
      <c r="D227" s="9"/>
      <c r="J227" s="10">
        <f>SUM(J225:J226)</f>
        <v>9.99</v>
      </c>
      <c r="K227" s="10">
        <f>SUM(K225:K226)</f>
        <v>0</v>
      </c>
      <c r="L227" s="10">
        <f>SUM(L225:L226)</f>
        <v>0</v>
      </c>
      <c r="M227" s="10">
        <f>SUM(M225:M226)</f>
        <v>9.99</v>
      </c>
      <c r="N227" s="18">
        <f>SUM(N225:N226)</f>
        <v>285</v>
      </c>
    </row>
    <row r="228" spans="3:14" ht="14.25">
      <c r="C228" s="9"/>
      <c r="D228" s="9"/>
      <c r="J228" s="11"/>
      <c r="K228" s="11"/>
      <c r="L228" s="12"/>
      <c r="M228" s="13" t="s">
        <v>12</v>
      </c>
      <c r="N228" s="14">
        <v>334</v>
      </c>
    </row>
    <row r="229" spans="12:14" ht="14.25">
      <c r="L229" s="20"/>
      <c r="M229" s="21" t="s">
        <v>13</v>
      </c>
      <c r="N229" s="19">
        <f>N228-N227</f>
        <v>49</v>
      </c>
    </row>
    <row r="230" ht="14.25">
      <c r="A230" s="22">
        <v>40654</v>
      </c>
    </row>
    <row r="231" spans="1:14" ht="33.75">
      <c r="A231" s="101" t="s">
        <v>0</v>
      </c>
      <c r="B231" s="102" t="s">
        <v>1</v>
      </c>
      <c r="C231" s="102" t="s">
        <v>2</v>
      </c>
      <c r="D231" s="102" t="s">
        <v>3</v>
      </c>
      <c r="E231" s="102" t="s">
        <v>4</v>
      </c>
      <c r="F231" s="102" t="s">
        <v>5</v>
      </c>
      <c r="G231" s="103" t="s">
        <v>6</v>
      </c>
      <c r="H231" s="104" t="s">
        <v>25</v>
      </c>
      <c r="I231" s="104" t="s">
        <v>7</v>
      </c>
      <c r="J231" s="104" t="s">
        <v>8</v>
      </c>
      <c r="K231" s="102" t="s">
        <v>26</v>
      </c>
      <c r="L231" s="104" t="s">
        <v>9</v>
      </c>
      <c r="M231" s="104" t="s">
        <v>10</v>
      </c>
      <c r="N231" s="105" t="s">
        <v>11</v>
      </c>
    </row>
    <row r="232" spans="1:15" ht="24.75" customHeight="1">
      <c r="A232" s="106" t="s">
        <v>76</v>
      </c>
      <c r="B232" s="107">
        <v>1</v>
      </c>
      <c r="C232" s="114" t="s">
        <v>246</v>
      </c>
      <c r="D232" s="109"/>
      <c r="E232" s="110" t="s">
        <v>247</v>
      </c>
      <c r="F232" s="110" t="s">
        <v>248</v>
      </c>
      <c r="G232" s="111" t="s">
        <v>249</v>
      </c>
      <c r="H232" s="112">
        <v>1</v>
      </c>
      <c r="I232" s="112">
        <v>51.2</v>
      </c>
      <c r="J232" s="112">
        <f>H232*I232</f>
        <v>51.2</v>
      </c>
      <c r="K232" s="113"/>
      <c r="L232" s="113"/>
      <c r="M232" s="113">
        <f>SUM(J232:L232)</f>
        <v>51.2</v>
      </c>
      <c r="N232" s="113">
        <f>ROUNDUP(M232*28.5,)</f>
        <v>1460</v>
      </c>
      <c r="O232" t="s">
        <v>250</v>
      </c>
    </row>
    <row r="233" spans="1:14" ht="14.25">
      <c r="A233" s="112"/>
      <c r="B233" s="107">
        <v>2</v>
      </c>
      <c r="C233" s="108"/>
      <c r="D233" s="109"/>
      <c r="E233" s="110"/>
      <c r="F233" s="111"/>
      <c r="G233" s="111"/>
      <c r="H233" s="112"/>
      <c r="I233" s="112"/>
      <c r="J233" s="112">
        <f>H233*I233</f>
        <v>0</v>
      </c>
      <c r="K233" s="113"/>
      <c r="L233" s="113"/>
      <c r="M233" s="113">
        <f>SUM(J233:L233)</f>
        <v>0</v>
      </c>
      <c r="N233" s="113">
        <f>ROUNDUP(M233*28.5,)</f>
        <v>0</v>
      </c>
    </row>
    <row r="234" spans="3:14" ht="14.25">
      <c r="C234" s="9"/>
      <c r="D234" s="9"/>
      <c r="J234" s="10">
        <f>SUM(J232:J233)</f>
        <v>51.2</v>
      </c>
      <c r="K234" s="10">
        <f>SUM(K232:K233)</f>
        <v>0</v>
      </c>
      <c r="L234" s="10">
        <f>SUM(L232:L233)</f>
        <v>0</v>
      </c>
      <c r="M234" s="10">
        <f>SUM(M232:M233)</f>
        <v>51.2</v>
      </c>
      <c r="N234" s="18">
        <f>SUM(N232:N233)</f>
        <v>1460</v>
      </c>
    </row>
    <row r="235" spans="3:14" ht="14.25">
      <c r="C235" s="9"/>
      <c r="D235" s="9"/>
      <c r="J235" s="11"/>
      <c r="K235" s="11"/>
      <c r="L235" s="12"/>
      <c r="M235" s="13" t="s">
        <v>12</v>
      </c>
      <c r="N235" s="14">
        <f>1200+400</f>
        <v>1600</v>
      </c>
    </row>
    <row r="236" spans="12:14" ht="14.25">
      <c r="L236" s="20"/>
      <c r="M236" s="21" t="s">
        <v>13</v>
      </c>
      <c r="N236" s="19">
        <f>N235-N234</f>
        <v>140</v>
      </c>
    </row>
    <row r="237" ht="14.25">
      <c r="A237" s="22">
        <v>40654</v>
      </c>
    </row>
    <row r="238" spans="1:14" ht="33.75">
      <c r="A238" s="117" t="s">
        <v>0</v>
      </c>
      <c r="B238" s="118" t="s">
        <v>1</v>
      </c>
      <c r="C238" s="118" t="s">
        <v>2</v>
      </c>
      <c r="D238" s="118" t="s">
        <v>3</v>
      </c>
      <c r="E238" s="118" t="s">
        <v>4</v>
      </c>
      <c r="F238" s="118" t="s">
        <v>5</v>
      </c>
      <c r="G238" s="119" t="s">
        <v>6</v>
      </c>
      <c r="H238" s="120" t="s">
        <v>25</v>
      </c>
      <c r="I238" s="120" t="s">
        <v>7</v>
      </c>
      <c r="J238" s="120" t="s">
        <v>8</v>
      </c>
      <c r="K238" s="118" t="s">
        <v>26</v>
      </c>
      <c r="L238" s="120" t="s">
        <v>9</v>
      </c>
      <c r="M238" s="120" t="s">
        <v>10</v>
      </c>
      <c r="N238" s="121" t="s">
        <v>11</v>
      </c>
    </row>
    <row r="239" spans="1:15" ht="24.75" customHeight="1">
      <c r="A239" s="122" t="s">
        <v>43</v>
      </c>
      <c r="B239" s="123">
        <v>1</v>
      </c>
      <c r="C239" s="130" t="s">
        <v>251</v>
      </c>
      <c r="D239" s="125" t="s">
        <v>252</v>
      </c>
      <c r="E239" s="126" t="s">
        <v>253</v>
      </c>
      <c r="F239" s="126" t="s">
        <v>61</v>
      </c>
      <c r="G239" s="127">
        <v>8.5</v>
      </c>
      <c r="H239" s="128">
        <v>1</v>
      </c>
      <c r="I239" s="128">
        <v>49</v>
      </c>
      <c r="J239" s="128">
        <f>H239*I239</f>
        <v>49</v>
      </c>
      <c r="K239" s="129">
        <v>2.32</v>
      </c>
      <c r="L239" s="129"/>
      <c r="M239" s="129">
        <f>SUM(J239:L239)</f>
        <v>51.32</v>
      </c>
      <c r="N239" s="129">
        <f>ROUNDUP(M239*28.5,)</f>
        <v>1463</v>
      </c>
      <c r="O239" s="6" t="s">
        <v>254</v>
      </c>
    </row>
    <row r="240" spans="1:14" ht="14.25">
      <c r="A240" s="128"/>
      <c r="B240" s="123">
        <v>2</v>
      </c>
      <c r="C240" s="124"/>
      <c r="D240" s="125"/>
      <c r="E240" s="126"/>
      <c r="F240" s="127"/>
      <c r="G240" s="127"/>
      <c r="H240" s="128"/>
      <c r="I240" s="128"/>
      <c r="J240" s="128">
        <f>H240*I240</f>
        <v>0</v>
      </c>
      <c r="K240" s="129"/>
      <c r="L240" s="129"/>
      <c r="M240" s="129">
        <f>SUM(J240:L240)</f>
        <v>0</v>
      </c>
      <c r="N240" s="129">
        <f>ROUNDUP(M240*28.5,)</f>
        <v>0</v>
      </c>
    </row>
    <row r="241" spans="3:14" ht="14.25">
      <c r="C241" s="9"/>
      <c r="D241" s="9"/>
      <c r="J241" s="10">
        <f>SUM(J239:J240)</f>
        <v>49</v>
      </c>
      <c r="K241" s="10">
        <f>SUM(K239:K240)</f>
        <v>2.32</v>
      </c>
      <c r="L241" s="10">
        <f>SUM(L239:L240)</f>
        <v>0</v>
      </c>
      <c r="M241" s="10">
        <f>SUM(M239:M240)</f>
        <v>51.32</v>
      </c>
      <c r="N241" s="18">
        <f>SUM(N239:N240)</f>
        <v>1463</v>
      </c>
    </row>
    <row r="242" spans="3:14" ht="14.25">
      <c r="C242" s="9"/>
      <c r="D242" s="9"/>
      <c r="J242" s="11"/>
      <c r="K242" s="11"/>
      <c r="L242" s="12"/>
      <c r="M242" s="13" t="s">
        <v>12</v>
      </c>
      <c r="N242" s="14">
        <v>2000</v>
      </c>
    </row>
    <row r="243" spans="12:14" ht="14.25">
      <c r="L243" s="20"/>
      <c r="M243" s="21" t="s">
        <v>13</v>
      </c>
      <c r="N243" s="19">
        <f>N242-N241</f>
        <v>537</v>
      </c>
    </row>
    <row r="244" ht="14.25">
      <c r="A244" s="22">
        <v>40654</v>
      </c>
    </row>
    <row r="245" spans="1:14" ht="33.75">
      <c r="A245" s="117" t="s">
        <v>0</v>
      </c>
      <c r="B245" s="118" t="s">
        <v>1</v>
      </c>
      <c r="C245" s="118" t="s">
        <v>2</v>
      </c>
      <c r="D245" s="118" t="s">
        <v>3</v>
      </c>
      <c r="E245" s="118" t="s">
        <v>4</v>
      </c>
      <c r="F245" s="118" t="s">
        <v>5</v>
      </c>
      <c r="G245" s="119" t="s">
        <v>6</v>
      </c>
      <c r="H245" s="120" t="s">
        <v>25</v>
      </c>
      <c r="I245" s="120" t="s">
        <v>7</v>
      </c>
      <c r="J245" s="120" t="s">
        <v>8</v>
      </c>
      <c r="K245" s="118" t="s">
        <v>26</v>
      </c>
      <c r="L245" s="120" t="s">
        <v>9</v>
      </c>
      <c r="M245" s="120" t="s">
        <v>10</v>
      </c>
      <c r="N245" s="121" t="s">
        <v>11</v>
      </c>
    </row>
    <row r="246" spans="1:15" ht="24.75" customHeight="1">
      <c r="A246" s="122" t="s">
        <v>255</v>
      </c>
      <c r="B246" s="123">
        <v>1</v>
      </c>
      <c r="C246" s="130" t="s">
        <v>256</v>
      </c>
      <c r="D246" s="125"/>
      <c r="E246" s="126" t="s">
        <v>257</v>
      </c>
      <c r="F246" s="126" t="s">
        <v>258</v>
      </c>
      <c r="G246" s="127">
        <v>9.5</v>
      </c>
      <c r="H246" s="128">
        <v>1</v>
      </c>
      <c r="I246" s="128">
        <v>39.5</v>
      </c>
      <c r="J246" s="128">
        <f>H246*I246</f>
        <v>39.5</v>
      </c>
      <c r="K246" s="129">
        <v>2.32</v>
      </c>
      <c r="L246" s="129"/>
      <c r="M246" s="129">
        <f>SUM(J246:L246)</f>
        <v>41.82</v>
      </c>
      <c r="N246" s="129">
        <f>ROUNDUP(M246*28.5,)</f>
        <v>1192</v>
      </c>
      <c r="O246" s="6" t="s">
        <v>254</v>
      </c>
    </row>
    <row r="247" spans="1:14" ht="14.25">
      <c r="A247" s="128"/>
      <c r="B247" s="123">
        <v>2</v>
      </c>
      <c r="C247" s="124"/>
      <c r="D247" s="125"/>
      <c r="E247" s="126"/>
      <c r="F247" s="127"/>
      <c r="G247" s="127"/>
      <c r="H247" s="128"/>
      <c r="I247" s="128"/>
      <c r="J247" s="128">
        <f>H247*I247</f>
        <v>0</v>
      </c>
      <c r="K247" s="129"/>
      <c r="L247" s="129"/>
      <c r="M247" s="129">
        <f>SUM(J247:L247)</f>
        <v>0</v>
      </c>
      <c r="N247" s="129">
        <f>ROUNDUP(M247*28.5,)</f>
        <v>0</v>
      </c>
    </row>
    <row r="248" spans="3:14" ht="14.25">
      <c r="C248" s="9"/>
      <c r="D248" s="9"/>
      <c r="J248" s="10">
        <f>SUM(J246:J247)</f>
        <v>39.5</v>
      </c>
      <c r="K248" s="10">
        <f>SUM(K246:K247)</f>
        <v>2.32</v>
      </c>
      <c r="L248" s="10">
        <f>SUM(L246:L247)</f>
        <v>0</v>
      </c>
      <c r="M248" s="10">
        <f>SUM(M246:M247)</f>
        <v>41.82</v>
      </c>
      <c r="N248" s="18">
        <f>SUM(N246:N247)</f>
        <v>1192</v>
      </c>
    </row>
    <row r="249" spans="3:14" ht="14.25">
      <c r="C249" s="9"/>
      <c r="D249" s="9"/>
      <c r="J249" s="11"/>
      <c r="K249" s="11"/>
      <c r="L249" s="12"/>
      <c r="M249" s="13" t="s">
        <v>12</v>
      </c>
      <c r="N249" s="14">
        <v>1400</v>
      </c>
    </row>
    <row r="250" spans="12:14" ht="14.25">
      <c r="L250" s="20"/>
      <c r="M250" s="21" t="s">
        <v>13</v>
      </c>
      <c r="N250" s="19">
        <f>N249-N248</f>
        <v>208</v>
      </c>
    </row>
    <row r="251" ht="14.25">
      <c r="A251" s="22">
        <v>40654</v>
      </c>
    </row>
    <row r="252" spans="1:14" ht="33.75">
      <c r="A252" s="117" t="s">
        <v>0</v>
      </c>
      <c r="B252" s="118" t="s">
        <v>1</v>
      </c>
      <c r="C252" s="118" t="s">
        <v>2</v>
      </c>
      <c r="D252" s="118" t="s">
        <v>3</v>
      </c>
      <c r="E252" s="118" t="s">
        <v>4</v>
      </c>
      <c r="F252" s="118" t="s">
        <v>5</v>
      </c>
      <c r="G252" s="119" t="s">
        <v>6</v>
      </c>
      <c r="H252" s="120" t="s">
        <v>25</v>
      </c>
      <c r="I252" s="120" t="s">
        <v>7</v>
      </c>
      <c r="J252" s="120" t="s">
        <v>8</v>
      </c>
      <c r="K252" s="118" t="s">
        <v>26</v>
      </c>
      <c r="L252" s="120" t="s">
        <v>9</v>
      </c>
      <c r="M252" s="120" t="s">
        <v>10</v>
      </c>
      <c r="N252" s="121" t="s">
        <v>11</v>
      </c>
    </row>
    <row r="253" spans="1:15" ht="24.75" customHeight="1">
      <c r="A253" s="122" t="s">
        <v>39</v>
      </c>
      <c r="B253" s="123">
        <v>1</v>
      </c>
      <c r="C253" s="130" t="s">
        <v>259</v>
      </c>
      <c r="D253" s="125"/>
      <c r="E253" s="126" t="s">
        <v>260</v>
      </c>
      <c r="F253" s="126" t="s">
        <v>42</v>
      </c>
      <c r="G253" s="127">
        <v>8</v>
      </c>
      <c r="H253" s="128">
        <v>1</v>
      </c>
      <c r="I253" s="128">
        <v>50.38</v>
      </c>
      <c r="J253" s="128">
        <f>H253*I253</f>
        <v>50.38</v>
      </c>
      <c r="K253" s="129">
        <v>2.32</v>
      </c>
      <c r="L253" s="129"/>
      <c r="M253" s="129">
        <f>SUM(J253:L253)</f>
        <v>52.7</v>
      </c>
      <c r="N253" s="129">
        <f>ROUNDUP(M253*28.5,)</f>
        <v>1502</v>
      </c>
      <c r="O253" s="6" t="s">
        <v>254</v>
      </c>
    </row>
    <row r="254" spans="1:14" ht="14.25">
      <c r="A254" s="128"/>
      <c r="B254" s="123">
        <v>2</v>
      </c>
      <c r="C254" s="124"/>
      <c r="D254" s="125"/>
      <c r="E254" s="126"/>
      <c r="F254" s="127"/>
      <c r="G254" s="127"/>
      <c r="H254" s="128"/>
      <c r="I254" s="128"/>
      <c r="J254" s="128">
        <f>H254*I254</f>
        <v>0</v>
      </c>
      <c r="K254" s="129"/>
      <c r="L254" s="129"/>
      <c r="M254" s="129">
        <f>SUM(J254:L254)</f>
        <v>0</v>
      </c>
      <c r="N254" s="129">
        <f>ROUNDUP(M254*28.5,)</f>
        <v>0</v>
      </c>
    </row>
    <row r="255" spans="3:14" ht="14.25">
      <c r="C255" s="9"/>
      <c r="D255" s="9"/>
      <c r="J255" s="10">
        <f>SUM(J253:J254)</f>
        <v>50.38</v>
      </c>
      <c r="K255" s="10">
        <f>SUM(K253:K254)</f>
        <v>2.32</v>
      </c>
      <c r="L255" s="10">
        <f>SUM(L253:L254)</f>
        <v>0</v>
      </c>
      <c r="M255" s="10">
        <f>SUM(M253:M254)</f>
        <v>52.7</v>
      </c>
      <c r="N255" s="18">
        <f>SUM(N253:N254)</f>
        <v>1502</v>
      </c>
    </row>
    <row r="256" spans="3:14" ht="14.25">
      <c r="C256" s="9"/>
      <c r="D256" s="9"/>
      <c r="J256" s="11"/>
      <c r="K256" s="11"/>
      <c r="L256" s="12"/>
      <c r="M256" s="13" t="s">
        <v>12</v>
      </c>
      <c r="N256" s="14">
        <v>1900</v>
      </c>
    </row>
    <row r="257" spans="12:14" ht="14.25">
      <c r="L257" s="20"/>
      <c r="M257" s="21" t="s">
        <v>13</v>
      </c>
      <c r="N257" s="19">
        <f>N256-N255</f>
        <v>398</v>
      </c>
    </row>
    <row r="258" ht="14.25">
      <c r="A258" s="22">
        <v>40655</v>
      </c>
    </row>
    <row r="259" spans="1:14" ht="33.75">
      <c r="A259" s="101" t="s">
        <v>0</v>
      </c>
      <c r="B259" s="102" t="s">
        <v>1</v>
      </c>
      <c r="C259" s="102" t="s">
        <v>2</v>
      </c>
      <c r="D259" s="102" t="s">
        <v>3</v>
      </c>
      <c r="E259" s="102" t="s">
        <v>4</v>
      </c>
      <c r="F259" s="102" t="s">
        <v>5</v>
      </c>
      <c r="G259" s="103" t="s">
        <v>6</v>
      </c>
      <c r="H259" s="104" t="s">
        <v>25</v>
      </c>
      <c r="I259" s="104" t="s">
        <v>7</v>
      </c>
      <c r="J259" s="104" t="s">
        <v>8</v>
      </c>
      <c r="K259" s="102" t="s">
        <v>26</v>
      </c>
      <c r="L259" s="104" t="s">
        <v>9</v>
      </c>
      <c r="M259" s="104" t="s">
        <v>10</v>
      </c>
      <c r="N259" s="105" t="s">
        <v>11</v>
      </c>
    </row>
    <row r="260" spans="1:15" ht="24.75" customHeight="1">
      <c r="A260" s="106" t="s">
        <v>261</v>
      </c>
      <c r="B260" s="107">
        <v>1</v>
      </c>
      <c r="C260" s="108" t="s">
        <v>262</v>
      </c>
      <c r="D260" s="109"/>
      <c r="E260" s="110" t="s">
        <v>263</v>
      </c>
      <c r="F260" s="110"/>
      <c r="G260" s="111"/>
      <c r="H260" s="112">
        <v>1</v>
      </c>
      <c r="I260" s="112">
        <v>10.26</v>
      </c>
      <c r="J260" s="112">
        <f>H260*I260</f>
        <v>10.26</v>
      </c>
      <c r="K260" s="113">
        <v>5.99</v>
      </c>
      <c r="L260" s="113"/>
      <c r="M260" s="113">
        <f>SUM(J260:L260)</f>
        <v>16.25</v>
      </c>
      <c r="N260" s="113">
        <f>ROUNDUP(M260*28.5,)</f>
        <v>464</v>
      </c>
      <c r="O260" t="s">
        <v>266</v>
      </c>
    </row>
    <row r="261" spans="1:16" ht="14.25">
      <c r="A261" s="112"/>
      <c r="B261" s="107">
        <v>2</v>
      </c>
      <c r="C261" s="108"/>
      <c r="D261" s="109"/>
      <c r="E261" s="110"/>
      <c r="F261" s="111"/>
      <c r="G261" s="111"/>
      <c r="H261" s="112"/>
      <c r="I261" s="112"/>
      <c r="J261" s="112">
        <f>H261*I261</f>
        <v>0</v>
      </c>
      <c r="K261" s="113"/>
      <c r="L261" s="113"/>
      <c r="M261" s="113">
        <f>SUM(J261:L261)</f>
        <v>0</v>
      </c>
      <c r="N261" s="113">
        <f>ROUNDUP(M261*28.5,)</f>
        <v>0</v>
      </c>
      <c r="P261" s="27"/>
    </row>
    <row r="262" spans="3:16" ht="14.25">
      <c r="C262" s="9"/>
      <c r="D262" s="9"/>
      <c r="J262" s="10">
        <f>SUM(J260:J261)</f>
        <v>10.26</v>
      </c>
      <c r="K262" s="10">
        <f>SUM(K260:K261)</f>
        <v>5.99</v>
      </c>
      <c r="L262" s="10">
        <f>SUM(L260:L261)</f>
        <v>0</v>
      </c>
      <c r="M262" s="10">
        <f>SUM(M260:M261)</f>
        <v>16.25</v>
      </c>
      <c r="N262" s="18">
        <f>SUM(N260:N261)</f>
        <v>464</v>
      </c>
      <c r="P262" s="27"/>
    </row>
    <row r="263" spans="3:16" ht="14.25">
      <c r="C263" s="9"/>
      <c r="D263" s="9"/>
      <c r="J263" s="11"/>
      <c r="K263" s="11"/>
      <c r="L263" s="12"/>
      <c r="M263" s="13" t="s">
        <v>12</v>
      </c>
      <c r="N263" s="14">
        <v>550</v>
      </c>
      <c r="P263" s="27"/>
    </row>
    <row r="264" spans="12:14" ht="14.25">
      <c r="L264" s="20"/>
      <c r="M264" s="21" t="s">
        <v>13</v>
      </c>
      <c r="N264" s="19">
        <f>N263-N262</f>
        <v>86</v>
      </c>
    </row>
    <row r="265" ht="14.25">
      <c r="A265" s="22">
        <v>40658</v>
      </c>
    </row>
    <row r="266" spans="1:14" ht="33.75">
      <c r="A266" s="101" t="s">
        <v>0</v>
      </c>
      <c r="B266" s="102" t="s">
        <v>1</v>
      </c>
      <c r="C266" s="102" t="s">
        <v>2</v>
      </c>
      <c r="D266" s="102" t="s">
        <v>3</v>
      </c>
      <c r="E266" s="102" t="s">
        <v>4</v>
      </c>
      <c r="F266" s="102" t="s">
        <v>5</v>
      </c>
      <c r="G266" s="103" t="s">
        <v>6</v>
      </c>
      <c r="H266" s="104" t="s">
        <v>25</v>
      </c>
      <c r="I266" s="104" t="s">
        <v>7</v>
      </c>
      <c r="J266" s="104" t="s">
        <v>8</v>
      </c>
      <c r="K266" s="102" t="s">
        <v>26</v>
      </c>
      <c r="L266" s="104" t="s">
        <v>9</v>
      </c>
      <c r="M266" s="104" t="s">
        <v>10</v>
      </c>
      <c r="N266" s="105" t="s">
        <v>11</v>
      </c>
    </row>
    <row r="267" spans="1:15" ht="24.75" customHeight="1">
      <c r="A267" s="106" t="s">
        <v>161</v>
      </c>
      <c r="B267" s="107">
        <v>1</v>
      </c>
      <c r="C267" s="108" t="s">
        <v>268</v>
      </c>
      <c r="D267" s="109"/>
      <c r="E267" s="110" t="s">
        <v>269</v>
      </c>
      <c r="F267" s="110"/>
      <c r="G267" s="111"/>
      <c r="H267" s="112">
        <v>1</v>
      </c>
      <c r="I267" s="112">
        <v>20.54</v>
      </c>
      <c r="J267" s="112">
        <f>H267*I267</f>
        <v>20.54</v>
      </c>
      <c r="K267" s="113"/>
      <c r="L267" s="113"/>
      <c r="M267" s="113">
        <f>SUM(J267:L267)</f>
        <v>20.54</v>
      </c>
      <c r="N267" s="113">
        <f>ROUNDUP(M267*28.5,)</f>
        <v>586</v>
      </c>
      <c r="O267" t="s">
        <v>267</v>
      </c>
    </row>
    <row r="268" spans="1:14" ht="26.25" customHeight="1">
      <c r="A268" s="112"/>
      <c r="B268" s="107">
        <v>2</v>
      </c>
      <c r="C268" s="108" t="s">
        <v>270</v>
      </c>
      <c r="D268" s="109"/>
      <c r="E268" s="110" t="s">
        <v>271</v>
      </c>
      <c r="F268" s="111"/>
      <c r="G268" s="111"/>
      <c r="H268" s="112">
        <v>1</v>
      </c>
      <c r="I268" s="112">
        <v>13.54</v>
      </c>
      <c r="J268" s="112">
        <f>H268*I268</f>
        <v>13.54</v>
      </c>
      <c r="K268" s="113"/>
      <c r="L268" s="113"/>
      <c r="M268" s="113">
        <f>SUM(J268:L268)</f>
        <v>13.54</v>
      </c>
      <c r="N268" s="113">
        <f>ROUNDUP(M268*28.5,)</f>
        <v>386</v>
      </c>
    </row>
    <row r="269" spans="3:14" ht="14.25">
      <c r="C269" s="9"/>
      <c r="D269" s="9"/>
      <c r="J269" s="10">
        <f>SUM(J267:J268)</f>
        <v>34.08</v>
      </c>
      <c r="K269" s="10">
        <f>SUM(K267:K268)</f>
        <v>0</v>
      </c>
      <c r="L269" s="10">
        <f>SUM(L267:L268)</f>
        <v>0</v>
      </c>
      <c r="M269" s="10">
        <f>SUM(M267:M268)</f>
        <v>34.08</v>
      </c>
      <c r="N269" s="18">
        <f>SUM(N267:N268)</f>
        <v>972</v>
      </c>
    </row>
    <row r="270" spans="3:14" ht="14.25">
      <c r="C270" s="9"/>
      <c r="D270" s="9"/>
      <c r="J270" s="11"/>
      <c r="K270" s="11"/>
      <c r="L270" s="12"/>
      <c r="M270" s="13" t="s">
        <v>12</v>
      </c>
      <c r="N270" s="14">
        <f>420+500</f>
        <v>920</v>
      </c>
    </row>
    <row r="271" spans="12:14" ht="14.25">
      <c r="L271" s="20"/>
      <c r="M271" s="21" t="s">
        <v>13</v>
      </c>
      <c r="N271" s="19">
        <f>N270-N269</f>
        <v>-52</v>
      </c>
    </row>
    <row r="272" ht="14.25">
      <c r="A272" s="22">
        <v>40660</v>
      </c>
    </row>
    <row r="273" spans="1:14" ht="33.75">
      <c r="A273" s="117" t="s">
        <v>0</v>
      </c>
      <c r="B273" s="118" t="s">
        <v>1</v>
      </c>
      <c r="C273" s="118" t="s">
        <v>2</v>
      </c>
      <c r="D273" s="118" t="s">
        <v>3</v>
      </c>
      <c r="E273" s="118" t="s">
        <v>4</v>
      </c>
      <c r="F273" s="118" t="s">
        <v>5</v>
      </c>
      <c r="G273" s="119" t="s">
        <v>6</v>
      </c>
      <c r="H273" s="120" t="s">
        <v>25</v>
      </c>
      <c r="I273" s="120" t="s">
        <v>7</v>
      </c>
      <c r="J273" s="120" t="s">
        <v>8</v>
      </c>
      <c r="K273" s="118" t="s">
        <v>26</v>
      </c>
      <c r="L273" s="120" t="s">
        <v>9</v>
      </c>
      <c r="M273" s="120" t="s">
        <v>10</v>
      </c>
      <c r="N273" s="121" t="s">
        <v>11</v>
      </c>
    </row>
    <row r="274" spans="1:15" ht="24.75" customHeight="1">
      <c r="A274" s="122" t="s">
        <v>55</v>
      </c>
      <c r="B274" s="123">
        <v>1</v>
      </c>
      <c r="C274" s="130" t="s">
        <v>274</v>
      </c>
      <c r="D274" s="125" t="s">
        <v>275</v>
      </c>
      <c r="E274" s="126" t="s">
        <v>276</v>
      </c>
      <c r="F274" s="126" t="s">
        <v>277</v>
      </c>
      <c r="G274" s="127" t="s">
        <v>278</v>
      </c>
      <c r="H274" s="128">
        <v>1</v>
      </c>
      <c r="I274" s="128">
        <v>30.56</v>
      </c>
      <c r="J274" s="128">
        <f>H274*I274</f>
        <v>30.56</v>
      </c>
      <c r="K274" s="129">
        <v>3.48</v>
      </c>
      <c r="L274" s="129"/>
      <c r="M274" s="129">
        <f>SUM(J274:L274)</f>
        <v>34.04</v>
      </c>
      <c r="N274" s="129">
        <f>ROUNDUP(M274*28,)</f>
        <v>954</v>
      </c>
      <c r="O274" s="6" t="s">
        <v>284</v>
      </c>
    </row>
    <row r="275" spans="1:14" ht="25.5">
      <c r="A275" s="128"/>
      <c r="B275" s="123">
        <v>2</v>
      </c>
      <c r="C275" s="130" t="s">
        <v>279</v>
      </c>
      <c r="D275" s="125" t="s">
        <v>280</v>
      </c>
      <c r="E275" s="126" t="s">
        <v>281</v>
      </c>
      <c r="F275" s="127" t="s">
        <v>282</v>
      </c>
      <c r="G275" s="127" t="s">
        <v>283</v>
      </c>
      <c r="H275" s="128">
        <v>1</v>
      </c>
      <c r="I275" s="128">
        <v>19.95</v>
      </c>
      <c r="J275" s="128">
        <f>H275*I275</f>
        <v>19.95</v>
      </c>
      <c r="K275" s="129"/>
      <c r="L275" s="129"/>
      <c r="M275" s="129">
        <f>SUM(J275:L275)</f>
        <v>19.95</v>
      </c>
      <c r="N275" s="129">
        <f>ROUNDUP(M275*28,)</f>
        <v>559</v>
      </c>
    </row>
    <row r="276" spans="3:14" ht="14.25">
      <c r="C276" s="9"/>
      <c r="D276" s="9"/>
      <c r="J276" s="10">
        <f>SUM(J274:J275)</f>
        <v>50.51</v>
      </c>
      <c r="K276" s="10">
        <f>SUM(K274:K275)</f>
        <v>3.48</v>
      </c>
      <c r="L276" s="10">
        <f>SUM(L274:L275)</f>
        <v>0</v>
      </c>
      <c r="M276" s="10">
        <f>SUM(M274:M275)</f>
        <v>53.989999999999995</v>
      </c>
      <c r="N276" s="18">
        <f>SUM(N274:N275)</f>
        <v>1513</v>
      </c>
    </row>
    <row r="277" spans="3:14" ht="14.25">
      <c r="C277" s="9"/>
      <c r="D277" s="9"/>
      <c r="J277" s="11"/>
      <c r="K277" s="11"/>
      <c r="L277" s="12"/>
      <c r="M277" s="13" t="s">
        <v>12</v>
      </c>
      <c r="N277" s="14">
        <v>2150</v>
      </c>
    </row>
    <row r="278" spans="12:14" ht="14.25">
      <c r="L278" s="20"/>
      <c r="M278" s="21" t="s">
        <v>13</v>
      </c>
      <c r="N278" s="19">
        <f>N277-N276</f>
        <v>637</v>
      </c>
    </row>
    <row r="279" ht="14.25">
      <c r="A279" s="22">
        <v>40660</v>
      </c>
    </row>
    <row r="280" spans="1:14" ht="33.75">
      <c r="A280" s="117" t="s">
        <v>0</v>
      </c>
      <c r="B280" s="118" t="s">
        <v>1</v>
      </c>
      <c r="C280" s="118" t="s">
        <v>2</v>
      </c>
      <c r="D280" s="118" t="s">
        <v>3</v>
      </c>
      <c r="E280" s="118" t="s">
        <v>4</v>
      </c>
      <c r="F280" s="118" t="s">
        <v>5</v>
      </c>
      <c r="G280" s="119" t="s">
        <v>6</v>
      </c>
      <c r="H280" s="120" t="s">
        <v>25</v>
      </c>
      <c r="I280" s="120" t="s">
        <v>7</v>
      </c>
      <c r="J280" s="120" t="s">
        <v>8</v>
      </c>
      <c r="K280" s="118" t="s">
        <v>26</v>
      </c>
      <c r="L280" s="120" t="s">
        <v>9</v>
      </c>
      <c r="M280" s="120" t="s">
        <v>10</v>
      </c>
      <c r="N280" s="121" t="s">
        <v>11</v>
      </c>
    </row>
    <row r="281" spans="1:15" ht="24.75" customHeight="1">
      <c r="A281" s="122" t="s">
        <v>207</v>
      </c>
      <c r="B281" s="123">
        <v>1</v>
      </c>
      <c r="C281" s="130" t="s">
        <v>285</v>
      </c>
      <c r="D281" s="125"/>
      <c r="E281" s="126" t="s">
        <v>286</v>
      </c>
      <c r="F281" s="126" t="s">
        <v>287</v>
      </c>
      <c r="G281" s="127" t="s">
        <v>288</v>
      </c>
      <c r="H281" s="128">
        <v>1</v>
      </c>
      <c r="I281" s="128">
        <v>60</v>
      </c>
      <c r="J281" s="128">
        <f>H281*I281</f>
        <v>60</v>
      </c>
      <c r="K281" s="129">
        <v>3.48</v>
      </c>
      <c r="L281" s="129"/>
      <c r="M281" s="129">
        <f>SUM(J281:L281)</f>
        <v>63.48</v>
      </c>
      <c r="N281" s="129">
        <f>ROUNDUP(M281*28,)</f>
        <v>1778</v>
      </c>
      <c r="O281" s="6" t="s">
        <v>284</v>
      </c>
    </row>
    <row r="282" spans="1:14" ht="14.25">
      <c r="A282" s="128"/>
      <c r="B282" s="123">
        <v>2</v>
      </c>
      <c r="C282" s="124"/>
      <c r="D282" s="125"/>
      <c r="E282" s="126"/>
      <c r="F282" s="127"/>
      <c r="G282" s="127"/>
      <c r="H282" s="128"/>
      <c r="I282" s="128"/>
      <c r="J282" s="128">
        <f>H282*I282</f>
        <v>0</v>
      </c>
      <c r="K282" s="129"/>
      <c r="L282" s="129"/>
      <c r="M282" s="129">
        <f>SUM(J282:L282)</f>
        <v>0</v>
      </c>
      <c r="N282" s="129">
        <f>ROUNDUP(M282*28,)</f>
        <v>0</v>
      </c>
    </row>
    <row r="283" spans="3:14" ht="14.25">
      <c r="C283" s="9"/>
      <c r="D283" s="9"/>
      <c r="J283" s="10">
        <f>SUM(J281:J282)</f>
        <v>60</v>
      </c>
      <c r="K283" s="10">
        <f>SUM(K281:K282)</f>
        <v>3.48</v>
      </c>
      <c r="L283" s="10">
        <f>SUM(L281:L282)</f>
        <v>0</v>
      </c>
      <c r="M283" s="10">
        <f>SUM(M281:M282)</f>
        <v>63.48</v>
      </c>
      <c r="N283" s="18">
        <f>SUM(N281:N282)</f>
        <v>1778</v>
      </c>
    </row>
    <row r="284" spans="3:14" ht="14.25">
      <c r="C284" s="9"/>
      <c r="D284" s="9"/>
      <c r="J284" s="11"/>
      <c r="K284" s="11"/>
      <c r="L284" s="12"/>
      <c r="M284" s="13" t="s">
        <v>12</v>
      </c>
      <c r="N284" s="14">
        <f>401+1500</f>
        <v>1901</v>
      </c>
    </row>
    <row r="285" spans="12:14" ht="14.25">
      <c r="L285" s="20"/>
      <c r="M285" s="21" t="s">
        <v>13</v>
      </c>
      <c r="N285" s="19">
        <f>N284-N283</f>
        <v>123</v>
      </c>
    </row>
    <row r="287" spans="1:14" ht="33.75">
      <c r="A287" s="1" t="s">
        <v>0</v>
      </c>
      <c r="B287" s="2" t="s">
        <v>1</v>
      </c>
      <c r="C287" s="2" t="s">
        <v>2</v>
      </c>
      <c r="D287" s="2" t="s">
        <v>3</v>
      </c>
      <c r="E287" s="2" t="s">
        <v>4</v>
      </c>
      <c r="F287" s="2" t="s">
        <v>5</v>
      </c>
      <c r="G287" s="3" t="s">
        <v>6</v>
      </c>
      <c r="H287" s="4" t="s">
        <v>25</v>
      </c>
      <c r="I287" s="4" t="s">
        <v>7</v>
      </c>
      <c r="J287" s="4" t="s">
        <v>8</v>
      </c>
      <c r="K287" s="2" t="s">
        <v>26</v>
      </c>
      <c r="L287" s="4" t="s">
        <v>9</v>
      </c>
      <c r="M287" s="4" t="s">
        <v>10</v>
      </c>
      <c r="N287" s="5" t="s">
        <v>11</v>
      </c>
    </row>
    <row r="288" spans="1:14" ht="24.75" customHeight="1">
      <c r="A288" s="23"/>
      <c r="B288" s="7">
        <v>1</v>
      </c>
      <c r="C288" s="26"/>
      <c r="D288" s="8"/>
      <c r="E288" s="15"/>
      <c r="F288" s="15"/>
      <c r="G288" s="25"/>
      <c r="H288" s="16"/>
      <c r="I288" s="16"/>
      <c r="J288" s="16">
        <f>H288*I288</f>
        <v>0</v>
      </c>
      <c r="K288" s="17"/>
      <c r="L288" s="17"/>
      <c r="M288" s="17">
        <f>SUM(J288:L288)</f>
        <v>0</v>
      </c>
      <c r="N288" s="17">
        <f>ROUNDUP(M288*28,)</f>
        <v>0</v>
      </c>
    </row>
    <row r="289" spans="1:14" ht="14.25">
      <c r="A289" s="24"/>
      <c r="B289" s="7">
        <v>2</v>
      </c>
      <c r="C289" s="26"/>
      <c r="D289" s="8"/>
      <c r="E289" s="15"/>
      <c r="F289" s="25"/>
      <c r="G289" s="25"/>
      <c r="H289" s="16"/>
      <c r="I289" s="16"/>
      <c r="J289" s="16">
        <f>H289*I289</f>
        <v>0</v>
      </c>
      <c r="K289" s="17"/>
      <c r="L289" s="17"/>
      <c r="M289" s="17">
        <f>SUM(J289:L289)</f>
        <v>0</v>
      </c>
      <c r="N289" s="17">
        <f>ROUNDUP(M289*28,)</f>
        <v>0</v>
      </c>
    </row>
    <row r="290" spans="3:14" ht="14.25">
      <c r="C290" s="9"/>
      <c r="D290" s="9"/>
      <c r="J290" s="10">
        <f>SUM(J288:J289)</f>
        <v>0</v>
      </c>
      <c r="K290" s="10">
        <f>SUM(K288:K289)</f>
        <v>0</v>
      </c>
      <c r="L290" s="10">
        <f>SUM(L288:L289)</f>
        <v>0</v>
      </c>
      <c r="M290" s="10">
        <f>SUM(M288:M289)</f>
        <v>0</v>
      </c>
      <c r="N290" s="18">
        <f>SUM(N288:N289)</f>
        <v>0</v>
      </c>
    </row>
    <row r="291" spans="3:14" ht="14.25">
      <c r="C291" s="9"/>
      <c r="D291" s="9"/>
      <c r="J291" s="11"/>
      <c r="K291" s="11"/>
      <c r="L291" s="12"/>
      <c r="M291" s="13" t="s">
        <v>12</v>
      </c>
      <c r="N291" s="14"/>
    </row>
    <row r="292" spans="12:14" ht="14.25">
      <c r="L292" s="20"/>
      <c r="M292" s="21" t="s">
        <v>13</v>
      </c>
      <c r="N292" s="19">
        <f>N291-N290</f>
        <v>0</v>
      </c>
    </row>
    <row r="294" spans="1:14" ht="33.75">
      <c r="A294" s="1" t="s">
        <v>0</v>
      </c>
      <c r="B294" s="2" t="s">
        <v>1</v>
      </c>
      <c r="C294" s="2" t="s">
        <v>2</v>
      </c>
      <c r="D294" s="2" t="s">
        <v>3</v>
      </c>
      <c r="E294" s="2" t="s">
        <v>4</v>
      </c>
      <c r="F294" s="2" t="s">
        <v>5</v>
      </c>
      <c r="G294" s="3" t="s">
        <v>6</v>
      </c>
      <c r="H294" s="4" t="s">
        <v>25</v>
      </c>
      <c r="I294" s="4" t="s">
        <v>7</v>
      </c>
      <c r="J294" s="4" t="s">
        <v>8</v>
      </c>
      <c r="K294" s="2" t="s">
        <v>26</v>
      </c>
      <c r="L294" s="4" t="s">
        <v>9</v>
      </c>
      <c r="M294" s="4" t="s">
        <v>10</v>
      </c>
      <c r="N294" s="5" t="s">
        <v>11</v>
      </c>
    </row>
    <row r="295" spans="1:14" ht="24.75" customHeight="1">
      <c r="A295" s="23"/>
      <c r="B295" s="7">
        <v>1</v>
      </c>
      <c r="C295" s="26"/>
      <c r="D295" s="8"/>
      <c r="E295" s="15"/>
      <c r="F295" s="15"/>
      <c r="G295" s="25"/>
      <c r="H295" s="16"/>
      <c r="I295" s="16"/>
      <c r="J295" s="16">
        <f>H295*I295</f>
        <v>0</v>
      </c>
      <c r="K295" s="17"/>
      <c r="L295" s="17"/>
      <c r="M295" s="17">
        <f>SUM(J295:L295)</f>
        <v>0</v>
      </c>
      <c r="N295" s="17">
        <f>ROUNDUP(M295*28,)</f>
        <v>0</v>
      </c>
    </row>
    <row r="296" spans="1:14" ht="14.25">
      <c r="A296" s="24"/>
      <c r="B296" s="7">
        <v>2</v>
      </c>
      <c r="C296" s="26"/>
      <c r="D296" s="8"/>
      <c r="E296" s="15"/>
      <c r="F296" s="25"/>
      <c r="G296" s="25"/>
      <c r="H296" s="16"/>
      <c r="I296" s="16"/>
      <c r="J296" s="16">
        <f>H296*I296</f>
        <v>0</v>
      </c>
      <c r="K296" s="17"/>
      <c r="L296" s="17"/>
      <c r="M296" s="17">
        <f>SUM(J296:L296)</f>
        <v>0</v>
      </c>
      <c r="N296" s="17">
        <f>ROUNDUP(M296*28,)</f>
        <v>0</v>
      </c>
    </row>
    <row r="297" spans="3:14" ht="14.25">
      <c r="C297" s="9"/>
      <c r="D297" s="9"/>
      <c r="J297" s="10">
        <f>SUM(J295:J296)</f>
        <v>0</v>
      </c>
      <c r="K297" s="10">
        <f>SUM(K295:K296)</f>
        <v>0</v>
      </c>
      <c r="L297" s="10">
        <f>SUM(L295:L296)</f>
        <v>0</v>
      </c>
      <c r="M297" s="10">
        <f>SUM(M295:M296)</f>
        <v>0</v>
      </c>
      <c r="N297" s="18">
        <f>SUM(N295:N296)</f>
        <v>0</v>
      </c>
    </row>
    <row r="298" spans="3:14" ht="14.25">
      <c r="C298" s="9"/>
      <c r="D298" s="9"/>
      <c r="J298" s="11"/>
      <c r="K298" s="11"/>
      <c r="L298" s="12"/>
      <c r="M298" s="13" t="s">
        <v>12</v>
      </c>
      <c r="N298" s="14"/>
    </row>
    <row r="299" spans="12:14" ht="14.25">
      <c r="L299" s="20"/>
      <c r="M299" s="21" t="s">
        <v>13</v>
      </c>
      <c r="N299" s="19">
        <f>N298-N297</f>
        <v>0</v>
      </c>
    </row>
  </sheetData>
  <sheetProtection/>
  <conditionalFormatting sqref="N31">
    <cfRule type="cellIs" priority="40" dxfId="47" operator="lessThan">
      <formula>0</formula>
    </cfRule>
  </conditionalFormatting>
  <conditionalFormatting sqref="N10">
    <cfRule type="cellIs" priority="43" dxfId="47" operator="lessThan">
      <formula>0</formula>
    </cfRule>
  </conditionalFormatting>
  <conditionalFormatting sqref="N17">
    <cfRule type="cellIs" priority="42" dxfId="47" operator="lessThan">
      <formula>0</formula>
    </cfRule>
  </conditionalFormatting>
  <conditionalFormatting sqref="N24">
    <cfRule type="cellIs" priority="41" dxfId="47" operator="lessThan">
      <formula>0</formula>
    </cfRule>
  </conditionalFormatting>
  <conditionalFormatting sqref="N38">
    <cfRule type="cellIs" priority="39" dxfId="47" operator="lessThan">
      <formula>0</formula>
    </cfRule>
  </conditionalFormatting>
  <conditionalFormatting sqref="N45">
    <cfRule type="cellIs" priority="38" dxfId="47" operator="lessThan">
      <formula>0</formula>
    </cfRule>
  </conditionalFormatting>
  <conditionalFormatting sqref="N52">
    <cfRule type="cellIs" priority="37" dxfId="47" operator="lessThan">
      <formula>0</formula>
    </cfRule>
  </conditionalFormatting>
  <conditionalFormatting sqref="N59">
    <cfRule type="cellIs" priority="36" dxfId="47" operator="lessThan">
      <formula>0</formula>
    </cfRule>
  </conditionalFormatting>
  <conditionalFormatting sqref="N66">
    <cfRule type="cellIs" priority="35" dxfId="47" operator="lessThan">
      <formula>0</formula>
    </cfRule>
  </conditionalFormatting>
  <conditionalFormatting sqref="N73">
    <cfRule type="cellIs" priority="34" dxfId="47" operator="lessThan">
      <formula>0</formula>
    </cfRule>
  </conditionalFormatting>
  <conditionalFormatting sqref="N82">
    <cfRule type="cellIs" priority="33" dxfId="47" operator="lessThan">
      <formula>0</formula>
    </cfRule>
  </conditionalFormatting>
  <conditionalFormatting sqref="N89">
    <cfRule type="cellIs" priority="32" dxfId="47" operator="lessThan">
      <formula>0</formula>
    </cfRule>
  </conditionalFormatting>
  <conditionalFormatting sqref="N98">
    <cfRule type="cellIs" priority="30" dxfId="47" operator="lessThan">
      <formula>0</formula>
    </cfRule>
  </conditionalFormatting>
  <conditionalFormatting sqref="N108">
    <cfRule type="cellIs" priority="29" dxfId="47" operator="lessThan">
      <formula>0</formula>
    </cfRule>
  </conditionalFormatting>
  <conditionalFormatting sqref="N115">
    <cfRule type="cellIs" priority="27" dxfId="47" operator="lessThan">
      <formula>0</formula>
    </cfRule>
  </conditionalFormatting>
  <conditionalFormatting sqref="N122">
    <cfRule type="cellIs" priority="26" dxfId="47" operator="lessThan">
      <formula>0</formula>
    </cfRule>
  </conditionalFormatting>
  <conditionalFormatting sqref="N129">
    <cfRule type="cellIs" priority="25" dxfId="47" operator="lessThan">
      <formula>0</formula>
    </cfRule>
  </conditionalFormatting>
  <conditionalFormatting sqref="N136">
    <cfRule type="cellIs" priority="24" dxfId="47" operator="lessThan">
      <formula>0</formula>
    </cfRule>
  </conditionalFormatting>
  <conditionalFormatting sqref="N143">
    <cfRule type="cellIs" priority="23" dxfId="47" operator="lessThan">
      <formula>0</formula>
    </cfRule>
  </conditionalFormatting>
  <conditionalFormatting sqref="N150">
    <cfRule type="cellIs" priority="22" dxfId="47" operator="lessThan">
      <formula>0</formula>
    </cfRule>
  </conditionalFormatting>
  <conditionalFormatting sqref="N157">
    <cfRule type="cellIs" priority="21" dxfId="47" operator="lessThan">
      <formula>0</formula>
    </cfRule>
  </conditionalFormatting>
  <conditionalFormatting sqref="N208">
    <cfRule type="cellIs" priority="14" dxfId="47" operator="lessThan">
      <formula>0</formula>
    </cfRule>
  </conditionalFormatting>
  <conditionalFormatting sqref="N164">
    <cfRule type="cellIs" priority="20" dxfId="47" operator="lessThan">
      <formula>0</formula>
    </cfRule>
  </conditionalFormatting>
  <conditionalFormatting sqref="N171">
    <cfRule type="cellIs" priority="19" dxfId="47" operator="lessThan">
      <formula>0</formula>
    </cfRule>
  </conditionalFormatting>
  <conditionalFormatting sqref="N178">
    <cfRule type="cellIs" priority="18" dxfId="47" operator="lessThan">
      <formula>0</formula>
    </cfRule>
  </conditionalFormatting>
  <conditionalFormatting sqref="N187">
    <cfRule type="cellIs" priority="17" dxfId="47" operator="lessThan">
      <formula>0</formula>
    </cfRule>
  </conditionalFormatting>
  <conditionalFormatting sqref="N194">
    <cfRule type="cellIs" priority="16" dxfId="47" operator="lessThan">
      <formula>0</formula>
    </cfRule>
  </conditionalFormatting>
  <conditionalFormatting sqref="N201">
    <cfRule type="cellIs" priority="15" dxfId="47" operator="lessThan">
      <formula>0</formula>
    </cfRule>
  </conditionalFormatting>
  <conditionalFormatting sqref="N215">
    <cfRule type="cellIs" priority="13" dxfId="47" operator="lessThan">
      <formula>0</formula>
    </cfRule>
  </conditionalFormatting>
  <conditionalFormatting sqref="N222">
    <cfRule type="cellIs" priority="12" dxfId="47" operator="lessThan">
      <formula>0</formula>
    </cfRule>
  </conditionalFormatting>
  <conditionalFormatting sqref="N229">
    <cfRule type="cellIs" priority="11" dxfId="47" operator="lessThan">
      <formula>0</formula>
    </cfRule>
  </conditionalFormatting>
  <conditionalFormatting sqref="N236">
    <cfRule type="cellIs" priority="10" dxfId="47" operator="lessThan">
      <formula>0</formula>
    </cfRule>
  </conditionalFormatting>
  <conditionalFormatting sqref="N243">
    <cfRule type="cellIs" priority="9" dxfId="47" operator="lessThan">
      <formula>0</formula>
    </cfRule>
  </conditionalFormatting>
  <conditionalFormatting sqref="N250">
    <cfRule type="cellIs" priority="8" dxfId="47" operator="lessThan">
      <formula>0</formula>
    </cfRule>
  </conditionalFormatting>
  <conditionalFormatting sqref="N257">
    <cfRule type="cellIs" priority="7" dxfId="47" operator="lessThan">
      <formula>0</formula>
    </cfRule>
  </conditionalFormatting>
  <conditionalFormatting sqref="N264">
    <cfRule type="cellIs" priority="6" dxfId="47" operator="lessThan">
      <formula>0</formula>
    </cfRule>
  </conditionalFormatting>
  <conditionalFormatting sqref="N271">
    <cfRule type="cellIs" priority="5" dxfId="47" operator="lessThan">
      <formula>0</formula>
    </cfRule>
  </conditionalFormatting>
  <conditionalFormatting sqref="N278">
    <cfRule type="cellIs" priority="4" dxfId="47" operator="lessThan">
      <formula>0</formula>
    </cfRule>
  </conditionalFormatting>
  <conditionalFormatting sqref="N285">
    <cfRule type="cellIs" priority="3" dxfId="47" operator="lessThan">
      <formula>0</formula>
    </cfRule>
  </conditionalFormatting>
  <conditionalFormatting sqref="N292">
    <cfRule type="cellIs" priority="2" dxfId="47" operator="lessThan">
      <formula>0</formula>
    </cfRule>
  </conditionalFormatting>
  <conditionalFormatting sqref="N299">
    <cfRule type="cellIs" priority="1" dxfId="47" operator="lessThan">
      <formula>0</formula>
    </cfRule>
  </conditionalFormatting>
  <hyperlinks>
    <hyperlink ref="C20" r:id="rId1" display="http://www.6pm.com/l-a-m-b-quincy-dark-brown"/>
    <hyperlink ref="C27" r:id="rId2" display="http://www.6pm.com/tsubo-edfu-silver-metallic-full-grain"/>
    <hyperlink ref="C34" r:id="rId3" display="http://www.6pm.com/tsubo-kirs-black-silver"/>
    <hyperlink ref="C48" r:id="rId4" display="http://www.6pm.com/tsubo-edfu-silver-metallic-full-grain"/>
    <hyperlink ref="C5" r:id="rId5" display="http://www.6pm.com/umi-kids-marmalade-infant-toddler-white"/>
    <hyperlink ref="C125" r:id="rId6" display="http://www.6pm.com/fila-massaggio-m-black-white-chinese-red"/>
    <hyperlink ref="C69" r:id="rId7" display="http://www.6pm.com/reebok-easytone-go-outside-ii-black-pewter"/>
    <hyperlink ref="C160" r:id="rId8" display="http://www.6pm.com/calvin-klein-klarissa-blue-suede-patent"/>
    <hyperlink ref="C204" r:id="rId9" display="http://www.amazon.com/Lauren-Ralph-Womens-Farima-Platform/dp/B003XQH5MY/ref=sr_1_121?s=shoes&amp;ie=UTF8&amp;qid=1302366563&amp;sr=1-121"/>
    <hyperlink ref="C205" r:id="rId10" display="http://www.amazon.com/BCBGeneration-Womens-Rouge-Sandal-Black/dp/B004CXEDRC/ref=sr_1_14?s=shoes&amp;ie=UTF8&amp;qid=1302361460&amp;sr=1-14"/>
    <hyperlink ref="C62" r:id="rId11" display="http://www.6pm.com/born-stowaway-champagne-metallic"/>
    <hyperlink ref="C111" r:id="rId12" display="http://www.6pm.com/new-balance-kids-kx503wp-infant-toddler-white-pink"/>
    <hyperlink ref="C118" r:id="rId13" display="http://www.6pm.com/donald-j-pliner-peggy-black-15"/>
    <hyperlink ref="C153" r:id="rId14" display="http://www.6pm.com/ecco-kids-aerial-toddler-youth-navajo-brown-navajo-brown"/>
    <hyperlink ref="C154" r:id="rId15" display="http://www.6pm.com/ecco-kids-terra-vg-toddler-youth-licorice-warm-grey"/>
    <hyperlink ref="C167" r:id="rId16" display="http://www.6pm.com/naturino-sport-157-toddler-pink"/>
    <hyperlink ref="C174" r:id="rId17" display="www.6pm.com/puma-sugie-suede-wns-choclolate-brown-tortoise-shell"/>
    <hyperlink ref="C132" r:id="rId18" display="http://www.6pm.com/vaneli-neala-red-smack-patent"/>
    <hyperlink ref="C232" r:id="rId19" display="http://www.amazon.com/HARDY-Mens-Lowrise-Black-12-0/dp/B002FTYUPA/ref=sr_1_7?s=shoes&amp;ie=UTF8&amp;qid=1303375547&amp;sr=1-7"/>
    <hyperlink ref="C181" r:id="rId20" display="http://www.6pm.com/case-logic-18-inch-urban-simplicity-duffel-black"/>
    <hyperlink ref="C182" r:id="rId21" display="http://www.6pm.com/calvin-klein-73735-black-black"/>
    <hyperlink ref="C183" r:id="rId22" display="http://www.6pm.com/calvin-klein-l-s-liquid-cotton-full-zip-mock-neck-fatigue"/>
    <hyperlink ref="C184" r:id="rId23" display="http://www.6pm.com/calvin-klein-jeans-maritime-blue-low-rise-slim-body-dark-wash"/>
    <hyperlink ref="C146" r:id="rId24" display="http://www.6pm.com/ecco-kids-arctic-toddler-youth-coffee-espresso"/>
    <hyperlink ref="C139" r:id="rId25" display="http://www.6pm.com/calvin-klein-73735-black-black"/>
    <hyperlink ref="C140" r:id="rId26" display="http://www.6pm.com/calvin-klein-jeans-5gg-air-force-full-zip-hoodie-black"/>
    <hyperlink ref="C281" r:id="rId27" display="http://www.6pm.com/cushe-manuka-craft-lo-tan-leather"/>
    <hyperlink ref="C274" r:id="rId28" display="http://www.6pm.com/trotters-marian-mocha-kid-suede-snake-suede"/>
    <hyperlink ref="C275" r:id="rId29" display="http://www.6pm.com/vaneli-laticia-bronze-cipria"/>
    <hyperlink ref="C239" r:id="rId30" display="http://www.6pm.com/product/7750828/color/3"/>
    <hyperlink ref="C246" r:id="rId31" display="http://www.6pm.com/gabriella-rocha-sallee-grey-suede"/>
    <hyperlink ref="C253" r:id="rId32" display="http://www.6pm.com/lounge-by-mark-nason-oxnard-grey"/>
  </hyperlinks>
  <printOptions/>
  <pageMargins left="0.7" right="0.7" top="0.75" bottom="0.75" header="0.3" footer="0.3"/>
  <pageSetup horizontalDpi="600" verticalDpi="600" orientation="portrait" paperSize="9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2011-05-27T20:36:52Z</cp:lastPrinted>
  <dcterms:created xsi:type="dcterms:W3CDTF">2010-11-27T20:46:23Z</dcterms:created>
  <dcterms:modified xsi:type="dcterms:W3CDTF">2011-07-28T23:23:45Z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