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185" windowWidth="25605" windowHeight="156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'Лист1'!$A$1:$S$367</definedName>
  </definedNames>
  <calcPr fullCalcOnLoad="1" refMode="R1C1"/>
</workbook>
</file>

<file path=xl/sharedStrings.xml><?xml version="1.0" encoding="utf-8"?>
<sst xmlns="http://schemas.openxmlformats.org/spreadsheetml/2006/main" count="2148" uniqueCount="963">
  <si>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</si>
  <si>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</si>
  <si>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</si>
  <si>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</si>
  <si>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</si>
  <si>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</si>
  <si>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</si>
  <si>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</si>
  <si>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</si>
  <si>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</si>
  <si>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</si>
  <si>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36C</t>
  </si>
  <si>
    <t>34B</t>
  </si>
  <si>
    <t>S</t>
  </si>
  <si>
    <t>Neff241288</t>
  </si>
  <si>
    <t>Svetlana.Kulkova</t>
  </si>
  <si>
    <t>L</t>
  </si>
  <si>
    <t>Airis*</t>
  </si>
  <si>
    <t>White (L20)</t>
  </si>
  <si>
    <t>OS</t>
  </si>
  <si>
    <t>M</t>
  </si>
  <si>
    <t>S.R</t>
  </si>
  <si>
    <t>Neon Nectar (39S)</t>
  </si>
  <si>
    <t>Lu Lu</t>
  </si>
  <si>
    <t>ponka100</t>
  </si>
  <si>
    <t>White (DK9)</t>
  </si>
  <si>
    <t>Light Nude (608)</t>
  </si>
  <si>
    <t>Ink Blot (K95)</t>
  </si>
  <si>
    <t>Black (DL3)</t>
  </si>
  <si>
    <t>доставка</t>
  </si>
  <si>
    <t>итог.% предоплата</t>
  </si>
  <si>
    <t>итог.% постоплата</t>
  </si>
  <si>
    <t>доставка+орг% по предоплате</t>
  </si>
  <si>
    <t>предварительный курс $</t>
  </si>
  <si>
    <t>Pink Stripe (3UZ)</t>
  </si>
  <si>
    <t>Black (093)</t>
  </si>
  <si>
    <t>L.S</t>
  </si>
  <si>
    <t>Таша С</t>
  </si>
  <si>
    <t>White (092)</t>
  </si>
  <si>
    <t>ариша11</t>
  </si>
  <si>
    <t>m.n</t>
  </si>
  <si>
    <t>32C</t>
  </si>
  <si>
    <t>итог.сумма заказа</t>
  </si>
  <si>
    <t>неклиранс</t>
  </si>
  <si>
    <t>клиранс</t>
  </si>
  <si>
    <t>скидка с неклиранса</t>
  </si>
  <si>
    <t>скидка с неклиранса%</t>
  </si>
  <si>
    <t>38D</t>
  </si>
  <si>
    <t>Black Stripe (3W6)</t>
  </si>
  <si>
    <t>Love Addict (7A3)</t>
  </si>
  <si>
    <t>Secret Escape (PMF)</t>
  </si>
  <si>
    <t>https://www.victoriassecret.com/beauty/vs-fantasies-bodycare-specials/aqua-kiss-deep-softening-body-butter-vs-fantasies?ProductID=154946&amp;CatalogueType=OLS</t>
  </si>
  <si>
    <t>Aqua Kiss (96F)</t>
  </si>
  <si>
    <t>Black Pearl (U01)</t>
  </si>
  <si>
    <t>34A</t>
  </si>
  <si>
    <t>Juliettt</t>
  </si>
  <si>
    <t>Coral Blaze (57Z)</t>
  </si>
  <si>
    <t>stellar81</t>
  </si>
  <si>
    <t>союз</t>
  </si>
  <si>
    <t>пристрой</t>
  </si>
  <si>
    <t>Pirouette Pink (2PT)</t>
  </si>
  <si>
    <t>Оплаты</t>
  </si>
  <si>
    <t>https://www.victoriassecret.com/beauty/vs-fantasies-bodycare-specials/love-addict-deep-softening-body-butter-vs-fantasies?ProductID=225092&amp;CatalogueType=OLS</t>
  </si>
  <si>
    <t>Zoyann</t>
  </si>
  <si>
    <t>Kally</t>
  </si>
  <si>
    <t>XS.R</t>
  </si>
  <si>
    <t>belkastrelka</t>
  </si>
  <si>
    <t>Mint Ice (2GE)</t>
  </si>
  <si>
    <t>36B</t>
  </si>
  <si>
    <t>altea</t>
  </si>
  <si>
    <t>34C</t>
  </si>
  <si>
    <t>32B</t>
  </si>
  <si>
    <t>Mora</t>
  </si>
  <si>
    <t>Love Spell (999)</t>
  </si>
  <si>
    <t>Amber Romance (259)</t>
  </si>
  <si>
    <t>Maldive (890)</t>
  </si>
  <si>
    <t>little_signorina</t>
  </si>
  <si>
    <t>МАТРЕШКА НН</t>
  </si>
  <si>
    <t>32A</t>
  </si>
  <si>
    <t>https://www.victoriassecret.com/clearance/panties/lace-trim-cheekini-panty-dream-angels?ProductID=225540&amp;CatalogueType=OLS</t>
  </si>
  <si>
    <t>S.S</t>
  </si>
  <si>
    <t>katrysya</t>
  </si>
  <si>
    <t>Pumpi</t>
  </si>
  <si>
    <t>https://www.victoriassecret.com/victorias-secret-sport/sports-bras/incredible-by-victoria39s-secret-front-close-sport-bra-victorias-secret-sport?ProductID=205543&amp;CatalogueType=OLS</t>
  </si>
  <si>
    <t>Leopard (4RF)</t>
  </si>
  <si>
    <t>https://www.victoriassecret.com/clearance/bras/wear-everywhere-strapless-bra-pink?ProductID=223266&amp;CatalogueType=OLS</t>
  </si>
  <si>
    <t>LR-333-962</t>
  </si>
  <si>
    <t>Mint Chevron (3HJ)</t>
  </si>
  <si>
    <t>SnegaL</t>
  </si>
  <si>
    <t>Beautiful Girl</t>
  </si>
  <si>
    <t>https://www.victoriassecret.com/beauty/vs-fantasies-bodycare-specials/amber-romance-deep-softening-body-butter-vs-fantasies?ProductID=154943&amp;CatalogueType=OLS</t>
  </si>
  <si>
    <t>https://www.victoriassecret.com/beauty/vs-fantasies-bodycare-specials/sheer-love-deep-softening-body-butter-vs-fantasies?ProductID=154942&amp;CatalogueType=OLS</t>
  </si>
  <si>
    <t>Sheer Love (2HW)</t>
  </si>
  <si>
    <t>https://www.victoriassecret.com/beauty/vs-fantasies-bodycare-specials/such-a-flirt-deep-softening-body-butter-vs-fantasies?ProductID=154941&amp;CatalogueType=OLS</t>
  </si>
  <si>
    <t>Such A Flirt (AJ5)</t>
  </si>
  <si>
    <t>https://www.victoriassecret.com/victorias-secret-sport/all-tops/lightweight-sport-tank-victorias-secret-sport?ProductID=218763&amp;CatalogueType=OLS&amp;swatchImage=HE7</t>
  </si>
  <si>
    <t>LJ-330-611</t>
  </si>
  <si>
    <t>Neon Lemons/Seychelles (5EJ)</t>
  </si>
  <si>
    <t>Gold Glitter Wings (CT7)</t>
  </si>
  <si>
    <t>Heather Charcoal/Sequin VS Angel (7K8)</t>
  </si>
  <si>
    <t>Cherry Print (3X4)</t>
  </si>
  <si>
    <t>Aqua Breeze Blue Mesh (3KU)</t>
  </si>
  <si>
    <t>Ink Blot Lace Back (K95)</t>
  </si>
  <si>
    <t>Paisley Print (3PR)</t>
  </si>
  <si>
    <t>Мама Макара</t>
  </si>
  <si>
    <t>https://www.victoriassecret.com/panties/5-for-27-styles/lace-waist-cheeky-panty-cotton-lingerie?ProductID=228002&amp;CatalogueType=OLS</t>
  </si>
  <si>
    <t>https://www.victoriassecret.com/panties/5-for-27-styles/no-show-cheekster-panty-pink?ProductID=196382&amp;CatalogueType=OLS</t>
  </si>
  <si>
    <t>Inkblot (K95)</t>
  </si>
  <si>
    <t>Pure Seduction (25F)</t>
  </si>
  <si>
    <t>Secret Charm (29G)</t>
  </si>
  <si>
    <t>себе</t>
  </si>
  <si>
    <t>Order Date: 03/08/2015</t>
  </si>
  <si>
    <t>https://www.victoriassecret.com/bras/very-sexy-so-obsessed/limited-edition-push-up-bra-very-sexy?ProductID=229235&amp;CatalogueType=OLS</t>
  </si>
  <si>
    <t>LK-328-754</t>
  </si>
  <si>
    <t>Black / Nude (3HW)</t>
  </si>
  <si>
    <t>https://www.victoriassecret.com/swimwear/bikini-mixer-hidden/the-itsy-beach-sexy?ProductID=205450&amp;CatalogueType=OLS</t>
  </si>
  <si>
    <t>LL-318-451</t>
  </si>
  <si>
    <t>White Graffiti Metallic (6XG)</t>
  </si>
  <si>
    <t>KateBond</t>
  </si>
  <si>
    <t>https://www.victoriassecret.com/sale/yoga-pants-and-leggings/the-most-loved-yoga-legging?ProductID=234648&amp;CatalogueType=OLS</t>
  </si>
  <si>
    <t>LL-290-290</t>
  </si>
  <si>
    <t>L.R</t>
  </si>
  <si>
    <t>https://www.victoriassecret.com/sale/yoga-pants-and-leggings/the-most-loved-yoga-legging?ProductID=228440&amp;CatalogueType=OLS</t>
  </si>
  <si>
    <t>https://www.victoriassecret.com/panties/5-for-27-styles/lace-trim-cheekster-panty-pink?ProductID=215582&amp;CatalogueType=OLS</t>
  </si>
  <si>
    <t>LL-327-638</t>
  </si>
  <si>
    <t>Heather Anthracite With Raspberry (6VP)</t>
  </si>
  <si>
    <t>Seafoam (6P5)</t>
  </si>
  <si>
    <t>Ruby (E54)</t>
  </si>
  <si>
    <t>Heather And Pink (3C6)</t>
  </si>
  <si>
    <t>Heather Anthracite (6VP)</t>
  </si>
  <si>
    <t>Triumph White (092)</t>
  </si>
  <si>
    <t>Graffiti Print (CG9)</t>
  </si>
  <si>
    <t>Solar Sorbet (G89)</t>
  </si>
  <si>
    <t>Pink Geo Print (V25)</t>
  </si>
  <si>
    <t>Acid Rain (DS1)</t>
  </si>
  <si>
    <t>Ink Blot/Acid Rain (DS1)</t>
  </si>
  <si>
    <t>https://www.victoriassecret.com/clearance/swim/the-strappy-itsy-bottom-beach-sexy?ProductID=212454&amp;CatalogueType=OLS</t>
  </si>
  <si>
    <t>LT-327-550</t>
  </si>
  <si>
    <t>So Silver (6XY)</t>
  </si>
  <si>
    <t>https://www.victoriassecret.com/clearance/swim/the-embellished-push-up-bandeau-beach-sexy?ProductID=210013&amp;CatalogueType=OLS</t>
  </si>
  <si>
    <t>LT-327-539</t>
  </si>
  <si>
    <t>Tunechka</t>
  </si>
  <si>
    <t>https://www.victoriassecret.com/clearance/sleep/dreamer-flannel-pajama?ProductID=202969&amp;CatalogueType=OLS</t>
  </si>
  <si>
    <t>LT-320-467 </t>
  </si>
  <si>
    <t>White/Black Leopard (3MT)</t>
  </si>
  <si>
    <t>https://www.victoriassecret.com/catalogue/the-player-by-victoriarsquos-secret-racerback-sport-bra-victorias-secret-sport?ProductID=224133&amp;CatalogueType=OLS&amp;cqo=true&amp;cqoCat=KY</t>
  </si>
  <si>
    <t>KY-300-798</t>
  </si>
  <si>
    <t>Black Marl (3BN)</t>
  </si>
  <si>
    <t>KY-300-797</t>
  </si>
  <si>
    <t>Black Orchid (4RS)</t>
  </si>
  <si>
    <t>https://www.victoriassecret.com/clearance/panties/geo-lace-cheekster-panty-pink?ProductID=196329&amp;CatalogueType=OLS</t>
  </si>
  <si>
    <t>LT-335-689</t>
  </si>
  <si>
    <t>Sheer Lime (2SY)</t>
  </si>
  <si>
    <t>https://www.victoriassecret.com/clearance/bras/leopard-lace-push-up-bra-pink?ProductID=233097&amp;CatalogueType=OLS</t>
  </si>
  <si>
    <t>LT-338-014</t>
  </si>
  <si>
    <t>Bright Turquoise (2PG)</t>
  </si>
  <si>
    <t>https://www.victoriassecret.com/clearance/panties/leopard-lace-thong-panty-pink?ProductID=205861&amp;CatalogueType=OLS</t>
  </si>
  <si>
    <t>LT-323-290</t>
  </si>
  <si>
    <t>Turquoise (2PG)</t>
  </si>
  <si>
    <t>ВЫКУПЛЕНО 08 МАРТА</t>
  </si>
  <si>
    <r>
      <rPr>
        <b/>
        <sz val="11"/>
        <color indexed="10"/>
        <rFont val="Calibri"/>
        <family val="2"/>
      </rPr>
      <t>окончательный</t>
    </r>
    <r>
      <rPr>
        <sz val="11"/>
        <rFont val="Calibri"/>
        <family val="2"/>
      </rPr>
      <t xml:space="preserve"> курс $</t>
    </r>
  </si>
  <si>
    <t>Order Date: 03/11/2015</t>
  </si>
  <si>
    <t>Алинка2507</t>
  </si>
  <si>
    <t>https://www.victoriassecret.com//swimwear/trend-edit/cut-out-bandeau-very-sexy?ProductID=227108&amp;CatalogueType=OLS&amp;search=true</t>
  </si>
  <si>
    <t>LL-327-544</t>
  </si>
  <si>
    <t>Iriiisha</t>
  </si>
  <si>
    <t>https://www.victoriassecret.com/sale/swim/v-wire-bandeau-very-sexy?ProductID=122009&amp;CatalogueType=OLS</t>
  </si>
  <si>
    <t>LL-307-823</t>
  </si>
  <si>
    <t>https://www.victoriassecret.com/pink/all-apparel/campus-pant-pink?ProductID=231263&amp;CatalogueType=OLS</t>
  </si>
  <si>
    <t>LL-334-916 </t>
  </si>
  <si>
    <t>Mint (S72)</t>
  </si>
  <si>
    <t>https://www.victoriassecret.com/sale/clothing/the-essential-bra-top-cami?ProductID=33437&amp;CatalogueType=OLS</t>
  </si>
  <si>
    <t>LL-257-222</t>
  </si>
  <si>
    <t>Sea Breeze (5AG)</t>
  </si>
  <si>
    <t>https://www.victoriassecret.com/clothing/hoodies-sweatshirts/marled-flutter-sleeve-hoodie-french-terry?ProductID=221860&amp;CatalogueType=OLS&amp;swatchImage=2GE</t>
  </si>
  <si>
    <t>LL-330-512 </t>
  </si>
  <si>
    <t>https://www.victoriassecret.com/bras/very-sexy/low-back-push-up-bra-very-sexy-bare?ProductID=232121&amp;CatalogueType=OLS</t>
  </si>
  <si>
    <t>LL-332-193</t>
  </si>
  <si>
    <t>Leopard (36V)</t>
  </si>
  <si>
    <t>https://www.victoriassecret.com/clearance/clothing/v-neck-tee-essential-tees?ProductID=197110&amp;CatalogueType=OLS</t>
  </si>
  <si>
    <t>LT-314-738</t>
  </si>
  <si>
    <t>Blue Burnout (HH7)</t>
  </si>
  <si>
    <t>https://www.victoriassecret.com/clearance/swim/the-ruffle-cheeky-beach-sexy?ProductID=224956&amp;CatalogueType=OLS</t>
  </si>
  <si>
    <t>LT-329-805</t>
  </si>
  <si>
    <t>Natural Tiger (6XQ)</t>
  </si>
  <si>
    <t>https://www.victoriassecret.com/clearance/swim/the-getaway-halter-beach-sexy?ProductID=225114&amp;CatalogueType=OLS</t>
  </si>
  <si>
    <t>LT-333-679</t>
  </si>
  <si>
    <t>https://www.victoriassecret.com/clearance/swim/one-shoulder-top-very-sexy?ProductID=189778&amp;CatalogueType=OLS</t>
  </si>
  <si>
    <t>LT-320-150</t>
  </si>
  <si>
    <t>ВЫКУПЛЕНО 11 МАРТА</t>
  </si>
  <si>
    <t>Order Date: 03/12/2015</t>
  </si>
  <si>
    <t>LL-329-088</t>
  </si>
  <si>
    <t>Tropical Floral (78W)</t>
  </si>
  <si>
    <t>https://www.victoriassecret.com/swimwear/shop-by-size/the-midi-bandeau-beach-sexy?ProductID=220408&amp;CatalogueType=OLS</t>
  </si>
  <si>
    <t>LL-329-673</t>
  </si>
  <si>
    <t>https://www.victoriassecret.com/swimwear/bikini-mixer</t>
  </si>
  <si>
    <t>LL-324-602</t>
  </si>
  <si>
    <t>LL-293-955 </t>
  </si>
  <si>
    <t>https://www.victoriassecret.com/sale/tops-and-tees/low-armhole-tank-anytime-tees?ProductID=233923&amp;CatalogueType=OLS</t>
  </si>
  <si>
    <t>LL-337-793</t>
  </si>
  <si>
    <t>Seychelles/Kissed By The Sun (7AY)</t>
  </si>
  <si>
    <t>https://www.victoriassecret.com//panties/shop-all-panties-mobile/lace-waist-bikini-panty-cotton-lingerie?ProductID=227324&amp;CatalogueType=OLS&amp;search=true</t>
  </si>
  <si>
    <t>LL-313-900 </t>
  </si>
  <si>
    <t>Safari Geo Print (2TC)</t>
  </si>
  <si>
    <t>https://www.victoriassecret.com//panties/shop-all-panties/itsy-panty-cotton-lingerie?ProductID=230098&amp;CatalogueType=OLS&amp;search=true</t>
  </si>
  <si>
    <t>LL-333-534</t>
  </si>
  <si>
    <t>https://www.victoriassecret.com//panties/fabulous-by-victorias-secret-hidden/lace-waist-thong-panty-cotton-lingerie?ProductID=231898&amp;CatalogueType=OLS&amp;search=true</t>
  </si>
  <si>
    <t>LL-313-901</t>
  </si>
  <si>
    <t>https://www.victoriassecret.com//panties/5-for-27-styles/itsy-panty-cotton-lingerie?ProductID=227317&amp;CatalogueType=OLS&amp;search=true</t>
  </si>
  <si>
    <t>LL-326-924</t>
  </si>
  <si>
    <t>Mini Leopard Print (DI9)</t>
  </si>
  <si>
    <t>https://www.victoriassecret.com/sale/bras-special/perfect-coverage-bra-sexy-tee?ProductID=228975&amp;CatalogueType=OLS</t>
  </si>
  <si>
    <t>LL-301-416</t>
  </si>
  <si>
    <t>36D</t>
  </si>
  <si>
    <t>https://www.victoriassecret.com/sale/bras-special/front-close-perfect-coverage-bra-cotton-lingerie?ProductID=227373&amp;CatalogueType=OLS</t>
  </si>
  <si>
    <t>LL-331-061 </t>
  </si>
  <si>
    <t>Black Braided Back (093)</t>
  </si>
  <si>
    <t>LeeLoominai</t>
  </si>
  <si>
    <t>https://www.victoriassecret.com/panties/5-for-27-styles/lace-trim-cheekster-panty-pink?ProductID=213922&amp;CatalogueType=OLS</t>
  </si>
  <si>
    <t>LL-327-638 </t>
  </si>
  <si>
    <t>https://www.victoriassecret.com/panties/5-for-27-styles/geo-lace-cheekster-panty-pink?ProductID=226003&amp;CatalogueType=OLS</t>
  </si>
  <si>
    <t>LL-333-690 </t>
  </si>
  <si>
    <t>https://www.victoriassecret.com/panties/5-for-27-styles/ruched-back-hiphugger-panty-cotton-lingerie?ProductID=231891&amp;CatalogueType=OLS</t>
  </si>
  <si>
    <t>LL-313-873</t>
  </si>
  <si>
    <t>Black Heart Back Lace (093)</t>
  </si>
  <si>
    <t>LL-304-353 </t>
  </si>
  <si>
    <t>LL-304-353</t>
  </si>
  <si>
    <t>https://www.victoriassecret.com/catalogue/knockout-by-victoria39s-secret-tight-with-short-victorias-secret-sport?ProductID=224318&amp;CatalogueType=OLS&amp;cqo=true&amp;cqoCat=KY</t>
  </si>
  <si>
    <t>KY-326-128</t>
  </si>
  <si>
    <t>Black/Black Orchid Dash Marl (6R2)</t>
  </si>
  <si>
    <t>https://www.victoriassecret.com/clearance/swim/low-rise-bottom-very-sexy?ProductID=187974&amp;CatalogueType=OLS</t>
  </si>
  <si>
    <t>LT-320-152</t>
  </si>
  <si>
    <t>https://www.victoriassecret.com/sale/swim/ruched-hipkini-beach-sexy?ProductID=222657&amp;CatalogueType=OLS</t>
  </si>
  <si>
    <t>JH-325-998</t>
  </si>
  <si>
    <t>White Paisley (4SX)</t>
  </si>
  <si>
    <t>https://www.victoriassecret.com/clearance/bras/cutout-back-push-up-bra-very-sexy?ProductID=220688&amp;CatalogueType=OLS</t>
  </si>
  <si>
    <t>LT-324-510</t>
  </si>
  <si>
    <t>Black (48s)</t>
  </si>
  <si>
    <t>https://www.victoriassecret.com/clearance/bras/perfect-lace-strapless-bra-pink?ProductID=193602&amp;CatalogueType=OLS</t>
  </si>
  <si>
    <t>LT-319-530</t>
  </si>
  <si>
    <t xml:space="preserve">32A </t>
  </si>
  <si>
    <t>ВЫКУПЛЕНО 12 МАРТА</t>
  </si>
  <si>
    <t>https://www.victoriassecret.com//panties/hiphuggers/geo-lace-trim-hipster-panty-pink?ProductID=122539&amp;CatalogueType=OLS&amp;search=true</t>
  </si>
  <si>
    <t>LL-325-756</t>
  </si>
  <si>
    <t>https://www.victoriassecret.com/panties/5-for-27-styles/itsy-panty-cotton-lingerie?ProductID=227317&amp;CatalogueType=OLS</t>
  </si>
  <si>
    <t>LL-323-429</t>
  </si>
  <si>
    <t>https://www.victoriassecret.com/victorias-secret-sport/tights-pants/supermodel-pant-victorias-secret-sport?ProductID=229560&amp;CatalogueType=OLS</t>
  </si>
  <si>
    <t>LL-322-305</t>
  </si>
  <si>
    <t>Order Date: 03/20/2015</t>
  </si>
  <si>
    <t>Ольга 570</t>
  </si>
  <si>
    <t>https://www.victoriassecret.com/beauty/all-makeup/shiny-kiss-flavored-gloss-beauty-rush?ProductID=228348&amp;CatalogueType=OLS</t>
  </si>
  <si>
    <t>LL-312-885</t>
  </si>
  <si>
    <t>Sugar High (LK3)</t>
  </si>
  <si>
    <t>Mocktail Hour (L43)</t>
  </si>
  <si>
    <t>Haute Cocoa (D70)</t>
  </si>
  <si>
    <t>Candy Baby (06G)</t>
  </si>
  <si>
    <t>https://www.victoriassecret.com/beauty/all-makeup/soothing-lip-balm-beauty-rush?ProductID=235259&amp;CatalogueType=OLS</t>
  </si>
  <si>
    <t>LM-331-922</t>
  </si>
  <si>
    <t>Tinted (38E)</t>
  </si>
  <si>
    <t>https://www.victoriassecret.com/beauty/makeup-specials/shiny-kiss-flavored-gloss-beauty-rush?ProductID=182630&amp;CatalogueType=OLS</t>
  </si>
  <si>
    <t>LM-312-885</t>
  </si>
  <si>
    <t>Taffy Go Lucky (048)</t>
  </si>
  <si>
    <t>ludmilka17</t>
  </si>
  <si>
    <t>Citrus Kissed (2BE)</t>
  </si>
  <si>
    <t>https://www.victoriassecret.com/beauty/all-makeup/color-shine-gloss-beauty-rush?ProductID=234689&amp;CatalogueType=OLS</t>
  </si>
  <si>
    <t>LM-318-814 </t>
  </si>
  <si>
    <t>Peek-A-Boo (997)</t>
  </si>
  <si>
    <t>https://www.victoriassecret.com/beauty/all-makeup/shiny-kiss-flavored-gloss-beauty-rush?ProductID=228350&amp;CatalogueType=OLS</t>
  </si>
  <si>
    <t>Razzberry Ice (J15)</t>
  </si>
  <si>
    <t>https://www.victoriassecret.com/beauty/all-makeup/lip-plumper-beauty-rush?ProductID=235266&amp;CatalogueType=OLS</t>
  </si>
  <si>
    <t>LM-331-933</t>
  </si>
  <si>
    <t>Clear/Pink (250)</t>
  </si>
  <si>
    <t>Estimated Ship: March 25</t>
  </si>
  <si>
    <t>https://www.victoriassecret.com/swimwear/shop-by-size/the-fringe-itsy-beach-sexy?ProductID=220505&amp;CatalogueType=OLS</t>
  </si>
  <si>
    <t xml:space="preserve">LM-329-680 </t>
  </si>
  <si>
    <t>https://www.victoriassecret.com/sleepwear/pajamas/tank-pajama-set-signature-cotton?ProductID=229287&amp;CatalogueType=OLS</t>
  </si>
  <si>
    <t>LM-332-038</t>
  </si>
  <si>
    <t>Jet Stream Blue Angel (K94)</t>
  </si>
  <si>
    <t>sashulya.m</t>
  </si>
  <si>
    <t>https://www.victoriassecret.com/swimwear/shop-by-size/the-fabulous-top-beach-sexy?ProductID=235513&amp;CatalogueType=OLS</t>
  </si>
  <si>
    <t>LM-333-334</t>
  </si>
  <si>
    <t>34D</t>
  </si>
  <si>
    <t>Black (7KV)</t>
  </si>
  <si>
    <t>LM-324-651</t>
  </si>
  <si>
    <t>Estimated Ship: April 3</t>
  </si>
  <si>
    <t>https://www.victoriassecret.com/panties/5-for-27-styles/lace-trim-meshcheekster-panty-pink?ProductID=229795&amp;CatalogueType=OLS</t>
  </si>
  <si>
    <t>LM-330-410</t>
  </si>
  <si>
    <t>Blue Blaze (J98)</t>
  </si>
  <si>
    <t>https://www.victoriassecret.com/panties/5-for-27-styles/lace-waist-cheekini-panty-cotton-lingerie?ProductID=237629&amp;CatalogueType=OLS</t>
  </si>
  <si>
    <t>LM-323-326</t>
  </si>
  <si>
    <t>Pirouette Pink Dot Mesh (048)</t>
  </si>
  <si>
    <t>@lisa</t>
  </si>
  <si>
    <t>https://www.victoriassecret.com/panties/5-for-27-styles/bikini-panty-cotton-lingerie?ProductID=227815&amp;CatalogueType=OLS</t>
  </si>
  <si>
    <t>LM-315-136</t>
  </si>
  <si>
    <t>Angel Graphic (3V3)</t>
  </si>
  <si>
    <t>https://www.victoriassecret.com/panties/5-for-27-styles/curved-hem-hipster-panty-pink?ProductID=225140&amp;CatalogueType=OLS</t>
  </si>
  <si>
    <t>LM-327-639 </t>
  </si>
  <si>
    <t>Grey And Lemon (BW8)</t>
  </si>
  <si>
    <t>https://www.victoriassecret.com/panties/5-for-27-styles/seamless-bikini-panty-pink?ProductID=229798&amp;CatalogueType=OLS</t>
  </si>
  <si>
    <t>LM-321-903</t>
  </si>
  <si>
    <t>Blue Tie Dye (65N)</t>
  </si>
  <si>
    <t>https://www.victoriassecret.com/panties/5-for-27-styles/strappy-v-string-panty-pink?ProductID=209187&amp;CatalogueType=OLS</t>
  </si>
  <si>
    <t>LM-328-664</t>
  </si>
  <si>
    <t>LM-327-638</t>
  </si>
  <si>
    <t>https://www.victoriassecret.com/panties/5-for-27-styles/lace-trim-hipster-panty-pink?ProductID=225152&amp;CatalogueType=OLS</t>
  </si>
  <si>
    <t>LM-327-640</t>
  </si>
  <si>
    <t>Mistletoe Green (2GE)</t>
  </si>
  <si>
    <t>LM-325-756</t>
  </si>
  <si>
    <t>Deep Turquoise (48R)</t>
  </si>
  <si>
    <t>Bahama Blue Dot Mesh (2VV)</t>
  </si>
  <si>
    <t>Limeade Dot Mesh (26N)</t>
  </si>
  <si>
    <t>olgakmr</t>
  </si>
  <si>
    <t>https://www.victoriassecret.com/panties/5-for-27-styles/lace-thong-panty-pink?ProductID=229804&amp;CatalogueType=OLS</t>
  </si>
  <si>
    <t>LM-332-325 </t>
  </si>
  <si>
    <t>Firecracker Red (L74)</t>
  </si>
  <si>
    <t>https://www.victoriassecret.com/panties/5-for-27-styles/itsy-panty-cotton-lingerie?ProductID=237799&amp;CatalogueType=OLS</t>
  </si>
  <si>
    <t>LM-326-924</t>
  </si>
  <si>
    <t>Hot And Spicy (S48)</t>
  </si>
  <si>
    <t>sde_eds</t>
  </si>
  <si>
    <t>https://www.victoriassecret.com/panties/5-for-27-styles/lace-waist-thong-panty-cotton-lingerie?ProductID=227342&amp;CatalogueType=OLS</t>
  </si>
  <si>
    <t>LM-313-901</t>
  </si>
  <si>
    <t>Order Date: 03/23/2015</t>
  </si>
  <si>
    <t>https://www.victoriassecret.com/bras/t-shirt-bra/perfect-shape-bra-the-t-shirt?ProductID=236888&amp;CatalogueType=OLS</t>
  </si>
  <si>
    <t>LM-333-346</t>
  </si>
  <si>
    <t>Watermelon Punch Stripe (AD4)</t>
  </si>
  <si>
    <t>https://www.victoriassecret.com/panties/5-for-27-styles/low-rise-bikini-panty-cotton-lingerie?ProductID=231878&amp;CatalogueType=OLS</t>
  </si>
  <si>
    <t>LM-313-899</t>
  </si>
  <si>
    <t>Palm Beach (3J7)</t>
  </si>
  <si>
    <t>https://www.victoriassecret.com/panties/5-for-27-styles/lace-waist-bikini-panty-cotton-lingerie?ProductID=227324&amp;CatalogueType=OLS</t>
  </si>
  <si>
    <t>LM-313-900 </t>
  </si>
  <si>
    <t>https://www.victoriassecret.com/panties/5-for-27-styles/lace-waist-cheeky-panty-cotton-lingerie?ProductID=237643&amp;CatalogueType=OLS</t>
  </si>
  <si>
    <t>LM-333-402</t>
  </si>
  <si>
    <t>Hot And Spicy Dot Lace (S48)</t>
  </si>
  <si>
    <t>Oksana_Val</t>
  </si>
  <si>
    <t>https://www.victoriassecret.com/sale/panties-special/lace-waist-cheeky-panty-cotton-lingerie?ProductID=228002&amp;CatalogueType=OLS</t>
  </si>
  <si>
    <t>LM-304-353</t>
  </si>
  <si>
    <t>Hot Tropics (847)</t>
  </si>
  <si>
    <t>Something About Polly (3XF)</t>
  </si>
  <si>
    <t>Pink Iconic Stripe (3UZ)</t>
  </si>
  <si>
    <t>Grey And Lemon (Y95)</t>
  </si>
  <si>
    <t>https://www.victoriassecret.com/panties/5-for-27-styles/hiphugger-panty-cotton-lingerie?ProductID=230930&amp;CatalogueType=OLS</t>
  </si>
  <si>
    <t>LM-313-838</t>
  </si>
  <si>
    <t>Solar Stripe (3V5)</t>
  </si>
  <si>
    <t>https://www.victoriassecret.com/panties/5-for-27-styles/low-rise-bloomer-panty-cotton-lingerie?ProductID=238029&amp;CatalogueType=OLS</t>
  </si>
  <si>
    <t>LM-323-778 </t>
  </si>
  <si>
    <t>Pineapples Print (G28)</t>
  </si>
  <si>
    <t>https://www.victoriassecret.com/panties/5-for-27-styles/lace-waist-brief-panty-cotton-lingerie?ProductID=237516&amp;CatalogueType=OLS</t>
  </si>
  <si>
    <t>LM-313-902 </t>
  </si>
  <si>
    <t>Grey Stripe (3SB)</t>
  </si>
  <si>
    <t>https://www.victoriassecret.com/clothing/all-tops-c/the-essential-bra-top-cami?ProductID=33437&amp;CatalogueType=OLS</t>
  </si>
  <si>
    <t>LM-257-222</t>
  </si>
  <si>
    <t>Reef Waters (74S)</t>
  </si>
  <si>
    <t>флинстоны</t>
  </si>
  <si>
    <t>LL-256-943 </t>
  </si>
  <si>
    <t>True Navy (69T)</t>
  </si>
  <si>
    <t>https://www.victoriassecret.com/bras/buy-more-and-save-bras/perfect-coverage-bra-sexy-tee?ProductID=237205&amp;CatalogueType=OLS</t>
  </si>
  <si>
    <t>LM-301-415</t>
  </si>
  <si>
    <t>32DD</t>
  </si>
  <si>
    <t>Seychelles Blue (2AV)</t>
  </si>
  <si>
    <t>https://www.victoriassecret.com/panties/5-for-27-styles/curved-hem-hipster-panty-pink?ProductID=221255&amp;CatalogueType=OLS</t>
  </si>
  <si>
    <t>LM-327-639</t>
  </si>
  <si>
    <t>Peach Aloha (S59)</t>
  </si>
  <si>
    <t>Blue Multi Tie Dye (2CN)</t>
  </si>
  <si>
    <t>https://www.victoriassecret.com/panties/5-for-27-styles/all-over-geo-lace-thong-panty-pink?ProductID=232203&amp;CatalogueType=OLS</t>
  </si>
  <si>
    <t>LM-333-691</t>
  </si>
  <si>
    <t>Mint (5UU)</t>
  </si>
  <si>
    <t>Ksuhaa</t>
  </si>
  <si>
    <t>https://www.victoriassecret.com/sale/panties-special/lace-trim-mesh-cheekster-panty-pink?ProductID=229795&amp;CatalogueType=OLS</t>
  </si>
  <si>
    <t>LM-330-410 </t>
  </si>
  <si>
    <t>Kiss_yul</t>
  </si>
  <si>
    <t>LM-333-690</t>
  </si>
  <si>
    <t>Mint With Green (BL1)</t>
  </si>
  <si>
    <t>https://www.victoriassecret.com/panties/5-for-27-styles/lace-waist-bikini-panty-cotton-lingerie?ProductID=227324&amp;CatalogueType=OLS,LM-313-900</t>
  </si>
  <si>
    <t>LM-313-900</t>
  </si>
  <si>
    <t>Swell Leopard Print (3TZ)</t>
  </si>
  <si>
    <t>https://www.victoriassecret.com/panties/5-for-27-styles/lace-waist-cheeky-panty-cotton-lingerie?ProductID=237643&amp;CatalogueType=OLS,LM-304-353,</t>
  </si>
  <si>
    <t>Ffa4</t>
  </si>
  <si>
    <t>https://www.victoriassecret.com/panties/5-for-27-styles/thong-panty-allover-lace-from-cotton-lingerie?ProductID=237601&amp;CatalogueType=OLS</t>
  </si>
  <si>
    <t>LM-313-836</t>
  </si>
  <si>
    <t>Limeade (26N)</t>
  </si>
  <si>
    <t>https://www.victoriassecret.com/panties/5-for-27-styles/the-date-no-show-thong-panty-pink?ProductID=229055&amp;CatalogueType=OLS,</t>
  </si>
  <si>
    <t>LM-332-255</t>
  </si>
  <si>
    <t>Pink (5PH)</t>
  </si>
  <si>
    <t>https://www.victoriassecret.com/panties/5-for-27-styles/lace-waist-cheeky-panty-cotton-lingerie?ProductID=228002&amp;CatalogueType=OLS,</t>
  </si>
  <si>
    <t>Hot And Spicy Zig Zag (39J)</t>
  </si>
  <si>
    <t>https://www.victoriassecret.com/panties/5-for-27-styles/lace-waist-hiphugger-panty-cotton-lingerie?ProductID=227332&amp;CatalogueType=OLS</t>
  </si>
  <si>
    <t>LM-329-770</t>
  </si>
  <si>
    <t>LM-307-167</t>
  </si>
  <si>
    <t>Wild Thing (3ZA)</t>
  </si>
  <si>
    <t>https://www.victoriassecret.com/panties/5-for-27-styles/bikini-panty-allover-lace-from-cotton-lingerie?ProductID=237609&amp;CatalogueType=OLS</t>
  </si>
  <si>
    <t>LM-313-831</t>
  </si>
  <si>
    <t>Boho Hot Tropics (3XT)</t>
  </si>
  <si>
    <t>ВЫКУПЛЕНО 20 МАРТА</t>
  </si>
  <si>
    <t>ВЫКУПЛЕНО 23 МАРТА</t>
  </si>
  <si>
    <t>Estimated Ship: March 29</t>
  </si>
  <si>
    <t>Estimated Ship: May 31</t>
  </si>
  <si>
    <t>Estimated Ship: March 22</t>
  </si>
  <si>
    <t>Order Date: 03/28/2015</t>
  </si>
  <si>
    <t>https://www.victoriassecret.com/sale/vs-fantasies-bodycare-special/strawberries-champagne-daily-body-wash-vs-fantasies?ProductID=154926&amp;CatalogueType=OLS</t>
  </si>
  <si>
    <t>LM-317-835</t>
  </si>
  <si>
    <t>Strawberries And Champagne (797)</t>
  </si>
  <si>
    <t>https://www.victoriassecret.com/sale/vs-fantasies-bodycare-special/strawberries-champagne-hydrating-body-lotion-vs-fantasies?ProductID=154869&amp;CatalogueType=OLS</t>
  </si>
  <si>
    <t>LM-317-776</t>
  </si>
  <si>
    <t>DelphY</t>
  </si>
  <si>
    <t>https://www.victoriassecret.com/sale/vs-fantasies-bodycare-special/love-spell-ultra-moisturizing-hand-and-body-cream-vs-fantasies?ProductID=166487&amp;CatalogueType=OLS</t>
  </si>
  <si>
    <t>LM-320-371</t>
  </si>
  <si>
    <t>https://www.victoriassecret.com/sale/vs-fantasies-bodycare-special/strawberries-champagne-ultra-moisturizing-hand-and-body-cream-vs-fantasies?ProductID=154895&amp;CatalogueType=OLS</t>
  </si>
  <si>
    <t>LM-317-796</t>
  </si>
  <si>
    <t>https://www.victoriassecret.com/sale/vs-fantasies-bodycare-special/aqua-kiss-ultra-moisturizing-hand-and-body-cream-vs-fantasies?ProductID=154889&amp;CatalogueType=OLS</t>
  </si>
  <si>
    <t>LM-317-799</t>
  </si>
  <si>
    <t>Estimated Ship: Jun 3</t>
  </si>
  <si>
    <t>https://www.victoriassecret.com/sale/vs-fantasies-bodycare-special/sunrise-hydrating-body-lotion-vs-fantasies?ProductID=236968&amp;CatalogueType=OLS</t>
  </si>
  <si>
    <t>LM-340-271 </t>
  </si>
  <si>
    <t>Sunrise (4B6)</t>
  </si>
  <si>
    <t>https://www.victoriassecret.com/bras/push-up/push-up-bra-very-sexy?ProductID=237966&amp;CatalogueType=OLS</t>
  </si>
  <si>
    <t>LM-332-165</t>
  </si>
  <si>
    <t>Black Lace Up (372)</t>
  </si>
  <si>
    <t>https://www.victoriassecret.com/sale/bottoms/the-most-loved-yoga-legging?ProductID=234619&amp;CatalogueType=OLS</t>
  </si>
  <si>
    <t>LM-337-512</t>
  </si>
  <si>
    <t>S.L</t>
  </si>
  <si>
    <t>Snow Heather/Neon Nectar Graphic (7D5)</t>
  </si>
  <si>
    <t>https://www.victoriassecret.com/beauty/vs-fantasies-bodycare-specials/love-spell-smoothing-body-scrub-vs-fantasies?ProductID=166546&amp;CatalogueType=OLS</t>
  </si>
  <si>
    <t>LM-320-383</t>
  </si>
  <si>
    <t>Estimated Ship: April 23</t>
  </si>
  <si>
    <t>https://www.victoriassecret.com/beauty/vs-fantasies-bodycare-specials/pure-seduction-body-smoothing-body-scrub-vs-fantasies?ProductID=166545&amp;CatalogueType=OLS</t>
  </si>
  <si>
    <t>LM-320-384</t>
  </si>
  <si>
    <t>https://www.victoriassecret.com/beauty/vs-fantasies-bodycare-specials/love-addict-smoothing-body-scrub-vs-fantasies?ProductID=225400&amp;CatalogueType=OLS</t>
  </si>
  <si>
    <t>LM-335-619</t>
  </si>
  <si>
    <t>https://www.victoriassecret.com/beauty/pink-body-care-specials/coconut-oil-nourishing-shower-gel-pink?ProductID=235328&amp;CatalogueType=OLS</t>
  </si>
  <si>
    <t>LM-332-438</t>
  </si>
  <si>
    <t>Coconut Oil (21G)</t>
  </si>
  <si>
    <t>https://www.victoriassecret.com/beauty/pink-body-care-specials/total-flirt-2-in-1-wash-scrub-pink?ProductID=170144&amp;CatalogueType=OLS</t>
  </si>
  <si>
    <t>LM-321-150</t>
  </si>
  <si>
    <t>Total Flirt (22U)</t>
  </si>
  <si>
    <t>https://www.victoriassecret.com/beauty/pink-body-care-specials/sweet-flirty-body-2-in-1-wash-scrub-pink?ProductID=170132&amp;CatalogueType=OLS</t>
  </si>
  <si>
    <t>LM-321-147</t>
  </si>
  <si>
    <t>Sweet And Flirty (M59)</t>
  </si>
  <si>
    <t>margarita3434</t>
  </si>
  <si>
    <t>https://www.victoriassecret.com/beauty/pink-body-care-specials/total-flirt-luminous-body-butter-pink?ProductID=170154&amp;CatalogueType=OLS</t>
  </si>
  <si>
    <t>LM-321-161 </t>
  </si>
  <si>
    <t>mitsuoke</t>
  </si>
  <si>
    <t>https://www.victoriassecret.com/panties/5-for-27-styles/thong-panty-allover-lace-from-cotton-lingerie?ProductID=227304&amp;CatalogueType=OLS</t>
  </si>
  <si>
    <t>Nude (608)</t>
  </si>
  <si>
    <t>Jet Stream (K94)</t>
  </si>
  <si>
    <t>https://www.victoriassecret.com/sale/bras-special/demi-bra-cotton-lingerie?ProductID=228634&amp;CatalogueType=OLS</t>
  </si>
  <si>
    <t>LM-340-755</t>
  </si>
  <si>
    <t>Heather Grey Mesh (3T8)</t>
  </si>
  <si>
    <t>https://www.victoriassecret.com/panties/5-for-27-styles/heart-lace-ruched-back-hiphugger-panty-cotton-lingerie?ProductID=240619&amp;CatalogueType=OLS</t>
  </si>
  <si>
    <t>LM-313-873</t>
  </si>
  <si>
    <t>https://www.victoriassecret.com/sale/tops-and-tees/oversized-tunic-fleece?ProductID=233883&amp;CatalogueType=OLS</t>
  </si>
  <si>
    <t>LM-337-352</t>
  </si>
  <si>
    <t>Snow Heather/Beach Repeat (7CJ)</t>
  </si>
  <si>
    <t>ВЫКУПЛЕНО 28 МАРТА</t>
  </si>
  <si>
    <t>Order Date: 03/31/2015</t>
  </si>
  <si>
    <t>https://www.victoriassecret.com//sale/beauty/color-shine-gloss-beauty-rush?ProductID=199353&amp;CatalogueType=OLS&amp;search=true</t>
  </si>
  <si>
    <t>LM-318-814</t>
  </si>
  <si>
    <t>Polinna</t>
  </si>
  <si>
    <t>LM-330-055</t>
  </si>
  <si>
    <t>Illusion Blue Double Strap (3KW)</t>
  </si>
  <si>
    <t>Estimated Ship: April 4</t>
  </si>
  <si>
    <t>Leksandra</t>
  </si>
  <si>
    <t>LM-312-553</t>
  </si>
  <si>
    <t>XL</t>
  </si>
  <si>
    <t>LM-293-506</t>
  </si>
  <si>
    <t>Escape Stripe (7DX)</t>
  </si>
  <si>
    <t>LM-324-929</t>
  </si>
  <si>
    <t>kustik</t>
  </si>
  <si>
    <t>https://www.victoriassecret.com/clearance/shoesandaccessories/pocket-tote-victorias-secret?ProductID=233062&amp;CatalogueType=OLS</t>
  </si>
  <si>
    <t>LV-322-466</t>
  </si>
  <si>
    <t>Multi (099)</t>
  </si>
  <si>
    <t>Order Date: 04/01/2015</t>
  </si>
  <si>
    <t>https://www.victoriassecret.com/victorias-secret-sport/sports-bras/angel-by-victorias-secret-long-line-sport-bra-victorias-secret-sport?ProductID=235676&amp;CatalogueType=OLS&amp;swatchImage=5SG</t>
  </si>
  <si>
    <t>LM-333-932</t>
  </si>
  <si>
    <t>Grey Palm (5SG)</t>
  </si>
  <si>
    <t>Rasha</t>
  </si>
  <si>
    <t>https://www.victoriassecret.com/swimwear/bikini-bottoms/ruchedmini-bikini-bottom-pink?ProductID=237589&amp;CatalogueType=OLS</t>
  </si>
  <si>
    <t>LM-303-332</t>
  </si>
  <si>
    <t>Black (405)</t>
  </si>
  <si>
    <t>https://www.victoriassecret.com/sale/pink-wear-everywhere/wear-everywhere-lightly-lined-bra-pink?ProductID=236629&amp;CatalogueType=OLS</t>
  </si>
  <si>
    <t>LM-282-109</t>
  </si>
  <si>
    <t>Heather Grey (166)</t>
  </si>
  <si>
    <t>https://www.victoriassecret.com/swimwear/hipster/the-knockout-bikini-beach-sexy?ProductID=210305&amp;CatalogueType=OLS</t>
  </si>
  <si>
    <t>LM-293-957</t>
  </si>
  <si>
    <t>Rich Grape (5ZF)</t>
  </si>
  <si>
    <t>https://www.victoriassecret.com/swimwear/bandeau/the-knockout-bandeau-very-sexy?ProductID=236426&amp;CatalogueType=OLS</t>
  </si>
  <si>
    <t>LM-292-940 </t>
  </si>
  <si>
    <t>https://www.victoriassecret.com/bras/shop-all-bras/lace-trim-cheekini-panty-dream-angels?ProductID=233482&amp;CatalogueType=OLS</t>
  </si>
  <si>
    <t>LM-325-291</t>
  </si>
  <si>
    <t>Illusion Blue (49T)</t>
  </si>
  <si>
    <t>https://www.victoriassecret.com/bras/shop-all-bras/lace-trim-thong-panty-dream-angels?ProductID=225585&amp;CatalogueType=OLS</t>
  </si>
  <si>
    <t>LM-325-298</t>
  </si>
  <si>
    <t>katya7</t>
  </si>
  <si>
    <t>https://www.victoriassecret.com/bras/2-for-42-victorias-secret-pink/wear-everywhere-push-up-bra-pink?ProductID=236626&amp;CatalogueType=OLS</t>
  </si>
  <si>
    <t>LM-336-862</t>
  </si>
  <si>
    <t>Indigo Print (GE0)</t>
  </si>
  <si>
    <t>https://www.victoriassecret.com/bras/2-for-42-victorias-secret-pink/wear-everywhere-t-back-push-up-bra-pink?ProductID=208668&amp;CatalogueType=OLS</t>
  </si>
  <si>
    <t>LM-303-388</t>
  </si>
  <si>
    <t>https://www.victoriassecret.com/sale/panties-special/no-show-cheekster-panty-pink?ProductID=193077&amp;CatalogueType=OLS</t>
  </si>
  <si>
    <t>LM-322-443</t>
  </si>
  <si>
    <t>Naked Marled (LD8)</t>
  </si>
  <si>
    <t>Estimated Ship: April 13</t>
  </si>
  <si>
    <t>https://www.victoriassecret.com/sale/panties-special/string-bikini-panty-cotton-lingerie?ProductID=227848&amp;CatalogueType=OLS</t>
  </si>
  <si>
    <t>LM-313-897</t>
  </si>
  <si>
    <t>White Print (123)</t>
  </si>
  <si>
    <t>Buff (L91)</t>
  </si>
  <si>
    <t>https://www.victoriassecret.com/panties/5-for-27-styles/lace-trim-cheekster-panty-pink?ProductID=229802&amp;CatalogueType=OLS</t>
  </si>
  <si>
    <t>LM-327-638 </t>
  </si>
  <si>
    <t>VeryVera</t>
  </si>
  <si>
    <t>https://www.victoriassecret.com/clearance/swim/the-forever-lowrise-forever-sexy?ProductID=234769&amp;CatalogueType=OLS&amp;swatchImage=V41696</t>
  </si>
  <si>
    <t>LV-331-164</t>
  </si>
  <si>
    <t>https://www.victoriassecret.com/clearance/swim/strappy-string-bottom-very-sexy?ProductID=209146&amp;CatalogueType=OLS</t>
  </si>
  <si>
    <t>LV-306-558 </t>
  </si>
  <si>
    <t>Blue Geo Stripe (5ZA)</t>
  </si>
  <si>
    <t>https://www.victoriassecret.com/clearance/swim/convertible-halter-top-forever-sexy?ProductID=181758&amp;CatalogueType=OLS&amp;swatchImage=V396387</t>
  </si>
  <si>
    <t>LV-316-636</t>
  </si>
  <si>
    <t>ВЫКУПЛЕНО 31 МАРТА</t>
  </si>
  <si>
    <t>ВЫКУПЛЕНО 1 АПРЕЛЯ</t>
  </si>
  <si>
    <t>Order Date: 04/09/2015</t>
  </si>
  <si>
    <t>Тишина</t>
  </si>
  <si>
    <t>https://www.victoriassecret.com/clothing/yoga-pants-leggings/the-most-loved-yoga-pant?ProductID=224574&amp;CatalogueType=OLS</t>
  </si>
  <si>
    <t>LM-290-289</t>
  </si>
  <si>
    <t>Heather Charcoal/Front Pink Wings (7C7)</t>
  </si>
  <si>
    <t>terrii</t>
  </si>
  <si>
    <t>https://www.victoriassecret.com/sale/yoga-pants-and-leggings/the-most-loved-yoga-pant?ProductID=228499&amp;CatalogueType=OLS</t>
  </si>
  <si>
    <t>https://www.victoriassecret.com/sale/swim/crisscross-triangle-top-beach-sexy?ProductID=204681&amp;CatalogueType=OLS</t>
  </si>
  <si>
    <t>LM-313-279 </t>
  </si>
  <si>
    <t>Berry Gelato (4SM)</t>
  </si>
  <si>
    <t xml:space="preserve">Вечно влюблённая </t>
  </si>
  <si>
    <t>https://www.victoriassecret.com/beauty/vs-fantasies-bodycare-specials/coconut-passion-ultra-moisturizing-hand-and-body-cream-vs-fantasies?ProductID=154884&amp;CatalogueType=OLS</t>
  </si>
  <si>
    <t>LM-317-793</t>
  </si>
  <si>
    <t>Coconut Passion (34G)</t>
  </si>
  <si>
    <t>https://www.victoriassecret.com/sale/vs-fantasies-bodycare-special/aqua-kiss-hydrating-body-lotion-vs-fantasies?ProductID=154872&amp;CatalogueType=OLS</t>
  </si>
  <si>
    <t>LM-317-779</t>
  </si>
  <si>
    <t>Estimated Ship: Jun 11</t>
  </si>
  <si>
    <t>https://www.victoriassecret.com/sale/vs-fantasies-bodycare-special/secret-charm-ultra-moisturizing-hand-and-body-cream-vs-fantasies?ProductID=154886&amp;CatalogueType=OLS</t>
  </si>
  <si>
    <t>LM-317-790</t>
  </si>
  <si>
    <t>https://www.victoriassecret.com/beauty/vs-fantasies-bodycare-specials/love-addict-cleansing-shower-and-bath-oil-vs-fantasies?ProductID=225089&amp;CatalogueType=OLS</t>
  </si>
  <si>
    <t>LM-335-621 </t>
  </si>
  <si>
    <t>https://www.victoriassecret.com/beauty/vs-fantasies-bodycare-specials/pure-seduction-daily-body-wash-vs-fantasies?ProductID=166494&amp;CatalogueType=OLS</t>
  </si>
  <si>
    <t>LM-320-378</t>
  </si>
  <si>
    <t>https://www.victoriassecret.com/beauty/vs-fantasies-bodycare-specials/pure-seduction-deep-softening-body-butter-vs-fantasies?ProductID=166527&amp;CatalogueType=OLS</t>
  </si>
  <si>
    <t>LM-320-381</t>
  </si>
  <si>
    <t>Вечно влюблённая</t>
  </si>
  <si>
    <t>https://www.victoriassecret.com/sale/vs-fantasies-bodycare-special/coconut-passion-daily-body-wash-vs-fantasies?ProductID=154927&amp;CatalogueType=OLS</t>
  </si>
  <si>
    <t>LM-317-833</t>
  </si>
  <si>
    <t>https://www.victoriassecret.com/sale/vs-fantasies-bodycare-special/amber-romance-deep-softening-body-butter-vs-fantasies?ProductID=154943&amp;CatalogueType=OLS</t>
  </si>
  <si>
    <t>LM-317-843</t>
  </si>
  <si>
    <t>Estimated Ship: Apr 16</t>
  </si>
  <si>
    <t>LM-335-618</t>
  </si>
  <si>
    <t>LM-317-848</t>
  </si>
  <si>
    <t>https://www.victoriassecret.com/sale/beauty/glossy-tint-lip-sheen-beauty-rush?ProductID=165145&amp;CatalogueType=OLS</t>
  </si>
  <si>
    <t>LM-312-896</t>
  </si>
  <si>
    <t>Boudoir Pink (A10)</t>
  </si>
  <si>
    <t>LC-320-380</t>
  </si>
  <si>
    <t>Escape (3c3)</t>
  </si>
  <si>
    <t>Surfside (49m)</t>
  </si>
  <si>
    <t>Paradise (g93)</t>
  </si>
  <si>
    <t>Sunrise (4b6)</t>
  </si>
  <si>
    <t>Miss_mikki</t>
  </si>
  <si>
    <t>https://www.victoriassecret.com/pink/shop-swim/strappy-side-mini-bikini-bottom-pink?ProductID=237784&amp;CatalogueType=OLS</t>
  </si>
  <si>
    <t>LM-327-825</t>
  </si>
  <si>
    <t>Under The Sea (S81)</t>
  </si>
  <si>
    <t>https://www.victoriassecret.com/beauty/gift-sets/summer-2015-flavored-gloss-set-beauty-rush?ProductID=235256&amp;CatalogueType=OLS</t>
  </si>
  <si>
    <t>LM-331-888</t>
  </si>
  <si>
    <t>https://www.victoriassecret.com/panties/4-for-29-styles/seamless-little-cheekini-panty-body-by-victoria?ProductID=226315&amp;CatalogueType=OLS</t>
  </si>
  <si>
    <t>LM-327-293 </t>
  </si>
  <si>
    <t>Ruby Wine Lace Inset (GG2)</t>
  </si>
  <si>
    <t>LM-309-370</t>
  </si>
  <si>
    <t>Pale Plum Lace (K90)</t>
  </si>
  <si>
    <t>https://www.victoriassecret.com//panties/shop-all-panties-mobile/low-rise-cheekini-panty-the-lacie?ProductID=228142&amp;CatalogueType=OLS&amp;search=true</t>
  </si>
  <si>
    <t>Cool Aussie Sky (2P9)</t>
  </si>
  <si>
    <t>https://www.victoriassecret.com/clearance/bras/add-2-cups-push-up-bra-bombshell?ProductID=120934&amp;CatalogueType=OLS</t>
  </si>
  <si>
    <t>LV-301-527</t>
  </si>
  <si>
    <t>Winterberry Embellished (P86)</t>
  </si>
  <si>
    <t>Schnurok</t>
  </si>
  <si>
    <t>https://www.victoriassecret.com/catalogue/catalogue/the-player-by-victoriarsquos-secret-racerback-sport-bra-victorias-secret-sport?ProductID=219180&amp;CatalogueType=OLS&amp;cqo=true&amp;cqoCat=KV</t>
  </si>
  <si>
    <t>KV-306-187</t>
  </si>
  <si>
    <t>Black/White Linear (4H7)</t>
  </si>
  <si>
    <t>DMarinaV</t>
  </si>
  <si>
    <t>https://www.victoriassecret.com/clearance/panties/hiphugger-panty-the-lacie?ProductID=158965&amp;CatalogueType=OLS</t>
  </si>
  <si>
    <t>LV-312-717 </t>
  </si>
  <si>
    <t>ВЫКУПЛЕНО 9 АПРЕЛЯ</t>
  </si>
  <si>
    <t>https://www.victoriassecret.com/sale/yoga-pants-and-leggings/the-most-loved-yoga-legging?ProductID=224602&amp;CatalogueType=OLS</t>
  </si>
  <si>
    <t>https://www.victoriassecret.com/clothing/shop-all/side-tie-tank-vintage-tees?ProductID=218836&amp;CatalogueType=OLS</t>
  </si>
  <si>
    <t>aviation</t>
  </si>
  <si>
    <t>https://www.victoriassecret.com/sale/panties/hiphugger-panty-cotton-lingerie?ProductID=231950&amp;CatalogueType=OLS</t>
  </si>
  <si>
    <t>https://www.victoriassecret.com/swimwear/shop-by-size/the-knockout-bandeau-forever-sexy?ProductID=205401&amp;CatalogueType=OLS</t>
  </si>
  <si>
    <t>Madly Melon (6UC) </t>
  </si>
  <si>
    <t>Ikat Paisley (6X9) </t>
  </si>
  <si>
    <t>Order Date: 04/16/2015</t>
  </si>
  <si>
    <t>LC-332-769</t>
  </si>
  <si>
    <t>Black/Hello Lovely/Black Pearl (3NV)</t>
  </si>
  <si>
    <t>LC-328-999</t>
  </si>
  <si>
    <t>Solar Sorbet (6VY)</t>
  </si>
  <si>
    <t>LC-293-493 </t>
  </si>
  <si>
    <t>LC-324-931</t>
  </si>
  <si>
    <t>LC-318-616 </t>
  </si>
  <si>
    <t>Mini Leopard Print Mix (DI9)</t>
  </si>
  <si>
    <t>LC-336-866</t>
  </si>
  <si>
    <t>LC-322-443</t>
  </si>
  <si>
    <t>Barbari$</t>
  </si>
  <si>
    <t>https://www.victoriassecret.com/panties/5-for-27-styles/lace-waist-hiphugger-panty-cotton-lingerie?ProductID=237192&amp;CatalogueType=OLS</t>
  </si>
  <si>
    <t>LC-327-959</t>
  </si>
  <si>
    <t>https://www.victoriassecret.com/panties/5-for-27-styles/low-rise-bikini-panty-cotton-lingerie?ProductID=237570&amp;CatalogueType=OLS</t>
  </si>
  <si>
    <t>LC-313-899</t>
  </si>
  <si>
    <t>Heather Grey (Q10)</t>
  </si>
  <si>
    <t>https://www.victoriassecret.com/panties/5-for-27-styles/modal-super-soft-cheeky-panty?ProductID=237224&amp;CatalogueType=OLS</t>
  </si>
  <si>
    <t>LC-334-067</t>
  </si>
  <si>
    <t>julia31</t>
  </si>
  <si>
    <t>https://www.victoriassecret.com/panties/5-for-27-styles/knot-it-hiphugger-panty-cotton-lingerie?ProductID=235577&amp;CatalogueType=OLS</t>
  </si>
  <si>
    <t>LC-333-487</t>
  </si>
  <si>
    <t>Jet Stream Blue Knot It (2XN)</t>
  </si>
  <si>
    <t>Latona</t>
  </si>
  <si>
    <t>https://www.victoriassecret.com/beauty/vs-fantasies-bodycare-specials/pear-glac-hydrating-body-lotion-vs-fantasies?ProductID=154874&amp;CatalogueType=OLS</t>
  </si>
  <si>
    <t>LC-317-778</t>
  </si>
  <si>
    <t>Pear Glace (928)</t>
  </si>
  <si>
    <t>Melle</t>
  </si>
  <si>
    <t>https://www.victoriassecret.com/beauty/vs-fantasies-bodycare-specials/mango-temptation-deep-softening-body-butter-vs-fantasies?ProductID=154939&amp;CatalogueType=OLS</t>
  </si>
  <si>
    <t>LC-317-846</t>
  </si>
  <si>
    <t>Mango Temptation (2F7)</t>
  </si>
  <si>
    <t>cetcet</t>
  </si>
  <si>
    <t>https://www.victoriassecret.com/beauty/vs-fantasies-bodycare-specials/passion-struck-smoothing-body-scrub-vs-fantasies?ProductID=169949&amp;CatalogueType=OLS</t>
  </si>
  <si>
    <t>LC-320-382</t>
  </si>
  <si>
    <t>Passion Struck (034)</t>
  </si>
  <si>
    <t>https://www.victoriassecret.com/pagenolongeravailable?/beauty/vs-fantasies-bodycare-specials/mango-temptation-smoothing-body-scrub-vs-fantasies?ProductID=154950&amp;CatalogueType=OLS,</t>
  </si>
  <si>
    <t>LC-317-855</t>
  </si>
  <si>
    <t>Tina Miller</t>
  </si>
  <si>
    <t>https://www.victoriassecret.com/beauty/vs-fantasies-bodycare-specials/pear-glac-daily-body-wash-vs-fantasies?ProductID=154931&amp;CatalogueType=OLS</t>
  </si>
  <si>
    <t>LC-317-836 </t>
  </si>
  <si>
    <t>LC-317-843</t>
  </si>
  <si>
    <t>Estimated Ship: Apr 22</t>
  </si>
  <si>
    <t>LC-317-847</t>
  </si>
  <si>
    <t>LC-335-621</t>
  </si>
  <si>
    <t>LC-317-850 </t>
  </si>
  <si>
    <t>Белка11</t>
  </si>
  <si>
    <t>https://www.victoriassecret.com/beauty/all-body-care/love-spell-ultra-moisturizing-hand-and-body-cream-vs-fantasies?ProductID=166487&amp;CatalogueType=OLS</t>
  </si>
  <si>
    <t>LC-320-371 </t>
  </si>
  <si>
    <t>https://www.victoriassecret.com/beauty/all-body-care/secret-escape-ultra-moisturizing-hand-and-body-cream-vs-fantasies?ProductID=195049&amp;CatalogueType=OLS</t>
  </si>
  <si>
    <t>LC-328-003 </t>
  </si>
  <si>
    <t>ксюнн</t>
  </si>
  <si>
    <t>LD-299-039</t>
  </si>
  <si>
    <t>Silver Sage Lace (4GS)</t>
  </si>
  <si>
    <t>https://www.victoriassecret.com/clearance/panties/lace-mini-cheekster-panty-pink?ProductID=239904&amp;CatalogueType=OLS</t>
  </si>
  <si>
    <t>LD-339-543</t>
  </si>
  <si>
    <t>Buff (B15)</t>
  </si>
  <si>
    <t>https://www.victoriassecret.com/clearance/panties/thong-panty-the-lacie?ProductID=235070&amp;CatalogueType=OLS</t>
  </si>
  <si>
    <t>LD-321-546 </t>
  </si>
  <si>
    <t>Bright Cherry Lace Up Back (S40)</t>
  </si>
  <si>
    <t>https://www.victoriassecret.com/clearance/panties/floral-lace-trim-thong-panty-pink?ProductID=239914&amp;CatalogueType=OLS&amp;swatchImage=V817259_B15</t>
  </si>
  <si>
    <t>LD-339-580 </t>
  </si>
  <si>
    <t>https://www.victoriassecret.com/clearance/panties/low-rise-bikini-panty-cotton-lingerie?ProductID=182956&amp;CatalogueType=OLS</t>
  </si>
  <si>
    <t>LD-322-560</t>
  </si>
  <si>
    <t>https://www.victoriassecret.com/clearance/sleep/lace-appliqu-satin-slip-very-sexy?ProductID=217083&amp;CatalogueType=OLS</t>
  </si>
  <si>
    <t>LD-333-797</t>
  </si>
  <si>
    <t>Пирамида</t>
  </si>
  <si>
    <t>https://www.victoriassecret.com/swimwear/bikinis/the-love-triangle-top-very-sexy?ProductID=210304&amp;CatalogueType=OLS</t>
  </si>
  <si>
    <t>LC-292-276</t>
  </si>
  <si>
    <t>Simply Green (7DN)</t>
  </si>
  <si>
    <t>https://www.victoriassecret.com/swimwear/bikinis/the-love-bikini-very-sexy?ProductID=205076&amp;CatalogueType=OLS</t>
  </si>
  <si>
    <t>LC-292-267</t>
  </si>
  <si>
    <t>https://www.victoriassecret.com/swimwear/shop-by-size/shell-tie-cover-up-dress?ProductID=240032&amp;CatalogueType=OLS</t>
  </si>
  <si>
    <t>LC-332-15</t>
  </si>
  <si>
    <t>elena-1983</t>
  </si>
  <si>
    <t>https://www.victoriassecret.com/sale/swim/the-itsy-beach-sexy?ProductID=205331&amp;CatalogueType=OLS</t>
  </si>
  <si>
    <t>LC-316-936</t>
  </si>
  <si>
    <t>Neon Hot Pink (3FD)</t>
  </si>
  <si>
    <t>MamaNT</t>
  </si>
  <si>
    <t>https://www.victoriassecret.com//bras/demi-cup/front-close-racerback-demi-bra-body-by-victoria?ProductID=223923&amp;CatalogueType=OLS&amp;search=true</t>
  </si>
  <si>
    <t>LC-330-771</t>
  </si>
  <si>
    <t>Illusion Blue Cross Dye Lace Back (GJ8)</t>
  </si>
  <si>
    <t>https://www.victoriassecret.com/sale/panties/geo-lace-trim-hipster-panty-pink?ProductID=122539&amp;CatalogueType=OLS</t>
  </si>
  <si>
    <t>LC-329-359</t>
  </si>
  <si>
    <t>https://www.victoriassecret.com/sale/panties-special/logo-cheekster-panty-pink?ProductID=200894&amp;CatalogueType=OLS</t>
  </si>
  <si>
    <t>LC-334-609</t>
  </si>
  <si>
    <t>Extreme Pink (HF3)</t>
  </si>
  <si>
    <t>https://www.victoriassecret.com/sale/panties/lace-waist-hiphugger-panty-cotton-lingerie?ProductID=227332&amp;CatalogueType=OLS</t>
  </si>
  <si>
    <t>https://www.victoriassecret.com/sale/panties/hiphugger-panty-allover-lace-from-cotton-lingerie?ProductID=231937&amp;CatalogueType=OLS</t>
  </si>
  <si>
    <t>LC-333-812</t>
  </si>
  <si>
    <t>Ocean Breeze (22P)</t>
  </si>
  <si>
    <t>https://www.victoriassecret.com/sale/panties/seamless-hipster-panty-pink?ProductID=222672&amp;CatalogueType=OLS</t>
  </si>
  <si>
    <t>LC-278-201</t>
  </si>
  <si>
    <t>https://www.victoriassecret.com/clearance/panties/ultra-low-rise-cheeky-panty-the-lacie?ProductID=220542&amp;CatalogueType=OLS</t>
  </si>
  <si>
    <t>LD-327-479</t>
  </si>
  <si>
    <t>Jet Stream Blue Bow Back (K94)</t>
  </si>
  <si>
    <t>ВЫКУПЛЕНО 16 АПРЕЛЯ</t>
  </si>
  <si>
    <t>https://www.victoriassecret.com/bras/body-by-victoria/long-line-demi-bra-body-by-victoria?ProductID=235421&amp;CatalogueType=OLS</t>
  </si>
  <si>
    <t>LC-333-101</t>
  </si>
  <si>
    <t>Black Crochet Lace (4HU)</t>
  </si>
  <si>
    <t>https://www.victoriassecret.com/sale/swim/neon-paisley-push-up-triangle-top-beach-sexy?ProductID=189711&amp;CatalogueType=OLS</t>
  </si>
  <si>
    <t>LC-269-662</t>
  </si>
  <si>
    <t>White (2DE)</t>
  </si>
  <si>
    <t>Estimated Ship: May 8</t>
  </si>
  <si>
    <t>LC-269-663 </t>
  </si>
  <si>
    <t>Estimated Ship: May 17</t>
  </si>
  <si>
    <t>https://www.victoriassecret.com/sale/swim/fringe-bandeau-beach-sexy?ProductID=228890&amp;CatalogueType=OLS</t>
  </si>
  <si>
    <t>LC-307-632</t>
  </si>
  <si>
    <t>LanaNN</t>
  </si>
  <si>
    <t>https://www.victoriassecret.com/beauty/pink-body-care-specials/sun-kissed-body-lotion-pink?ProductID=170134&amp;CatalogueType=OLS</t>
  </si>
  <si>
    <t>https://www.victoriassecret.com/beauty/pink-body-care-specials/warm-cozy-2-in-1-wash-scrub-pink?ProductID=170141&amp;CatalogueType=OLS</t>
  </si>
  <si>
    <t>СЛ@ДЕНЬК@Я</t>
  </si>
  <si>
    <t>https://www.victoriassecret.com/beauty/pink-body-care-specials/coconut-oil-nourishing-shower-gel-pink?ProductID=235323&amp;CatalogueType=OLS</t>
  </si>
  <si>
    <t>Tato4ka5</t>
  </si>
  <si>
    <t>https://www.victoriassecret.com/clearance/swim/the-classic-bandeau-forever-sexy?ProductID=234018&amp;CatalogueType=OLS</t>
  </si>
  <si>
    <t>https://www.victoriassecret.com/clearance/swim/the-twist-bikini-forever-sexy?ProductID=233996&amp;CatalogueType=OLS</t>
  </si>
  <si>
    <t>Ангорка</t>
  </si>
  <si>
    <t>https://www.victoriassecret.com/clearance/swim/the-forever-lowrise-forever-sexy?ProductID=239981&amp;CatalogueType=OLS</t>
  </si>
  <si>
    <t>Order Date: 04/18/2015</t>
  </si>
  <si>
    <t>LC-321-108</t>
  </si>
  <si>
    <t>Sun Kissed (864)</t>
  </si>
  <si>
    <t>LC-321-146 </t>
  </si>
  <si>
    <t>Warm And Cozy (S04)</t>
  </si>
  <si>
    <t>LC-332-435</t>
  </si>
  <si>
    <t>https://www.victoriassecret.com/bras/buy-more-and-save-sports-bras/seamless-reversible-sport-bra-victorias-secret-sport?ProductID=241525&amp;CatalogueType=OLS</t>
  </si>
  <si>
    <t>LC-339-243</t>
  </si>
  <si>
    <t>Hello Lovely/Orange You Glad (64B)</t>
  </si>
  <si>
    <t>https://www.victoriassecret.com/bras/buy-more-and-save-bras/push-up-bra-sexy-tee?ProductID=241522&amp;CatalogueType=OLS</t>
  </si>
  <si>
    <t>LC-301-400</t>
  </si>
  <si>
    <t>https://www.victoriassecret.com/bras/buy-more-and-save-bras/perfect-coverage-bra-sexy-tee?ProductID=228975&amp;CatalogueType=OLS</t>
  </si>
  <si>
    <t>LC-329-775</t>
  </si>
  <si>
    <t>Pink Daisy Tie Dye Allover Lace (GO7)</t>
  </si>
  <si>
    <t>https://www.victoriassecret.com/bras/sports-bras/sleek-shine-sport-bra-victorias-secret-sport?ProductID=216703&amp;CatalogueType=OLS&amp;swatchImage=093</t>
  </si>
  <si>
    <t>LC-324-794</t>
  </si>
  <si>
    <t>Ink Blot (J79)</t>
  </si>
  <si>
    <t>LC-333-567</t>
  </si>
  <si>
    <t>Blue Space Dye Mesh (2NY)</t>
  </si>
  <si>
    <t>Green Opal Tie Dye Allover Lace (2P9)</t>
  </si>
  <si>
    <t>Sveki</t>
  </si>
  <si>
    <t>LC-338-653</t>
  </si>
  <si>
    <t>Classic Navy (S87)</t>
  </si>
  <si>
    <t>LD-327-673</t>
  </si>
  <si>
    <t>Madly Melon (6UC)</t>
  </si>
  <si>
    <t>LD-331-165</t>
  </si>
  <si>
    <t>Blurred Zig Zag (6X7)</t>
  </si>
  <si>
    <t>LD-331-164</t>
  </si>
  <si>
    <t>Freesia (6UD)</t>
  </si>
  <si>
    <t>https://www.victoriassecret.com/clearance/swim/the-flirt-bandeau-beach-sexy?ProductID=223883&amp;CatalogueType=OLS</t>
  </si>
  <si>
    <t>LD-333-682</t>
  </si>
  <si>
    <t>Bright Stripe (6XR)</t>
  </si>
  <si>
    <t>https://www.victoriassecret.com/clearance/swim/the-itsy-beach-sexy?ProductID=235066&amp;CatalogueType=OLS</t>
  </si>
  <si>
    <t>LD-329-817</t>
  </si>
  <si>
    <t xml:space="preserve">себе </t>
  </si>
  <si>
    <t>LD-338-918</t>
  </si>
  <si>
    <t>Green Aussie Sky Print (2P9)</t>
  </si>
  <si>
    <t>ВЫКУПЛЕНО 18 АПРЕЛЯ</t>
  </si>
  <si>
    <t>https://www.victoriassecret.com/panties/5-for-27-styles/no-show-cheekster-panty-pink?ProductID=193077&amp;CatalogueType=OLS</t>
  </si>
  <si>
    <t>Order Date: 04/21/2015</t>
  </si>
  <si>
    <t>LC-290-289</t>
  </si>
  <si>
    <t>M.Short</t>
  </si>
  <si>
    <t>https://www.victoriassecret.com/sale/yoga-pants-and-leggings/the-most-loved-yoga-pant?ProductID=236859&amp;CatalogueType=OLS</t>
  </si>
  <si>
    <t>L.Short</t>
  </si>
  <si>
    <t>klementeva</t>
  </si>
  <si>
    <t>https://www.victoriassecret.com/swimwear/one-pieces-tankinis/the-forever-tankini-forever-sexy?ProductID=150887&amp;CatalogueType=OLS</t>
  </si>
  <si>
    <t>LC-292-544</t>
  </si>
  <si>
    <t>Aqua Seychelles (6U8)</t>
  </si>
  <si>
    <t>balanova</t>
  </si>
  <si>
    <t>LC-307-823</t>
  </si>
  <si>
    <t>https://www.victoriassecret.com/sale/swim/the-sexiest-cheeky-very-sexy?ProductID=205079&amp;CatalogueType</t>
  </si>
  <si>
    <t>LC-324-935</t>
  </si>
  <si>
    <t>LC-313-836 </t>
  </si>
  <si>
    <t>https://www.victoriassecret.com//pink/cheeksters/no-show-cheekster-panty-pink?ProductID=193077&amp;CatalogueType=OLS&amp;search=true</t>
  </si>
  <si>
    <t>Blueberry Marl (U70)</t>
  </si>
  <si>
    <t>NataliKl</t>
  </si>
  <si>
    <t>https://www.victoriassecret.com/panties/5-for-27-styles/hiphugger-panty-cotton-lingerie?ProductID=237591&amp;CatalogueType=OLS</t>
  </si>
  <si>
    <t>LC-313-838</t>
  </si>
  <si>
    <t>https://www.victoriassecret.com/panties/5-for-27-styles/string-bikini-panty-cotton-lingerie?ProductID=227848&amp;CatalogueType=OLS</t>
  </si>
  <si>
    <t>LC-313-897</t>
  </si>
  <si>
    <t>Suslichka</t>
  </si>
  <si>
    <t>https://www.victoriassecret.com/panties/5-for-27-styles/geo-lace-trim-hipster-panty-pink?ProductID=124093&amp;CatalogueType=OLS</t>
  </si>
  <si>
    <t>Justanna</t>
  </si>
  <si>
    <t>Cobalt Blue Marl (U70)</t>
  </si>
  <si>
    <t>vmasha</t>
  </si>
  <si>
    <t>https://www.victoriassecret.com/sale/swim/the-flirt-bandeau-beach-sexy?ProductID=189740&amp;CatalogueType=OLS</t>
  </si>
  <si>
    <t>LC-294-528</t>
  </si>
  <si>
    <t>Black (3HM)</t>
  </si>
  <si>
    <t>https://www.victoriassecret.com/swimwear/bikini-bottoms/strappy-bottom-beach-sexy?ProductID=169772&amp;CatalogueType=OLS</t>
  </si>
  <si>
    <t>LC-315-636</t>
  </si>
  <si>
    <t>https://www.victoriassecret.com/sale/swim/crisscross-triangle-top-beach-sexy?ProductID=192626&amp;CatalogueType=OLS</t>
  </si>
  <si>
    <t>LC-315-444</t>
  </si>
  <si>
    <t>Aqua Reef (5VB)</t>
  </si>
  <si>
    <t>LC-315-445</t>
  </si>
  <si>
    <t>https://www.victoriassecret.com/swimwear/bikinis/bow-bandeau-very-sexy?ProductID=182468&amp;CatalogueType=OLS</t>
  </si>
  <si>
    <t>LC-306-034</t>
  </si>
  <si>
    <t>Black/White (6Q9)</t>
  </si>
  <si>
    <t>LC-319-744 </t>
  </si>
  <si>
    <t>https://www.victoriassecret.com/bras/cotton-lingerie/wireless-bra-cotton-lingerie?ProductID=238215&amp;CatalogueType=OLS</t>
  </si>
  <si>
    <t>LC-303-510</t>
  </si>
  <si>
    <t>34С </t>
  </si>
  <si>
    <t>https://www.victoriassecret.com/bras/cotton-lingerie/front-close-push-up-bra-cotton-lingerie?ProductID=241523&amp;CatalogueType=OLS</t>
  </si>
  <si>
    <t>LC-331-057</t>
  </si>
  <si>
    <t>Solar Sorbet Front-Close Braided Back (3NR)</t>
  </si>
  <si>
    <t>https://www.victoriassecret.com/bras/cotton-lingerie/demi-bra-cotton-lingerie?ProductID=242604&amp;CatalogueType=OLS</t>
  </si>
  <si>
    <t>LC-329-550</t>
  </si>
  <si>
    <t>https://www.victoriassecret.com/bras/cotton-lingerie/unlined-perfect-coverage-bra-cotton-lingerie?ProductID=240230&amp;CatalogueType=OLS</t>
  </si>
  <si>
    <t>LC-303-506</t>
  </si>
  <si>
    <t>https://www.victoriassecret.com/clearance/swim/banded-low-rise-bottom-beach-sexy?ProductID=52461&amp;CatalogueType=OLS</t>
  </si>
  <si>
    <t>LD-281-734</t>
  </si>
  <si>
    <t>Tihova-i</t>
  </si>
  <si>
    <t>https://www.victoriassecret.com/clearance/panties/fishnet-lace-up-cheeky-panty-very-sexy?ProductID=212187&amp;CatalogueType=OLS</t>
  </si>
  <si>
    <t>LD-331-736</t>
  </si>
  <si>
    <t>Black Fishnet/White Lace Up (X68)</t>
  </si>
  <si>
    <t>Order Date: 04/22/2015</t>
  </si>
  <si>
    <t>https://www.victoriassecret.com//sleepwear/sleep-steals/lace-teddy-sexy-little-things?ProductID=228971&amp;CatalogueType=OLS&amp;search=true</t>
  </si>
  <si>
    <t>LC-325-882</t>
  </si>
  <si>
    <t>https://www.victoriassecret.com//pink/panties/the-date-no-show-cheekster-panty-pink?ProductID=228281&amp;CatalogueType=OLS&amp;search=true</t>
  </si>
  <si>
    <t>LC-332-254</t>
  </si>
  <si>
    <t>Mint (N62)</t>
  </si>
  <si>
    <t>https://www.victoriassecret.com/panties/cheekies-and-cheekinis/rose-embroidered-cheeky-panty-very-sexy-luxe?ProductID=235273&amp;CatalogueType=OLS</t>
  </si>
  <si>
    <t>LC-333-354</t>
  </si>
  <si>
    <t>Rose Embroidered (3W4)</t>
  </si>
  <si>
    <t>LC-332-080</t>
  </si>
  <si>
    <t>New Nude (3W4)</t>
  </si>
  <si>
    <t>https://www.victoriassecret.com/swimwear/shop-by-size/cut-out-triangle-top-beach-sexy?ProductID=237683&amp;CatalogueType=OLS</t>
  </si>
  <si>
    <t>LC-335-014</t>
  </si>
  <si>
    <t>Multi Mixed Ikat (7MV)</t>
  </si>
  <si>
    <t>Estimated Ship: May 20</t>
  </si>
  <si>
    <t>LC-334-925</t>
  </si>
  <si>
    <t>Estimated Ship: June 28</t>
  </si>
  <si>
    <t>https://www.victoriassecret.com//pink/new-arrivals/medallion-lace-trim-hipster-panty-pink?ProductID=237992&amp;CatalogueType=OLS&amp;search=true</t>
  </si>
  <si>
    <t>LC-335-546</t>
  </si>
  <si>
    <t>Multi Geo Print (5ZA)</t>
  </si>
  <si>
    <t>https://www.victoriassecret.com/panties/5-for-27-styles/the-date-no-show-thong-panty-pink?ProductID=222175&amp;CatalogueType=OLS</t>
  </si>
  <si>
    <t>LC-332-255</t>
  </si>
  <si>
    <t>Snow White (092)</t>
  </si>
  <si>
    <t>https://www.victoriassecret.com/panties/5-for-27-styles/string-bikini-panty-allover-lace-from-cotton-lingerie?ProductID=227311&amp;CatalogueType=OLS</t>
  </si>
  <si>
    <t>LC-318-170 </t>
  </si>
  <si>
    <t>Fresh Lilac (39P)</t>
  </si>
  <si>
    <t>https://www.victoriassecret.com/bras/2-for-42-victorias-secret-pink/wear-everywhere-push-up-bra-pink?ProductID=241234&amp;CatalogueType=OLS</t>
  </si>
  <si>
    <t>LC-336-862</t>
  </si>
  <si>
    <t>LC-262-023</t>
  </si>
  <si>
    <t>Sweetest Orange (2XW)</t>
  </si>
  <si>
    <t>https://www.victoriassecret.com/bras/2-for-42-victorias-secret-pink/mesh-thong-panty-pink?ProductID=238008&amp;CatalogueType=OLS</t>
  </si>
  <si>
    <t>LC-334-696</t>
  </si>
  <si>
    <t>Tropical Print (BL1)</t>
  </si>
  <si>
    <t>https://www.victoriassecret.com/bras/cotton-lingerie/push-up-bra-cotton-lingerie?ProductID=241133&amp;CatalogueType=OLS</t>
  </si>
  <si>
    <t>LC-303-504</t>
  </si>
  <si>
    <t>LC-333-542</t>
  </si>
  <si>
    <t>Multi Honeycomb (3DC)</t>
  </si>
  <si>
    <t>https://www.victoriassecret.com/sale/panties-special/honeycomb-cheekini-panty-cotton-lingerie?ProductID=239286&amp;CatalogueType=OLS</t>
  </si>
  <si>
    <t>LC-333-405</t>
  </si>
  <si>
    <t>White Honeycomb (3DC)</t>
  </si>
  <si>
    <t>https://www.victoriassecret.com/sleepwear/pajamas/the-mayfair-cami-short-set?ProductID=235645&amp;CatalogueType=OLS</t>
  </si>
  <si>
    <t>LC-333-734</t>
  </si>
  <si>
    <t>Green Pineapples (G28)</t>
  </si>
  <si>
    <t>https://www.victoriassecret.com/sleepwear/babydolls-and-slips/lace-trim-slip-dream-angels?ProductID=230257&amp;CatalogueType=OLS</t>
  </si>
  <si>
    <t>LC-333-761</t>
  </si>
  <si>
    <t>Coconut White (B20)</t>
  </si>
  <si>
    <t>Estimated Ship: April 29</t>
  </si>
  <si>
    <t>https://www.victoriassecret.com/sleepwear/pajamas/satin-cami-and-short-set-body-by-victoria?ProductID=228886&amp;CatalogueType=OLS</t>
  </si>
  <si>
    <t>LC-325-848</t>
  </si>
  <si>
    <t>Pink Stripe (3SH)</t>
  </si>
  <si>
    <t>Estimated Ship: May 18</t>
  </si>
  <si>
    <t>https://www.victoriassecret.com/panties/5-for-27-styles/the-date-cheekster-panty-pink?ProductID=237997&amp;CatalogueType=OLS</t>
  </si>
  <si>
    <t>LC-335-693</t>
  </si>
  <si>
    <t>Minty Fresh (N62)</t>
  </si>
  <si>
    <t>Berry (4SM)</t>
  </si>
  <si>
    <t>https://www.victoriassecret.com/panties/5-for-27-styles/dot-mesh-cheekini-panty-cotton-lingerie?ProductID=227805&amp;CatalogueType=OLS</t>
  </si>
  <si>
    <t>LC-323-326</t>
  </si>
  <si>
    <t>Ink Blot Dot Mesh (K95)</t>
  </si>
  <si>
    <t>LC-313-836</t>
  </si>
  <si>
    <t>https://www.victoriassecret.com/panties/5-for-27-styles/low-rise-bloomer-panty-cotton-lingerie?ProductID=231875&amp;CatalogueType=OLS</t>
  </si>
  <si>
    <t>LC-323-778</t>
  </si>
  <si>
    <t>Deep Lotus (2GR)</t>
  </si>
  <si>
    <t>https://www.victoriassecret.com/clothing/shop-all/cotu-classic-sneaker-superga?ProductID=168582&amp;CatalogueType=OLS</t>
  </si>
  <si>
    <t>LC-287-982</t>
  </si>
  <si>
    <t>Estimated Ship: May 12</t>
  </si>
  <si>
    <t>rozochka17</t>
  </si>
  <si>
    <t>https://www.victoriassecret.com/clearance/swim/push-up-triangle-top-very-sexy?ProductID=207056&amp;CatalogueType=OLS</t>
  </si>
  <si>
    <t>LD-313-740</t>
  </si>
  <si>
    <t>Tropical Floral/Animal (4RD)</t>
  </si>
  <si>
    <t>https://www.victoriassecret.com/clearance/swim/toggle-bottom-very-sexy?ProductID=207005&amp;CatalogueType=OLS</t>
  </si>
  <si>
    <t>LD-313-739</t>
  </si>
  <si>
    <t>https://www.victoriassecret.com/catalogue/incredible-by-victoria39s-secret-sport-bra-victorias-secret-sport?ProductID=238502&amp;CatalogueType=OLS&amp;cqo=true&amp;cqoCat=NR</t>
  </si>
  <si>
    <t>NR-324-768</t>
  </si>
  <si>
    <t>34А</t>
  </si>
  <si>
    <t>Sparkling Lime Marl (4VX)</t>
  </si>
  <si>
    <t>ВЫКУПЛЕНО 21 АПРЕЛЯ</t>
  </si>
  <si>
    <t>ВЫКУПЛЕНО 22 АПРЕЛЯ</t>
  </si>
  <si>
    <t>Estimated Ship: May 12 - вышлют отдельно 12 мая (возможно раньше, возможно позже, дата ориентировочная)</t>
  </si>
  <si>
    <t>Estimated Ship: June 28 - вышлют отдельно 28 июня (возможно раньше, возможно позже, дата ориентировочная)</t>
  </si>
  <si>
    <t>Order Date: 04/23/2015</t>
  </si>
  <si>
    <t>Diamond Crumb</t>
  </si>
  <si>
    <t>https://www.victoriassecret.com/beauty/makeup-specials/shiny-kiss-flavored-gloss-beauty-rush?ProductID=165141&amp;CatalogueType=OLS</t>
  </si>
  <si>
    <t>LC-312-885</t>
  </si>
  <si>
    <t>Indulgence (608)</t>
  </si>
  <si>
    <t>https://www.victoriassecret.com/swimwear/bikinis/the-hottie-halter-very-sexy?ProductID=228388&amp;CatalogueType=OLS</t>
  </si>
  <si>
    <t>LC-324-957</t>
  </si>
  <si>
    <t>Palm Floral (78Y)</t>
  </si>
  <si>
    <t>LC-324-944 </t>
  </si>
  <si>
    <t>https://www.victoriassecret.com/bras/cotton-lingerie/perfect-coverage-bra-cotton-lingerie?ProductID=240231&amp;CatalogueType=OLS</t>
  </si>
  <si>
    <t>LC-331-062</t>
  </si>
  <si>
    <t>Limeade Front-Close Braided Back (447)</t>
  </si>
  <si>
    <t>https://www.victoriassecret.com/bras/cotton-lingerie/perfect-coverage-bra-cotton-lingerie?ProductID=242553&amp;CatalogueType=OLS</t>
  </si>
  <si>
    <t>LC-308-540</t>
  </si>
  <si>
    <t>Bright Cherry Ribbon Slot (3YU)</t>
  </si>
  <si>
    <t>https://www.victoriassecret.com/bras/shop-all-bras/unlined-lace-demi-bra-the-victorias-secret-designer-collection?ProductID=228134&amp;CatalogueType=OLS</t>
  </si>
  <si>
    <t>LC-324-986</t>
  </si>
  <si>
    <t>Spring Rain (3AS)</t>
  </si>
  <si>
    <t>https://www.victoriassecret.com/sale/clothing/marled-draw-tie-hoodie-french-terry?ProductID=236581&amp;CatalogueType=OLS</t>
  </si>
  <si>
    <t>LC-330-510 </t>
  </si>
  <si>
    <t>LC-333-538</t>
  </si>
  <si>
    <t>https://www.victoriassecret.com/panties/5-for-27-styles/string-bikini-panty-allover-lace-from-cotton-lingerie?ProductID=237493&amp;CatalogueType=OLS</t>
  </si>
  <si>
    <t>Bombshell Pink (25C)</t>
  </si>
  <si>
    <t>https://www.victoriassecret.com/panties/5-for-27-styles/dot-mesh-thong-panty-cotton-lingerie?ProductID=240792&amp;CatalogueType=OLS</t>
  </si>
  <si>
    <t>LC-323-328</t>
  </si>
  <si>
    <t>Bombshell Pink Dot Mesh (25C)</t>
  </si>
  <si>
    <t>LC-327-639</t>
  </si>
  <si>
    <t>Tropical Orange (BL1)</t>
  </si>
  <si>
    <t>LC-304-353</t>
  </si>
  <si>
    <t>Palm Beach Print (3J7)</t>
  </si>
  <si>
    <t>https://www.victoriassecret.com/panties/5-for-27-styles/modal-super-soft-cheeky-panty?ProductID=235693&amp;CatalogueType=OLS</t>
  </si>
  <si>
    <t>LC-334-067 </t>
  </si>
  <si>
    <t>LC-313-900</t>
  </si>
  <si>
    <t>https://www.victoriassecret.com/panties/5-for-27-styles/lace-waist-cheekini-panty-cotton-lingerie?ProductID=241445&amp;CatalogueType=OLS</t>
  </si>
  <si>
    <t>LC-307-167</t>
  </si>
  <si>
    <t>Pink Dots Print (3CM)</t>
  </si>
  <si>
    <t>https://www.victoriassecret.com/bras/cotton-lingerie/front-close-racerback-push-up-bra-cotton-lingerie?ProductID=242603&amp;CatalogueType=OLS</t>
  </si>
  <si>
    <t>LC-307-586</t>
  </si>
  <si>
    <t xml:space="preserve">Susnet Rainbow Heather (72R) or Solar Sorbet (G89) </t>
  </si>
  <si>
    <t>https://www.victoriassecret.com/clearance/clothing/banded-cover-up-pant?ProductID=239888&amp;CatalogueType=OLS</t>
  </si>
  <si>
    <t>LD-338-655</t>
  </si>
  <si>
    <t>Ombre Ikat Print (6X5)</t>
  </si>
  <si>
    <t>eyeofthemoon</t>
  </si>
  <si>
    <t>https://www.victoriassecret.com/clearance/pink/lace-mini-cheekster-panty-pink?ProductID=239904&amp;CatalogueType=OLS</t>
  </si>
  <si>
    <t>LD-333-797 </t>
  </si>
  <si>
    <t>Leopard (4CT)</t>
  </si>
  <si>
    <t>ВЫКУПЛЕНО 23 АПРЕЛЯ</t>
  </si>
  <si>
    <t>БУДЕТ В СЛЕДУЮЩЕМ ВЫКУПЕ</t>
  </si>
  <si>
    <t>https://www.victoriassecret.com/bras/very-sexy/push-up-bra-very-sexy?ProductID=237965&amp;CatalogueType=OLS</t>
  </si>
  <si>
    <t>https://www.victoriassecret.com/clothing/all-tops-c/crossback-tank-sexy-little-tees?ProductID=231614&amp;CatalogueType=OLS</t>
  </si>
  <si>
    <t>https://www.victoriassecret.com/bras/buy-more-and-save-bras/wireless-bra-sexy-tee?ProductID=228985&amp;CatalogueType=OLS</t>
  </si>
  <si>
    <t>Signija</t>
  </si>
  <si>
    <t>https://www.victoriassecret.com/bras/shop-all-bras/wireless-bra-body-by-victoria?ProductID=235962&amp;CatalogueType=OLS</t>
  </si>
  <si>
    <t>Ruby Wine 34A </t>
  </si>
  <si>
    <t>Order Date: 04/27/2015</t>
  </si>
  <si>
    <t>LC-329-050</t>
  </si>
  <si>
    <t>Aleva</t>
  </si>
  <si>
    <t>https://www.victoriassecret.com/sale/swim/the-flirt-bandeau-beach-sexy?ProductID=189745&amp;CatalogueType=OLS</t>
  </si>
  <si>
    <t>LC-297-089</t>
  </si>
  <si>
    <t>White Paisley (2DE)</t>
  </si>
  <si>
    <t>Estimated Ship: June 1</t>
  </si>
  <si>
    <t>LC-297-090</t>
  </si>
  <si>
    <t>https://www.victoriassecret.com/sale/swim/ruched-halter-top-forever-sexy?ProductID=101330&amp;CatalogueType=OLS</t>
  </si>
  <si>
    <t>LC-297-147</t>
  </si>
  <si>
    <t>Black/White (3JE)</t>
  </si>
  <si>
    <t>LC-297-148</t>
  </si>
  <si>
    <t>https://www.victoriassecret.com/clothing/hoodies-sweatshirts/oversized-hooded-tunic-fleece?ProductID=221848&amp;CatalogueType=OLS</t>
  </si>
  <si>
    <t>LC-330-499</t>
  </si>
  <si>
    <t>True Navy/Sequin Wings (7FE)</t>
  </si>
  <si>
    <t>Estimated Ship: May 24</t>
  </si>
  <si>
    <t>LC-332-165</t>
  </si>
  <si>
    <t>Hot And Spicy Lace Up (625)</t>
  </si>
  <si>
    <t>LC-334-073</t>
  </si>
  <si>
    <t>LC-330-986</t>
  </si>
  <si>
    <t>Shimmer Stripe (099)</t>
  </si>
  <si>
    <t>LC-317-880</t>
  </si>
  <si>
    <t>ВЫКУПЛЕНО 27 АПРЕЛЯ</t>
  </si>
  <si>
    <t>LC-323-843 </t>
  </si>
  <si>
    <t>https://www.victoriassecret.com/sleepwear/shop-all-sleep-mobile/racerback-slip-signature-cotton?ProductID=196587&amp;CatalogueType=OLS</t>
  </si>
  <si>
    <t>https://www.victoriassecret.com/sleepwear/shop-all-sleep-mobile/slip-the-lacie?ProductID=229301&amp;CatalogueType=OLS </t>
  </si>
  <si>
    <t>https://www.victoriassecret.com/bras/shop-all-bras/multi-way-bra-dream-angels?ProductID=240212&amp;CatalogueType=OLS </t>
  </si>
  <si>
    <t>https://www.victoriassecret.com/lingerie/bras-and-panties/lace-trim-cheekini-panty-dream-angels?ProductID=233482&amp;CatalogueType=OLS</t>
  </si>
  <si>
    <t>https://www.victoriassecret.com/lingerie/bras-and-panties/lace-trim-cheekini-panty-dream-angels?ProductID=233482&amp;CatalogueType=OLS </t>
  </si>
  <si>
    <t>https://www.victoriassecret.com/panties/5-for-27-styles/lace-waist-cheeky-panty-cotton-lingerie?ProductID=237643&amp;CatalogueType=OLS 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</si>
</sst>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alatino Linotype"/>
      <family val="1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u val="single"/>
      <sz val="11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0"/>
      <color indexed="10"/>
      <name val="Palatino Linotype"/>
      <family val="1"/>
    </font>
    <font>
      <b/>
      <sz val="11"/>
      <color indexed="21"/>
      <name val="Calibri"/>
      <family val="2"/>
    </font>
    <font>
      <sz val="9"/>
      <color indexed="8"/>
      <name val="Palatino Linotype"/>
      <family val="1"/>
    </font>
    <font>
      <b/>
      <sz val="10"/>
      <color indexed="10"/>
      <name val="Palatino Linotype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sz val="10"/>
      <color rgb="FF666666"/>
      <name val="Palatino Linotype"/>
      <family val="1"/>
    </font>
    <font>
      <sz val="9"/>
      <color rgb="FF333333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Palatino Linotype"/>
      <family val="1"/>
    </font>
    <font>
      <b/>
      <sz val="11"/>
      <color rgb="FF00B050"/>
      <name val="Calibri"/>
      <family val="2"/>
    </font>
    <font>
      <sz val="9"/>
      <color rgb="FF000000"/>
      <name val="Palatino Linotype"/>
      <family val="1"/>
    </font>
    <font>
      <b/>
      <sz val="10"/>
      <color rgb="FFFF0000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0" fontId="55" fillId="0" borderId="0" xfId="0" applyFont="1" applyFill="1" applyAlignment="1">
      <alignment wrapText="1"/>
    </xf>
    <xf numFmtId="0" fontId="5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1" fillId="0" borderId="0" xfId="42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8" fillId="0" borderId="0" xfId="42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8" fillId="0" borderId="11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31" fillId="0" borderId="0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176" fontId="5" fillId="33" borderId="14" xfId="0" applyNumberFormat="1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left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31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1" fillId="0" borderId="0" xfId="0" applyFont="1" applyAlignment="1">
      <alignment/>
    </xf>
    <xf numFmtId="0" fontId="5" fillId="33" borderId="0" xfId="0" applyFont="1" applyFill="1" applyBorder="1" applyAlignment="1">
      <alignment/>
    </xf>
    <xf numFmtId="174" fontId="62" fillId="0" borderId="10" xfId="0" applyNumberFormat="1" applyFont="1" applyBorder="1" applyAlignment="1">
      <alignment/>
    </xf>
    <xf numFmtId="174" fontId="62" fillId="0" borderId="0" xfId="0" applyNumberFormat="1" applyFont="1" applyBorder="1" applyAlignment="1">
      <alignment/>
    </xf>
    <xf numFmtId="174" fontId="60" fillId="0" borderId="0" xfId="0" applyNumberFormat="1" applyFont="1" applyBorder="1" applyAlignment="1">
      <alignment/>
    </xf>
    <xf numFmtId="174" fontId="60" fillId="0" borderId="10" xfId="0" applyNumberFormat="1" applyFont="1" applyBorder="1" applyAlignment="1">
      <alignment/>
    </xf>
    <xf numFmtId="0" fontId="58" fillId="33" borderId="11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1" fillId="0" borderId="0" xfId="42" applyAlignment="1">
      <alignment/>
    </xf>
    <xf numFmtId="176" fontId="0" fillId="34" borderId="0" xfId="0" applyNumberFormat="1" applyFill="1" applyAlignment="1">
      <alignment/>
    </xf>
    <xf numFmtId="0" fontId="28" fillId="0" borderId="0" xfId="42" applyFont="1" applyAlignment="1">
      <alignment/>
    </xf>
    <xf numFmtId="176" fontId="5" fillId="34" borderId="0" xfId="0" applyNumberFormat="1" applyFont="1" applyFill="1" applyAlignment="1">
      <alignment/>
    </xf>
    <xf numFmtId="176" fontId="0" fillId="35" borderId="0" xfId="0" applyNumberFormat="1" applyFill="1" applyAlignment="1">
      <alignment/>
    </xf>
    <xf numFmtId="0" fontId="60" fillId="0" borderId="16" xfId="0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76" fontId="5" fillId="33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0" fontId="55" fillId="0" borderId="0" xfId="0" applyFont="1" applyAlignment="1">
      <alignment/>
    </xf>
    <xf numFmtId="0" fontId="41" fillId="0" borderId="0" xfId="42" applyAlignment="1">
      <alignment/>
    </xf>
    <xf numFmtId="0" fontId="63" fillId="36" borderId="0" xfId="0" applyFont="1" applyFill="1" applyAlignment="1">
      <alignment wrapText="1"/>
    </xf>
    <xf numFmtId="0" fontId="0" fillId="34" borderId="0" xfId="0" applyFill="1" applyAlignment="1">
      <alignment/>
    </xf>
    <xf numFmtId="0" fontId="64" fillId="0" borderId="0" xfId="0" applyFont="1" applyAlignment="1">
      <alignment/>
    </xf>
    <xf numFmtId="0" fontId="57" fillId="33" borderId="0" xfId="0" applyFont="1" applyFill="1" applyAlignment="1">
      <alignment/>
    </xf>
    <xf numFmtId="0" fontId="41" fillId="33" borderId="0" xfId="42" applyFill="1" applyAlignment="1">
      <alignment/>
    </xf>
    <xf numFmtId="0" fontId="5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63" fillId="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bras/very-sexy-so-obsessed/limited-edition-push-up-bra-very-sexy?ProductID=229235&amp;CatalogueType=OLS" TargetMode="External" /><Relationship Id="rId2" Type="http://schemas.openxmlformats.org/officeDocument/2006/relationships/hyperlink" Target="https://www.victoriassecret.com/bras/shop-all-bras/lace-trim-cheekini-panty-dream-angels?ProductID=233482&amp;CatalogueType=OLS" TargetMode="External" /><Relationship Id="rId3" Type="http://schemas.openxmlformats.org/officeDocument/2006/relationships/hyperlink" Target="https://www.victoriassecret.com/bras/shop-all-bras/lace-trim-thong-panty-dream-angels?ProductID=225585&amp;CatalogueType=OLS" TargetMode="External" /><Relationship Id="rId4" Type="http://schemas.openxmlformats.org/officeDocument/2006/relationships/hyperlink" Target="https://www.victoriassecret.com/bras/shop-all-bras/lace-trim-cheekini-panty-dream-angels?ProductID=233482&amp;CatalogueType=OLS" TargetMode="External" /><Relationship Id="rId5" Type="http://schemas.openxmlformats.org/officeDocument/2006/relationships/hyperlink" Target="https://www.victoriassecret.com/sale/panties-special/no-show-cheekster-panty-pink?ProductID=193077&amp;CatalogueType=OLS" TargetMode="External" /><Relationship Id="rId6" Type="http://schemas.openxmlformats.org/officeDocument/2006/relationships/hyperlink" Target="https://www.victoriassecret.com/sale/panties-special/string-bikini-panty-cotton-lingerie?ProductID=227848&amp;CatalogueType=OLS" TargetMode="External" /><Relationship Id="rId7" Type="http://schemas.openxmlformats.org/officeDocument/2006/relationships/hyperlink" Target="https://www.victoriassecret.com/sale/panties-special/no-show-cheekster-panty-pink?ProductID=193077&amp;CatalogueType=OLS" TargetMode="External" /><Relationship Id="rId8" Type="http://schemas.openxmlformats.org/officeDocument/2006/relationships/hyperlink" Target="https://www.victoriassecret.com/sale/panties-special/no-show-cheekster-panty-pink?ProductID=193077&amp;CatalogueType=OLS" TargetMode="External" /><Relationship Id="rId9" Type="http://schemas.openxmlformats.org/officeDocument/2006/relationships/hyperlink" Target="https://www.victoriassecret.com/clearance/swim/the-forever-lowrise-forever-sexy?ProductID=234769&amp;CatalogueType=OLS&amp;swatchImage=V41696" TargetMode="External" /><Relationship Id="rId10" Type="http://schemas.openxmlformats.org/officeDocument/2006/relationships/hyperlink" Target="https://www.victoriassecret.com/clearance/swim/strappy-string-bottom-very-sexy?ProductID=209146&amp;CatalogueType=OLS" TargetMode="External" /><Relationship Id="rId11" Type="http://schemas.openxmlformats.org/officeDocument/2006/relationships/hyperlink" Target="https://www.victoriassecret.com/clearance/swim/convertible-halter-top-forever-sexy?ProductID=181758&amp;CatalogueType=OLS&amp;swatchImage=V396387" TargetMode="External" /><Relationship Id="rId12" Type="http://schemas.openxmlformats.org/officeDocument/2006/relationships/hyperlink" Target="https://www.victoriassecret.com/swimwear/bikini-bottoms/ruchedmini-bikini-bottom-pink?ProductID=237589&amp;CatalogueType=OLS" TargetMode="External" /><Relationship Id="rId13" Type="http://schemas.openxmlformats.org/officeDocument/2006/relationships/hyperlink" Target="https://www.victoriassecret.com/clothing/shop-all/side-tie-tank-vintage-tees?ProductID=218836&amp;CatalogueType=OLS" TargetMode="External" /><Relationship Id="rId14" Type="http://schemas.openxmlformats.org/officeDocument/2006/relationships/hyperlink" Target="https://www.victoriassecret.com/sale/swim/ruched-hipkini-beach-sexy?ProductID=222657&amp;CatalogueType=OLS" TargetMode="External" /><Relationship Id="rId15" Type="http://schemas.openxmlformats.org/officeDocument/2006/relationships/hyperlink" Target="https://www.victoriassecret.com/catalogue/knockout-by-victoria39s-secret-tight-with-short-victorias-secret-sport?ProductID=224318&amp;CatalogueType=OLS&amp;cqo=true&amp;cqoCat=KY" TargetMode="External" /><Relationship Id="rId16" Type="http://schemas.openxmlformats.org/officeDocument/2006/relationships/hyperlink" Target="https://www.victoriassecret.com/clearance/swim/low-rise-bottom-very-sexy?ProductID=187974&amp;CatalogueType=OLS" TargetMode="External" /><Relationship Id="rId17" Type="http://schemas.openxmlformats.org/officeDocument/2006/relationships/hyperlink" Target="https://www.victoriassecret.com/clearance/bras/cutout-back-push-up-bra-very-sexy?ProductID=220688&amp;CatalogueType=OLS" TargetMode="External" /><Relationship Id="rId18" Type="http://schemas.openxmlformats.org/officeDocument/2006/relationships/hyperlink" Target="https://www.victoriassecret.com/clearance/bras/wear-everywhere-strapless-bra-pink?ProductID=223266&amp;CatalogueType=OLS" TargetMode="External" /><Relationship Id="rId19" Type="http://schemas.openxmlformats.org/officeDocument/2006/relationships/hyperlink" Target="https://www.victoriassecret.com/panties/5-for-27-styles/lace-waist-hiphugger-panty-cotton-lingerie?ProductID=237192&amp;CatalogueType=OLS" TargetMode="External" /><Relationship Id="rId20" Type="http://schemas.openxmlformats.org/officeDocument/2006/relationships/hyperlink" Target="https://www.victoriassecret.com/panties/5-for-27-styles/low-rise-bikini-panty-cotton-lingerie?ProductID=237570&amp;CatalogueType=OLS" TargetMode="External" /><Relationship Id="rId21" Type="http://schemas.openxmlformats.org/officeDocument/2006/relationships/hyperlink" Target="https://www.victoriassecret.com/sale/panties-special/lace-waist-cheeky-panty-cotton-lingerie?ProductID=228002&amp;CatalogueType=OLS" TargetMode="External" /><Relationship Id="rId22" Type="http://schemas.openxmlformats.org/officeDocument/2006/relationships/hyperlink" Target="https://www.victoriassecret.com/sale/swim/neon-paisley-push-up-triangle-top-beach-sexy?ProductID=189711&amp;CatalogueType=OLS" TargetMode="External" /><Relationship Id="rId23" Type="http://schemas.openxmlformats.org/officeDocument/2006/relationships/hyperlink" Target="https://www.victoriassecret.com/clearance/swim/the-classic-bandeau-forever-sexy?ProductID=234018&amp;CatalogueType=OLS" TargetMode="External" /><Relationship Id="rId24" Type="http://schemas.openxmlformats.org/officeDocument/2006/relationships/hyperlink" Target="https://www.victoriassecret.com/sale/swim/fringe-bandeau-beach-sexy?ProductID=228890&amp;CatalogueType=OLS" TargetMode="External" /><Relationship Id="rId25" Type="http://schemas.openxmlformats.org/officeDocument/2006/relationships/hyperlink" Target="https://www.victoriassecret.com/clearance/clothing/banded-cover-up-pant?ProductID=239888&amp;CatalogueType=OLS" TargetMode="External" /><Relationship Id="rId26" Type="http://schemas.openxmlformats.org/officeDocument/2006/relationships/hyperlink" Target="https://www.victoriassecret.com/panties/5-for-27-styles/string-bikini-panty-allover-lace-from-cotton-lingerie?ProductID=237493&amp;CatalogueType=OLS" TargetMode="External" /><Relationship Id="rId27" Type="http://schemas.openxmlformats.org/officeDocument/2006/relationships/hyperlink" Target="https://www.victoriassecret.com/panties/5-for-27-styles/dot-mesh-thong-panty-cotton-lingerie?ProductID=240792&amp;CatalogueType=OLS" TargetMode="External" /><Relationship Id="rId28" Type="http://schemas.openxmlformats.org/officeDocument/2006/relationships/hyperlink" Target="https://www.victoriassecret.com/panties/5-for-27-styles/curved-hem-hipster-panty-pink?ProductID=221255&amp;CatalogueType=OLS" TargetMode="External" /><Relationship Id="rId29" Type="http://schemas.openxmlformats.org/officeDocument/2006/relationships/hyperlink" Target="https://www.victoriassecret.com/panties/5-for-27-styles/lace-waist-cheeky-panty-cotton-lingerie?ProductID=228002&amp;CatalogueType=OLS" TargetMode="External" /><Relationship Id="rId30" Type="http://schemas.openxmlformats.org/officeDocument/2006/relationships/hyperlink" Target="https://www.victoriassecret.com/bras/cotton-lingerie/front-close-racerback-push-up-bra-cotton-lingerie?ProductID=242603&amp;CatalogueType=OLS" TargetMode="External" /><Relationship Id="rId31" Type="http://schemas.openxmlformats.org/officeDocument/2006/relationships/hyperlink" Target="https://www.victoriassecret.com/beauty/all-makeup/shiny-kiss-flavored-gloss-beauty-rush?ProductID=228348&amp;CatalogueType=OLS" TargetMode="External" /><Relationship Id="rId32" Type="http://schemas.openxmlformats.org/officeDocument/2006/relationships/hyperlink" Target="https://www.victoriassecret.com//sale/beauty/color-shine-gloss-beauty-rush?ProductID=199353&amp;CatalogueType=OLS&amp;search=true" TargetMode="External" /><Relationship Id="rId33" Type="http://schemas.openxmlformats.org/officeDocument/2006/relationships/hyperlink" Target="https://www.victoriassecret.com/beauty/all-makeup/lip-plumper-beauty-rush?ProductID=235266&amp;CatalogueType=OLS" TargetMode="External" /><Relationship Id="rId34" Type="http://schemas.openxmlformats.org/officeDocument/2006/relationships/hyperlink" Target="https://www.victoriassecret.com/beauty/all-makeup/lip-plumper-beauty-rush?ProductID=235266&amp;CatalogueType=OLS" TargetMode="External" /><Relationship Id="rId35" Type="http://schemas.openxmlformats.org/officeDocument/2006/relationships/hyperlink" Target="https://www.victoriassecret.com/sale/tops-and-tees/oversized-tunic-fleece?ProductID=233883&amp;CatalogueType=OLS" TargetMode="External" /><Relationship Id="rId36" Type="http://schemas.openxmlformats.org/officeDocument/2006/relationships/hyperlink" Target="https://www.victoriassecret.com/panties/5-for-27-styles/hiphugger-panty-cotton-lingerie?ProductID=230930&amp;CatalogueType=OLS" TargetMode="External" /><Relationship Id="rId37" Type="http://schemas.openxmlformats.org/officeDocument/2006/relationships/hyperlink" Target="https://www.victoriassecret.com/panties/5-for-27-styles/the-date-no-show-thong-panty-pink?ProductID=229055&amp;CatalogueType=OLS," TargetMode="External" /><Relationship Id="rId38" Type="http://schemas.openxmlformats.org/officeDocument/2006/relationships/hyperlink" Target="https://www.victoriassecret.com/panties/5-for-27-styles/geo-lace-cheekster-panty-pink?ProductID=226003&amp;CatalogueType=OLS" TargetMode="External" /><Relationship Id="rId39" Type="http://schemas.openxmlformats.org/officeDocument/2006/relationships/hyperlink" Target="https://www.victoriassecret.com/panties/5-for-27-styles/geo-lace-cheekster-panty-pink?ProductID=226003&amp;CatalogueType=OLS" TargetMode="External" /><Relationship Id="rId40" Type="http://schemas.openxmlformats.org/officeDocument/2006/relationships/hyperlink" Target="https://www.victoriassecret.com/panties/5-for-27-styles/lace-waist-cheeky-panty-cotton-lingerie?ProductID=228002&amp;CatalogueType=OLS," TargetMode="External" /><Relationship Id="rId41" Type="http://schemas.openxmlformats.org/officeDocument/2006/relationships/hyperlink" Target="https://www.victoriassecret.com/bras/t-shirt-bra/perfect-shape-bra-the-t-shirt?ProductID=236888&amp;CatalogueType=OLS" TargetMode="External" /><Relationship Id="rId42" Type="http://schemas.openxmlformats.org/officeDocument/2006/relationships/hyperlink" Target="https://www.victoriassecret.com/beauty/all-makeup/lip-plumper-beauty-rush?ProductID=235266&amp;CatalogueType=OLS" TargetMode="External" /><Relationship Id="rId43" Type="http://schemas.openxmlformats.org/officeDocument/2006/relationships/hyperlink" Target="https://www.victoriassecret.com/panties/5-for-27-styles/lace-thong-panty-pink?ProductID=229804&amp;CatalogueType=OLS" TargetMode="External" /><Relationship Id="rId44" Type="http://schemas.openxmlformats.org/officeDocument/2006/relationships/hyperlink" Target="https://www.victoriassecret.com/beauty/all-makeup/shiny-kiss-flavored-gloss-beauty-rush?ProductID=228348&amp;CatalogueType=OLS" TargetMode="External" /><Relationship Id="rId45" Type="http://schemas.openxmlformats.org/officeDocument/2006/relationships/hyperlink" Target="https://www.victoriassecret.com/swimwear/shop-by-size/the-fringe-itsy-beach-sexy?ProductID=220505&amp;CatalogueType=OLS" TargetMode="External" /><Relationship Id="rId46" Type="http://schemas.openxmlformats.org/officeDocument/2006/relationships/hyperlink" Target="https://www.victoriassecret.com/sale/tops-and-tees/low-armhole-tank-anytime-tees?ProductID=233923&amp;CatalogueType=OLS" TargetMode="External" /><Relationship Id="rId47" Type="http://schemas.openxmlformats.org/officeDocument/2006/relationships/hyperlink" Target="https://www.victoriassecret.com/swimwear/bikini-mixer" TargetMode="External" /><Relationship Id="rId48" Type="http://schemas.openxmlformats.org/officeDocument/2006/relationships/hyperlink" Target="https://www.victoriassecret.com/swimwear/bikini-mixer" TargetMode="External" /><Relationship Id="rId49" Type="http://schemas.openxmlformats.org/officeDocument/2006/relationships/hyperlink" Target="https://www.victoriassecret.com/swimwear/shop-by-size/the-midi-bandeau-beach-sexy?ProductID=220408&amp;CatalogueType=OLS" TargetMode="External" /><Relationship Id="rId50" Type="http://schemas.openxmlformats.org/officeDocument/2006/relationships/hyperlink" Target="https://www.victoriassecret.com/swimwear/trend-edit/cut-out-bandeau-very-sexy?ProductID=227108&amp;CatalogueType=OLS&amp;search=true" TargetMode="External" /><Relationship Id="rId51" Type="http://schemas.openxmlformats.org/officeDocument/2006/relationships/hyperlink" Target="https://www.victoriassecret.com/clearance/bras/perfect-lace-strapless-bra-pink?ProductID=193602&amp;CatalogueType=OLS" TargetMode="External" /><Relationship Id="rId52" Type="http://schemas.openxmlformats.org/officeDocument/2006/relationships/hyperlink" Target="https://www.victoriassecret.com/victorias-secret-sport/all-tops/lightweight-sport-tank-victorias-secret-sport?ProductID=218763&amp;CatalogueType=OLS&amp;swatchImage=HE7" TargetMode="External" /><Relationship Id="rId53" Type="http://schemas.openxmlformats.org/officeDocument/2006/relationships/hyperlink" Target="https://www.victoriassecret.com/clearance/swim/one-shoulder-top-very-sexy?ProductID=189778&amp;CatalogueType=OLS" TargetMode="External" /><Relationship Id="rId54" Type="http://schemas.openxmlformats.org/officeDocument/2006/relationships/hyperlink" Target="https://www.victoriassecret.com/sale/yoga-pants-and-leggings/the-most-loved-yoga-legging?ProductID=228440&amp;CatalogueType=OLS" TargetMode="External" /><Relationship Id="rId55" Type="http://schemas.openxmlformats.org/officeDocument/2006/relationships/hyperlink" Target="https://www.victoriassecret.com/bras/shop-all-bras/wireless-bra-body-by-victoria?ProductID=235962&amp;CatalogueType=OLS" TargetMode="External" /><Relationship Id="rId56" Type="http://schemas.openxmlformats.org/officeDocument/2006/relationships/hyperlink" Target="https://www.victoriassecret.com/lingerie/bras-and-panties/lace-trim-cheekini-panty-dream-angels?ProductID=233482&amp;CatalogueType=OLS&#160;" TargetMode="External" /><Relationship Id="rId57" Type="http://schemas.openxmlformats.org/officeDocument/2006/relationships/hyperlink" Target="https://www.victoriassecret.com/lingerie/bras-and-panties/lace-trim-cheekini-panty-dream-angels?ProductID=233482&amp;CatalogueType=OLS&#160;" TargetMode="External" /><Relationship Id="rId58" Type="http://schemas.openxmlformats.org/officeDocument/2006/relationships/hyperlink" Target="https://www.victoriassecret.com/lingerie/bras-and-panties/lace-trim-cheekini-panty-dream-angels?ProductID=233482&amp;CatalogueType=OLS" TargetMode="External" /><Relationship Id="rId59" Type="http://schemas.openxmlformats.org/officeDocument/2006/relationships/hyperlink" Target="https://www.victoriassecret.com/bras/shop-all-bras/multi-way-bra-dream-angels?ProductID=240212&amp;CatalogueType=OLS&#160;" TargetMode="External" /><Relationship Id="rId60" Type="http://schemas.openxmlformats.org/officeDocument/2006/relationships/hyperlink" Target="https://www.victoriassecret.com/sleepwear/shop-all-sleep-mobile/slip-the-lacie?ProductID=229301&amp;CatalogueType=OLS&#160;" TargetMode="External" /><Relationship Id="rId61" Type="http://schemas.openxmlformats.org/officeDocument/2006/relationships/hyperlink" Target="https://www.victoriassecret.com/sleepwear/shop-all-sleep-mobile/racerback-slip-signature-cotton?ProductID=196587&amp;CatalogueType=OLS" TargetMode="External" /><Relationship Id="rId62" Type="http://schemas.openxmlformats.org/officeDocument/2006/relationships/hyperlink" Target="https://www.victoriassecret.com/panties/5-for-27-styles/lace-waist-cheeky-panty-cotton-lingerie?ProductID=237643&amp;CatalogueType=OLS&#160;" TargetMode="External" /><Relationship Id="rId63" Type="http://schemas.openxmlformats.org/officeDocument/2006/relationships/hyperlink" Target="https://www.victoriassecret.com/panties/5-for-27-styles/lace-waist-cheeky-panty-cotton-lingerie?ProductID=237643&amp;CatalogueType=OLS" TargetMode="External" /><Relationship Id="rId64" Type="http://schemas.openxmlformats.org/officeDocument/2006/relationships/hyperlink" Target="https://www.victoriassecret.com/bras/buy-more-and-save-bras/wireless-bra-sexy-tee?ProductID=228985&amp;CatalogueType=OLS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2"/>
  <sheetViews>
    <sheetView tabSelected="1" zoomScalePageLayoutView="0" workbookViewId="0" topLeftCell="A1">
      <pane ySplit="1" topLeftCell="A403" activePane="bottomLeft" state="frozen"/>
      <selection pane="topLeft" activeCell="A1" sqref="A1"/>
      <selection pane="bottomLeft" activeCell="J417" sqref="J417"/>
    </sheetView>
  </sheetViews>
  <sheetFormatPr defaultColWidth="8.8515625" defaultRowHeight="15"/>
  <cols>
    <col min="1" max="3" width="8.8515625" style="9" customWidth="1"/>
    <col min="4" max="4" width="10.8515625" style="9" bestFit="1" customWidth="1"/>
    <col min="5" max="5" width="8.8515625" style="9" customWidth="1"/>
    <col min="6" max="6" width="35.421875" style="9" bestFit="1" customWidth="1"/>
    <col min="7" max="7" width="8.8515625" style="9" customWidth="1"/>
    <col min="8" max="8" width="9.140625" style="5" customWidth="1"/>
    <col min="9" max="9" width="12.28125" style="9" bestFit="1" customWidth="1"/>
    <col min="10" max="10" width="11.8515625" style="9" bestFit="1" customWidth="1"/>
    <col min="11" max="14" width="8.8515625" style="9" customWidth="1"/>
    <col min="15" max="15" width="29.28125" style="9" bestFit="1" customWidth="1"/>
    <col min="16" max="17" width="12.00390625" style="9" bestFit="1" customWidth="1"/>
    <col min="18" max="16384" width="8.8515625" style="9" customWidth="1"/>
  </cols>
  <sheetData>
    <row r="1" spans="1:11" ht="15.7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4" t="s">
        <v>9</v>
      </c>
      <c r="J1" s="4" t="s">
        <v>10</v>
      </c>
      <c r="K1" s="9" t="s">
        <v>61</v>
      </c>
    </row>
    <row r="2" spans="1:17" ht="16.5" thickBot="1">
      <c r="A2" s="23" t="s">
        <v>111</v>
      </c>
      <c r="C2" s="35"/>
      <c r="D2" s="35"/>
      <c r="E2" s="35"/>
      <c r="F2" s="24" t="s">
        <v>159</v>
      </c>
      <c r="G2" s="35"/>
      <c r="H2" s="36"/>
      <c r="I2" s="36"/>
      <c r="J2" s="35"/>
      <c r="K2" s="41"/>
      <c r="L2" s="35"/>
      <c r="M2" s="35"/>
      <c r="N2" s="35"/>
      <c r="O2" s="35"/>
      <c r="P2" s="35"/>
      <c r="Q2" s="35"/>
    </row>
    <row r="3" spans="1:16" ht="15.75">
      <c r="A3" s="16" t="s">
        <v>57</v>
      </c>
      <c r="B3" s="12" t="s">
        <v>112</v>
      </c>
      <c r="D3" s="44" t="s">
        <v>113</v>
      </c>
      <c r="E3" s="9" t="s">
        <v>54</v>
      </c>
      <c r="F3" s="43" t="s">
        <v>114</v>
      </c>
      <c r="G3" s="8">
        <v>1</v>
      </c>
      <c r="H3" s="67">
        <v>48</v>
      </c>
      <c r="I3" s="37"/>
      <c r="J3" s="37">
        <f aca="true" t="shared" si="0" ref="J3:J18">H3*G3*$P$13*$P$17</f>
        <v>3168.0082804392932</v>
      </c>
      <c r="O3" s="49" t="s">
        <v>42</v>
      </c>
      <c r="P3" s="25">
        <f>SUM(H3:H27)</f>
        <v>393.16000000000014</v>
      </c>
    </row>
    <row r="4" spans="1:16" ht="15.75">
      <c r="A4" s="16" t="s">
        <v>82</v>
      </c>
      <c r="B4" s="12" t="s">
        <v>115</v>
      </c>
      <c r="D4" s="42" t="s">
        <v>116</v>
      </c>
      <c r="E4" s="9" t="s">
        <v>7</v>
      </c>
      <c r="F4" s="6" t="s">
        <v>117</v>
      </c>
      <c r="G4" s="8">
        <v>1</v>
      </c>
      <c r="H4" s="67">
        <v>22.5</v>
      </c>
      <c r="I4" s="37"/>
      <c r="J4" s="57">
        <f t="shared" si="0"/>
        <v>1485.0038814559186</v>
      </c>
      <c r="O4" s="48" t="s">
        <v>43</v>
      </c>
      <c r="P4" s="26">
        <f>SUM(H3:H18)</f>
        <v>275.25000000000006</v>
      </c>
    </row>
    <row r="5" spans="1:16" ht="15.75">
      <c r="A5" s="16" t="s">
        <v>118</v>
      </c>
      <c r="B5" s="12" t="s">
        <v>119</v>
      </c>
      <c r="D5" s="44" t="s">
        <v>120</v>
      </c>
      <c r="E5" s="41" t="s">
        <v>121</v>
      </c>
      <c r="F5" s="6" t="s">
        <v>98</v>
      </c>
      <c r="G5" s="8">
        <v>1</v>
      </c>
      <c r="H5" s="67">
        <v>30</v>
      </c>
      <c r="I5" s="54">
        <f>H5*G5*$P$12*$P$17</f>
        <v>1904.3880090620241</v>
      </c>
      <c r="J5" s="37">
        <f>I5-2043</f>
        <v>-138.61199093797586</v>
      </c>
      <c r="O5" s="48" t="s">
        <v>44</v>
      </c>
      <c r="P5" s="26">
        <f>SUM(H19:H27)</f>
        <v>117.90999999999997</v>
      </c>
    </row>
    <row r="6" spans="1:16" ht="15.75">
      <c r="A6" s="16" t="s">
        <v>89</v>
      </c>
      <c r="B6" s="12" t="s">
        <v>122</v>
      </c>
      <c r="D6" s="44" t="s">
        <v>120</v>
      </c>
      <c r="E6" s="9" t="s">
        <v>21</v>
      </c>
      <c r="F6" s="6" t="s">
        <v>98</v>
      </c>
      <c r="G6" s="8">
        <v>1</v>
      </c>
      <c r="H6" s="67">
        <v>30</v>
      </c>
      <c r="I6" s="54">
        <f>H6*G6*$P$12*$P$17</f>
        <v>1904.3880090620241</v>
      </c>
      <c r="J6" s="37">
        <f>I6-1500</f>
        <v>404.38800906202414</v>
      </c>
      <c r="O6" s="48" t="s">
        <v>29</v>
      </c>
      <c r="P6" s="27">
        <v>63.99</v>
      </c>
    </row>
    <row r="7" spans="1:16" ht="30">
      <c r="A7" s="16" t="s">
        <v>24</v>
      </c>
      <c r="B7" s="12" t="s">
        <v>123</v>
      </c>
      <c r="D7" s="42" t="s">
        <v>124</v>
      </c>
      <c r="E7" s="9" t="s">
        <v>7</v>
      </c>
      <c r="F7" s="6" t="s">
        <v>125</v>
      </c>
      <c r="G7" s="8">
        <v>1</v>
      </c>
      <c r="H7" s="67">
        <v>5.4</v>
      </c>
      <c r="I7" s="37"/>
      <c r="J7" s="37">
        <f t="shared" si="0"/>
        <v>356.40093154942053</v>
      </c>
      <c r="O7" s="48" t="s">
        <v>32</v>
      </c>
      <c r="P7" s="28">
        <f>P6/(P3-P9)+0.07</f>
        <v>0.25922995031937535</v>
      </c>
    </row>
    <row r="8" spans="1:16" ht="15.75">
      <c r="A8" s="16" t="s">
        <v>24</v>
      </c>
      <c r="B8" s="12" t="s">
        <v>123</v>
      </c>
      <c r="D8" s="42" t="s">
        <v>124</v>
      </c>
      <c r="E8" s="9" t="s">
        <v>7</v>
      </c>
      <c r="F8" s="6" t="s">
        <v>126</v>
      </c>
      <c r="G8" s="8">
        <v>1</v>
      </c>
      <c r="H8" s="67">
        <v>5.4</v>
      </c>
      <c r="I8" s="37"/>
      <c r="J8" s="37">
        <f t="shared" si="0"/>
        <v>356.40093154942053</v>
      </c>
      <c r="O8" s="48" t="s">
        <v>32</v>
      </c>
      <c r="P8" s="28">
        <f>P6/(P3-P9)+0.12</f>
        <v>0.3092299503193754</v>
      </c>
    </row>
    <row r="9" spans="1:16" ht="15.75">
      <c r="A9" s="16" t="s">
        <v>24</v>
      </c>
      <c r="B9" s="12" t="s">
        <v>123</v>
      </c>
      <c r="D9" s="42" t="s">
        <v>124</v>
      </c>
      <c r="E9" s="9" t="s">
        <v>7</v>
      </c>
      <c r="F9" s="6" t="s">
        <v>127</v>
      </c>
      <c r="G9" s="8">
        <v>1</v>
      </c>
      <c r="H9" s="67">
        <v>5.4</v>
      </c>
      <c r="I9" s="37"/>
      <c r="J9" s="37">
        <f t="shared" si="0"/>
        <v>356.40093154942053</v>
      </c>
      <c r="O9" s="48" t="s">
        <v>45</v>
      </c>
      <c r="P9" s="27">
        <v>55</v>
      </c>
    </row>
    <row r="10" spans="1:16" ht="15.75">
      <c r="A10" s="16" t="s">
        <v>17</v>
      </c>
      <c r="B10" s="12" t="s">
        <v>242</v>
      </c>
      <c r="D10" s="44" t="s">
        <v>243</v>
      </c>
      <c r="E10" s="9" t="s">
        <v>7</v>
      </c>
      <c r="F10" s="43" t="s">
        <v>128</v>
      </c>
      <c r="G10" s="8">
        <v>1</v>
      </c>
      <c r="H10" s="67">
        <v>5.4</v>
      </c>
      <c r="I10" s="37"/>
      <c r="J10" s="37">
        <f t="shared" si="0"/>
        <v>356.40093154942053</v>
      </c>
      <c r="O10" s="48" t="s">
        <v>46</v>
      </c>
      <c r="P10" s="27">
        <f>P9/P4</f>
        <v>0.1998183469573115</v>
      </c>
    </row>
    <row r="11" spans="1:16" ht="15.75">
      <c r="A11" s="16" t="s">
        <v>17</v>
      </c>
      <c r="B11" s="12" t="s">
        <v>242</v>
      </c>
      <c r="D11" s="44" t="s">
        <v>243</v>
      </c>
      <c r="E11" s="9" t="s">
        <v>7</v>
      </c>
      <c r="F11" s="43" t="s">
        <v>129</v>
      </c>
      <c r="G11" s="8">
        <v>1</v>
      </c>
      <c r="H11" s="67">
        <v>5.4</v>
      </c>
      <c r="I11" s="37"/>
      <c r="J11" s="37">
        <f t="shared" si="0"/>
        <v>356.40093154942053</v>
      </c>
      <c r="O11" s="50" t="s">
        <v>43</v>
      </c>
      <c r="P11" s="28"/>
    </row>
    <row r="12" spans="1:16" ht="15.75">
      <c r="A12" s="16" t="s">
        <v>17</v>
      </c>
      <c r="B12" s="12" t="s">
        <v>242</v>
      </c>
      <c r="D12" s="44" t="s">
        <v>243</v>
      </c>
      <c r="E12" s="9" t="s">
        <v>7</v>
      </c>
      <c r="F12" s="43" t="s">
        <v>130</v>
      </c>
      <c r="G12" s="8">
        <v>1</v>
      </c>
      <c r="H12" s="67">
        <v>5.4</v>
      </c>
      <c r="I12" s="37"/>
      <c r="J12" s="37">
        <f t="shared" si="0"/>
        <v>356.40093154942053</v>
      </c>
      <c r="O12" s="48" t="s">
        <v>30</v>
      </c>
      <c r="P12" s="30">
        <f>(1-P10)*(1+P7)</f>
        <v>1.0076127032074202</v>
      </c>
    </row>
    <row r="13" spans="1:16" ht="15.75">
      <c r="A13" s="16" t="s">
        <v>17</v>
      </c>
      <c r="B13" s="12" t="s">
        <v>242</v>
      </c>
      <c r="D13" s="44" t="s">
        <v>243</v>
      </c>
      <c r="E13" s="9" t="s">
        <v>7</v>
      </c>
      <c r="F13" s="43" t="s">
        <v>35</v>
      </c>
      <c r="G13" s="8">
        <v>1</v>
      </c>
      <c r="H13" s="67">
        <v>5.4</v>
      </c>
      <c r="I13" s="37"/>
      <c r="J13" s="37">
        <f t="shared" si="0"/>
        <v>356.40093154942053</v>
      </c>
      <c r="O13" s="48" t="s">
        <v>31</v>
      </c>
      <c r="P13" s="30">
        <f>(1-P10)*(1+P8)</f>
        <v>1.0476217858595547</v>
      </c>
    </row>
    <row r="14" spans="1:16" ht="15.75">
      <c r="A14" s="16" t="s">
        <v>17</v>
      </c>
      <c r="B14" s="12" t="s">
        <v>242</v>
      </c>
      <c r="D14" s="44" t="s">
        <v>243</v>
      </c>
      <c r="E14" s="9" t="s">
        <v>7</v>
      </c>
      <c r="F14" s="43" t="s">
        <v>131</v>
      </c>
      <c r="G14" s="8">
        <v>1</v>
      </c>
      <c r="H14" s="67">
        <v>5.4</v>
      </c>
      <c r="I14" s="37"/>
      <c r="J14" s="37">
        <f t="shared" si="0"/>
        <v>356.40093154942053</v>
      </c>
      <c r="O14" s="50" t="s">
        <v>44</v>
      </c>
      <c r="P14" s="27"/>
    </row>
    <row r="15" spans="1:16" ht="15.75">
      <c r="A15" s="16" t="s">
        <v>24</v>
      </c>
      <c r="B15" s="12" t="s">
        <v>244</v>
      </c>
      <c r="D15" s="44" t="s">
        <v>209</v>
      </c>
      <c r="E15" s="9" t="s">
        <v>7</v>
      </c>
      <c r="F15" s="43" t="s">
        <v>132</v>
      </c>
      <c r="G15" s="8">
        <v>1</v>
      </c>
      <c r="H15" s="67">
        <v>5.4</v>
      </c>
      <c r="I15" s="37"/>
      <c r="J15" s="37">
        <f t="shared" si="0"/>
        <v>356.40093154942053</v>
      </c>
      <c r="O15" s="48" t="s">
        <v>30</v>
      </c>
      <c r="P15" s="31">
        <f>1+P7</f>
        <v>1.2592299503193753</v>
      </c>
    </row>
    <row r="16" spans="1:16" ht="15.75">
      <c r="A16" s="16" t="s">
        <v>24</v>
      </c>
      <c r="B16" s="12" t="s">
        <v>244</v>
      </c>
      <c r="D16" s="44" t="s">
        <v>209</v>
      </c>
      <c r="E16" s="9" t="s">
        <v>7</v>
      </c>
      <c r="F16" s="43" t="s">
        <v>133</v>
      </c>
      <c r="G16" s="8">
        <v>1</v>
      </c>
      <c r="H16" s="67">
        <v>5.4</v>
      </c>
      <c r="I16" s="37"/>
      <c r="J16" s="37">
        <f t="shared" si="0"/>
        <v>356.40093154942053</v>
      </c>
      <c r="O16" s="48" t="s">
        <v>31</v>
      </c>
      <c r="P16" s="31">
        <f>1+P8</f>
        <v>1.3092299503193754</v>
      </c>
    </row>
    <row r="17" spans="1:16" ht="16.5" thickBot="1">
      <c r="A17" s="16" t="s">
        <v>15</v>
      </c>
      <c r="B17" s="12" t="s">
        <v>83</v>
      </c>
      <c r="D17" s="44" t="s">
        <v>245</v>
      </c>
      <c r="E17" s="41" t="s">
        <v>47</v>
      </c>
      <c r="F17" s="43" t="s">
        <v>134</v>
      </c>
      <c r="G17" s="8">
        <v>1</v>
      </c>
      <c r="H17" s="67">
        <v>57.5</v>
      </c>
      <c r="I17" s="37"/>
      <c r="J17" s="37">
        <f t="shared" si="0"/>
        <v>3795.0099192762373</v>
      </c>
      <c r="O17" s="71" t="s">
        <v>160</v>
      </c>
      <c r="P17" s="68">
        <v>63</v>
      </c>
    </row>
    <row r="18" spans="1:10" ht="15.75">
      <c r="A18" s="16" t="s">
        <v>15</v>
      </c>
      <c r="B18" s="12" t="s">
        <v>246</v>
      </c>
      <c r="D18" s="44" t="s">
        <v>247</v>
      </c>
      <c r="E18" s="41" t="s">
        <v>36</v>
      </c>
      <c r="F18" s="43" t="s">
        <v>135</v>
      </c>
      <c r="G18" s="8">
        <v>1</v>
      </c>
      <c r="H18" s="67">
        <v>33.25</v>
      </c>
      <c r="I18" s="37"/>
      <c r="J18" s="37">
        <f t="shared" si="0"/>
        <v>2194.505735929302</v>
      </c>
    </row>
    <row r="19" spans="1:10" ht="15.75">
      <c r="A19" s="16" t="s">
        <v>82</v>
      </c>
      <c r="B19" s="12" t="s">
        <v>136</v>
      </c>
      <c r="D19" s="42" t="s">
        <v>137</v>
      </c>
      <c r="E19" s="9" t="s">
        <v>7</v>
      </c>
      <c r="F19" s="6" t="s">
        <v>138</v>
      </c>
      <c r="G19" s="8">
        <v>1</v>
      </c>
      <c r="H19" s="64">
        <v>10.99</v>
      </c>
      <c r="I19" s="38"/>
      <c r="J19" s="56">
        <f aca="true" t="shared" si="1" ref="J19:J27">H19*G19*$P$16*$P$17</f>
        <v>906.4715407026259</v>
      </c>
    </row>
    <row r="20" spans="1:10" ht="15.75">
      <c r="A20" s="16" t="s">
        <v>82</v>
      </c>
      <c r="B20" s="12" t="s">
        <v>139</v>
      </c>
      <c r="D20" s="44" t="s">
        <v>140</v>
      </c>
      <c r="E20" s="9" t="s">
        <v>78</v>
      </c>
      <c r="F20" s="6" t="s">
        <v>138</v>
      </c>
      <c r="G20" s="8">
        <v>1</v>
      </c>
      <c r="H20" s="64">
        <v>24.99</v>
      </c>
      <c r="I20" s="38"/>
      <c r="J20" s="56">
        <f t="shared" si="1"/>
        <v>2061.212356884315</v>
      </c>
    </row>
    <row r="21" spans="1:10" ht="15.75">
      <c r="A21" s="16" t="s">
        <v>141</v>
      </c>
      <c r="B21" s="12" t="s">
        <v>142</v>
      </c>
      <c r="D21" s="44" t="s">
        <v>143</v>
      </c>
      <c r="E21" s="9" t="s">
        <v>80</v>
      </c>
      <c r="F21" s="6" t="s">
        <v>144</v>
      </c>
      <c r="G21" s="8">
        <v>1</v>
      </c>
      <c r="H21" s="64">
        <v>19.99</v>
      </c>
      <c r="I21" s="55">
        <f>H21*G21*$P$15*$P$17</f>
        <v>1585.8364225337116</v>
      </c>
      <c r="J21" s="38">
        <f>I21-1600</f>
        <v>-14.163577466288416</v>
      </c>
    </row>
    <row r="22" spans="1:10" ht="15.75">
      <c r="A22" s="16" t="s">
        <v>58</v>
      </c>
      <c r="B22" s="12" t="s">
        <v>145</v>
      </c>
      <c r="D22" s="44" t="s">
        <v>146</v>
      </c>
      <c r="E22" s="9" t="s">
        <v>20</v>
      </c>
      <c r="F22" s="6" t="s">
        <v>147</v>
      </c>
      <c r="G22" s="8">
        <v>1</v>
      </c>
      <c r="H22" s="64">
        <v>9.99</v>
      </c>
      <c r="I22" s="38"/>
      <c r="J22" s="38">
        <f t="shared" si="1"/>
        <v>823.9900538325053</v>
      </c>
    </row>
    <row r="23" spans="1:17" ht="15.75">
      <c r="A23" s="8" t="s">
        <v>15</v>
      </c>
      <c r="B23" s="12" t="s">
        <v>145</v>
      </c>
      <c r="D23" s="44" t="s">
        <v>146</v>
      </c>
      <c r="E23" s="9" t="s">
        <v>20</v>
      </c>
      <c r="F23" s="6" t="s">
        <v>147</v>
      </c>
      <c r="G23" s="8">
        <v>1</v>
      </c>
      <c r="H23" s="64">
        <v>9.99</v>
      </c>
      <c r="I23" s="38"/>
      <c r="J23" s="38">
        <f t="shared" si="1"/>
        <v>823.9900538325053</v>
      </c>
      <c r="L23" s="8"/>
      <c r="M23" s="8"/>
      <c r="N23" s="8"/>
      <c r="O23" s="8"/>
      <c r="P23" s="8"/>
      <c r="Q23" s="8"/>
    </row>
    <row r="24" spans="1:10" ht="15.75">
      <c r="A24" s="16" t="s">
        <v>15</v>
      </c>
      <c r="B24" s="12" t="s">
        <v>145</v>
      </c>
      <c r="D24" s="44" t="s">
        <v>148</v>
      </c>
      <c r="E24" s="9" t="s">
        <v>16</v>
      </c>
      <c r="F24" s="6" t="s">
        <v>149</v>
      </c>
      <c r="G24" s="8">
        <v>1</v>
      </c>
      <c r="H24" s="64">
        <v>9.99</v>
      </c>
      <c r="I24" s="38"/>
      <c r="J24" s="38">
        <f t="shared" si="1"/>
        <v>823.9900538325053</v>
      </c>
    </row>
    <row r="25" spans="1:18" ht="16.5" thickBot="1">
      <c r="A25" s="16" t="s">
        <v>17</v>
      </c>
      <c r="B25" s="12" t="s">
        <v>150</v>
      </c>
      <c r="D25" s="42" t="s">
        <v>151</v>
      </c>
      <c r="E25" s="9" t="s">
        <v>7</v>
      </c>
      <c r="F25" s="6" t="s">
        <v>152</v>
      </c>
      <c r="G25" s="8">
        <v>1</v>
      </c>
      <c r="H25" s="64">
        <v>3.99</v>
      </c>
      <c r="I25" s="38"/>
      <c r="J25" s="38">
        <f t="shared" si="1"/>
        <v>329.10113261178145</v>
      </c>
      <c r="P25" s="11"/>
      <c r="Q25" s="11"/>
      <c r="R25" s="11"/>
    </row>
    <row r="26" spans="1:18" ht="15.75">
      <c r="A26" s="16" t="s">
        <v>17</v>
      </c>
      <c r="B26" s="12" t="s">
        <v>153</v>
      </c>
      <c r="D26" s="42" t="s">
        <v>154</v>
      </c>
      <c r="E26" s="9" t="s">
        <v>78</v>
      </c>
      <c r="F26" s="6" t="s">
        <v>155</v>
      </c>
      <c r="G26" s="8">
        <v>1</v>
      </c>
      <c r="H26" s="64">
        <v>23.99</v>
      </c>
      <c r="I26" s="38"/>
      <c r="J26" s="38">
        <f t="shared" si="1"/>
        <v>1978.7308700141944</v>
      </c>
      <c r="O26" s="70" t="s">
        <v>42</v>
      </c>
      <c r="P26" s="69">
        <f>SUM(H29:H40)</f>
        <v>334.41</v>
      </c>
      <c r="Q26" s="34"/>
      <c r="R26" s="11"/>
    </row>
    <row r="27" spans="1:18" ht="16.5" thickBot="1">
      <c r="A27" s="16" t="s">
        <v>17</v>
      </c>
      <c r="B27" s="12" t="s">
        <v>156</v>
      </c>
      <c r="D27" s="42" t="s">
        <v>157</v>
      </c>
      <c r="E27" s="9" t="s">
        <v>7</v>
      </c>
      <c r="F27" s="6" t="s">
        <v>158</v>
      </c>
      <c r="G27" s="8">
        <v>1</v>
      </c>
      <c r="H27" s="64">
        <v>3.99</v>
      </c>
      <c r="I27" s="38"/>
      <c r="J27" s="38">
        <f t="shared" si="1"/>
        <v>329.10113261178145</v>
      </c>
      <c r="O27" s="48" t="s">
        <v>43</v>
      </c>
      <c r="P27" s="26">
        <f>SUM(H29:H36)</f>
        <v>256.45</v>
      </c>
      <c r="Q27" s="34"/>
      <c r="R27" s="11"/>
    </row>
    <row r="28" spans="1:16" s="35" customFormat="1" ht="15.75">
      <c r="A28" s="23" t="s">
        <v>161</v>
      </c>
      <c r="B28" s="9"/>
      <c r="F28" s="24" t="s">
        <v>189</v>
      </c>
      <c r="H28" s="36"/>
      <c r="J28" s="41"/>
      <c r="O28" s="48" t="s">
        <v>44</v>
      </c>
      <c r="P28" s="26">
        <f>SUM(H37:H40)</f>
        <v>77.96</v>
      </c>
    </row>
    <row r="29" spans="1:16" ht="15.75">
      <c r="A29" s="16" t="s">
        <v>162</v>
      </c>
      <c r="B29" s="12" t="s">
        <v>163</v>
      </c>
      <c r="D29" s="44" t="s">
        <v>164</v>
      </c>
      <c r="E29" s="9" t="s">
        <v>13</v>
      </c>
      <c r="F29" s="43" t="s">
        <v>35</v>
      </c>
      <c r="G29" s="8">
        <v>1</v>
      </c>
      <c r="H29" s="61">
        <v>32.5</v>
      </c>
      <c r="I29" s="54">
        <f aca="true" t="shared" si="2" ref="I29:I36">H29*G29*$P$35*$P$40</f>
        <v>2049.019754532099</v>
      </c>
      <c r="J29" s="37"/>
      <c r="O29" s="48" t="s">
        <v>29</v>
      </c>
      <c r="P29" s="27">
        <v>56.99</v>
      </c>
    </row>
    <row r="30" spans="1:16" ht="15.75">
      <c r="A30" s="16" t="s">
        <v>165</v>
      </c>
      <c r="B30" s="12" t="s">
        <v>166</v>
      </c>
      <c r="D30" s="44" t="s">
        <v>167</v>
      </c>
      <c r="E30" s="9" t="s">
        <v>7</v>
      </c>
      <c r="F30" s="43" t="s">
        <v>35</v>
      </c>
      <c r="G30" s="8">
        <v>1</v>
      </c>
      <c r="H30" s="61">
        <v>39.5</v>
      </c>
      <c r="I30" s="54">
        <f t="shared" si="2"/>
        <v>2490.347086277474</v>
      </c>
      <c r="J30" s="38">
        <f>17712-16913</f>
        <v>799</v>
      </c>
      <c r="O30" s="48" t="s">
        <v>32</v>
      </c>
      <c r="P30" s="28">
        <f>P29/(P26-P32)+0.07</f>
        <v>0.27396549872946563</v>
      </c>
    </row>
    <row r="31" spans="1:16" ht="15.75">
      <c r="A31" s="16" t="s">
        <v>165</v>
      </c>
      <c r="B31" s="12" t="s">
        <v>168</v>
      </c>
      <c r="D31" s="44" t="s">
        <v>169</v>
      </c>
      <c r="E31" s="9" t="s">
        <v>7</v>
      </c>
      <c r="F31" s="43" t="s">
        <v>170</v>
      </c>
      <c r="G31" s="8">
        <v>1</v>
      </c>
      <c r="H31" s="61">
        <v>49.95</v>
      </c>
      <c r="I31" s="54">
        <f t="shared" si="2"/>
        <v>3149.185745811641</v>
      </c>
      <c r="J31" s="37"/>
      <c r="O31" s="48" t="s">
        <v>32</v>
      </c>
      <c r="P31" s="28">
        <f>P29/(P26-P32)+0.12</f>
        <v>0.3239654987294657</v>
      </c>
    </row>
    <row r="32" spans="1:16" ht="15.75">
      <c r="A32" s="16" t="s">
        <v>165</v>
      </c>
      <c r="B32" s="12" t="s">
        <v>171</v>
      </c>
      <c r="D32" s="44" t="s">
        <v>172</v>
      </c>
      <c r="E32" s="9" t="s">
        <v>7</v>
      </c>
      <c r="F32" s="43" t="s">
        <v>173</v>
      </c>
      <c r="G32" s="8">
        <v>1</v>
      </c>
      <c r="H32" s="61">
        <v>11</v>
      </c>
      <c r="I32" s="54">
        <f t="shared" si="2"/>
        <v>693.514378457018</v>
      </c>
      <c r="J32" s="37"/>
      <c r="O32" s="48" t="s">
        <v>45</v>
      </c>
      <c r="P32" s="27">
        <v>55</v>
      </c>
    </row>
    <row r="33" spans="1:16" ht="15.75">
      <c r="A33" s="16" t="s">
        <v>165</v>
      </c>
      <c r="B33" s="12" t="s">
        <v>171</v>
      </c>
      <c r="D33" s="44" t="s">
        <v>172</v>
      </c>
      <c r="E33" s="9" t="s">
        <v>7</v>
      </c>
      <c r="F33" s="43" t="s">
        <v>38</v>
      </c>
      <c r="G33" s="8">
        <v>1</v>
      </c>
      <c r="H33" s="61">
        <v>11</v>
      </c>
      <c r="I33" s="54">
        <f t="shared" si="2"/>
        <v>693.514378457018</v>
      </c>
      <c r="J33" s="37"/>
      <c r="O33" s="48" t="s">
        <v>46</v>
      </c>
      <c r="P33" s="27">
        <f>P32/P27</f>
        <v>0.21446675765256387</v>
      </c>
    </row>
    <row r="34" spans="1:16" ht="15.75">
      <c r="A34" s="16" t="s">
        <v>165</v>
      </c>
      <c r="B34" s="12" t="s">
        <v>171</v>
      </c>
      <c r="D34" s="44" t="s">
        <v>172</v>
      </c>
      <c r="E34" s="9" t="s">
        <v>7</v>
      </c>
      <c r="F34" s="43" t="s">
        <v>35</v>
      </c>
      <c r="G34" s="8">
        <v>1</v>
      </c>
      <c r="H34" s="61">
        <v>11</v>
      </c>
      <c r="I34" s="54">
        <f t="shared" si="2"/>
        <v>693.514378457018</v>
      </c>
      <c r="J34" s="37"/>
      <c r="O34" s="50" t="s">
        <v>43</v>
      </c>
      <c r="P34" s="28"/>
    </row>
    <row r="35" spans="1:16" ht="15.75">
      <c r="A35" s="16" t="s">
        <v>165</v>
      </c>
      <c r="B35" s="12" t="s">
        <v>174</v>
      </c>
      <c r="D35" s="44" t="s">
        <v>175</v>
      </c>
      <c r="E35" s="9" t="s">
        <v>7</v>
      </c>
      <c r="F35" s="43" t="s">
        <v>67</v>
      </c>
      <c r="G35" s="8">
        <v>1</v>
      </c>
      <c r="H35" s="61">
        <v>59.5</v>
      </c>
      <c r="I35" s="54">
        <f t="shared" si="2"/>
        <v>3751.282319835688</v>
      </c>
      <c r="J35" s="37"/>
      <c r="O35" s="48" t="s">
        <v>30</v>
      </c>
      <c r="P35" s="30">
        <f>(1-P33)*(1+P30)</f>
        <v>1.0007422488557258</v>
      </c>
    </row>
    <row r="36" spans="1:16" ht="15.75">
      <c r="A36" s="16" t="s">
        <v>24</v>
      </c>
      <c r="B36" s="12" t="s">
        <v>176</v>
      </c>
      <c r="D36" s="44" t="s">
        <v>177</v>
      </c>
      <c r="E36" s="9" t="s">
        <v>71</v>
      </c>
      <c r="F36" s="43" t="s">
        <v>178</v>
      </c>
      <c r="G36" s="8">
        <v>1</v>
      </c>
      <c r="H36" s="61">
        <v>42</v>
      </c>
      <c r="I36" s="54">
        <f t="shared" si="2"/>
        <v>2647.9639904722508</v>
      </c>
      <c r="J36" s="37">
        <f>I36-2800</f>
        <v>-152.03600952774923</v>
      </c>
      <c r="O36" s="48" t="s">
        <v>31</v>
      </c>
      <c r="P36" s="30">
        <f>(1-P33)*(1+P31)</f>
        <v>1.0400189109730975</v>
      </c>
    </row>
    <row r="37" spans="1:16" ht="15.75">
      <c r="A37" s="16" t="s">
        <v>69</v>
      </c>
      <c r="B37" s="9" t="s">
        <v>179</v>
      </c>
      <c r="D37" s="44" t="s">
        <v>180</v>
      </c>
      <c r="E37" s="9" t="s">
        <v>7</v>
      </c>
      <c r="F37" s="43" t="s">
        <v>181</v>
      </c>
      <c r="G37" s="8">
        <v>1</v>
      </c>
      <c r="H37" s="64">
        <v>14.99</v>
      </c>
      <c r="I37" s="55">
        <f>H37*G37*$P$38*$P$40</f>
        <v>1203.0947980351457</v>
      </c>
      <c r="J37" s="38">
        <f>I37-1250</f>
        <v>-46.905201964854314</v>
      </c>
      <c r="O37" s="50" t="s">
        <v>44</v>
      </c>
      <c r="P37" s="27"/>
    </row>
    <row r="38" spans="1:16" ht="15.75">
      <c r="A38" s="16" t="s">
        <v>162</v>
      </c>
      <c r="B38" s="12" t="s">
        <v>182</v>
      </c>
      <c r="D38" s="44" t="s">
        <v>183</v>
      </c>
      <c r="E38" s="9" t="s">
        <v>13</v>
      </c>
      <c r="F38" s="43" t="s">
        <v>184</v>
      </c>
      <c r="G38" s="8">
        <v>1</v>
      </c>
      <c r="H38" s="64">
        <v>11.99</v>
      </c>
      <c r="I38" s="55">
        <f>H38*G38*$P$38*$P$40</f>
        <v>962.3153187752765</v>
      </c>
      <c r="J38" s="38"/>
      <c r="O38" s="48" t="s">
        <v>30</v>
      </c>
      <c r="P38" s="31">
        <f>1+P30</f>
        <v>1.2739654987294657</v>
      </c>
    </row>
    <row r="39" spans="1:16" ht="15.75">
      <c r="A39" s="16" t="s">
        <v>162</v>
      </c>
      <c r="B39" s="12" t="s">
        <v>185</v>
      </c>
      <c r="D39" s="44" t="s">
        <v>186</v>
      </c>
      <c r="E39" s="9" t="s">
        <v>41</v>
      </c>
      <c r="F39" s="43" t="s">
        <v>184</v>
      </c>
      <c r="G39" s="8">
        <v>1</v>
      </c>
      <c r="H39" s="64">
        <v>23.99</v>
      </c>
      <c r="I39" s="55">
        <f>H39*G39*$P$38*$P$40</f>
        <v>1925.4332358147526</v>
      </c>
      <c r="J39" s="38"/>
      <c r="O39" s="48" t="s">
        <v>31</v>
      </c>
      <c r="P39" s="31">
        <f>1+P31</f>
        <v>1.3239654987294656</v>
      </c>
    </row>
    <row r="40" spans="1:16" ht="16.5" thickBot="1">
      <c r="A40" s="16" t="s">
        <v>165</v>
      </c>
      <c r="B40" s="12" t="s">
        <v>187</v>
      </c>
      <c r="D40" s="44" t="s">
        <v>188</v>
      </c>
      <c r="E40" s="9" t="s">
        <v>7</v>
      </c>
      <c r="F40" s="43" t="s">
        <v>56</v>
      </c>
      <c r="G40" s="8">
        <v>1</v>
      </c>
      <c r="H40" s="64">
        <v>26.99</v>
      </c>
      <c r="I40" s="55">
        <f>H40*G40*$P$38*$P$40</f>
        <v>2166.2127150746214</v>
      </c>
      <c r="J40" s="38"/>
      <c r="O40" s="51" t="s">
        <v>33</v>
      </c>
      <c r="P40" s="33">
        <v>63</v>
      </c>
    </row>
    <row r="41" spans="1:17" ht="15.75">
      <c r="A41" s="23" t="s">
        <v>190</v>
      </c>
      <c r="C41" s="35"/>
      <c r="D41" s="35"/>
      <c r="E41" s="35"/>
      <c r="F41" s="24" t="s">
        <v>241</v>
      </c>
      <c r="G41" s="8"/>
      <c r="P41" s="16"/>
      <c r="Q41" s="31"/>
    </row>
    <row r="42" spans="1:17" ht="16.5" thickBot="1">
      <c r="A42" s="16" t="s">
        <v>162</v>
      </c>
      <c r="B42" s="12" t="s">
        <v>163</v>
      </c>
      <c r="D42" s="44" t="s">
        <v>191</v>
      </c>
      <c r="E42" s="9" t="s">
        <v>70</v>
      </c>
      <c r="F42" s="43" t="s">
        <v>192</v>
      </c>
      <c r="G42" s="8">
        <v>1</v>
      </c>
      <c r="H42" s="61">
        <v>48.5</v>
      </c>
      <c r="I42" s="54">
        <f aca="true" t="shared" si="3" ref="I42:I59">H42*G42*$P$54*$P$59</f>
        <v>3109.548073936259</v>
      </c>
      <c r="J42" s="37">
        <f>8046-8300</f>
        <v>-254</v>
      </c>
      <c r="P42" s="32"/>
      <c r="Q42" s="33"/>
    </row>
    <row r="43" spans="1:17" ht="15.75">
      <c r="A43" s="16" t="s">
        <v>15</v>
      </c>
      <c r="B43" s="21" t="s">
        <v>95</v>
      </c>
      <c r="C43" s="8"/>
      <c r="D43" s="19" t="s">
        <v>96</v>
      </c>
      <c r="E43" s="8" t="s">
        <v>16</v>
      </c>
      <c r="F43" s="18" t="s">
        <v>97</v>
      </c>
      <c r="G43" s="8">
        <v>1</v>
      </c>
      <c r="H43" s="72">
        <v>29.5</v>
      </c>
      <c r="I43" s="37"/>
      <c r="J43" s="37">
        <f>H43*G43*$P$55*$P$59</f>
        <v>1966.3667069357275</v>
      </c>
      <c r="L43" s="8"/>
      <c r="M43" s="8"/>
      <c r="N43" s="8"/>
      <c r="O43" s="8"/>
      <c r="P43" s="8"/>
      <c r="Q43" s="8"/>
    </row>
    <row r="44" spans="1:10" ht="16.5" thickBot="1">
      <c r="A44" s="16" t="s">
        <v>165</v>
      </c>
      <c r="B44" s="12" t="s">
        <v>193</v>
      </c>
      <c r="D44" s="44" t="s">
        <v>194</v>
      </c>
      <c r="E44" s="9" t="s">
        <v>7</v>
      </c>
      <c r="F44" s="43" t="s">
        <v>35</v>
      </c>
      <c r="G44" s="8">
        <v>1</v>
      </c>
      <c r="H44" s="61">
        <v>42.5</v>
      </c>
      <c r="I44" s="54">
        <f t="shared" si="3"/>
        <v>2724.8617142740413</v>
      </c>
      <c r="J44" s="37"/>
    </row>
    <row r="45" spans="1:16" ht="15.75">
      <c r="A45" s="16" t="s">
        <v>81</v>
      </c>
      <c r="B45" s="12" t="s">
        <v>195</v>
      </c>
      <c r="D45" s="44" t="s">
        <v>196</v>
      </c>
      <c r="E45" s="9" t="s">
        <v>16</v>
      </c>
      <c r="F45" s="43" t="s">
        <v>35</v>
      </c>
      <c r="G45" s="8">
        <v>1</v>
      </c>
      <c r="H45" s="61">
        <v>20.5</v>
      </c>
      <c r="I45" s="37"/>
      <c r="J45" s="37">
        <f>H45*G45*$P$55*$P$59</f>
        <v>1366.45822007398</v>
      </c>
      <c r="O45" s="73" t="s">
        <v>42</v>
      </c>
      <c r="P45" s="69">
        <f>SUM(H42:H65)</f>
        <v>389.93999999999994</v>
      </c>
    </row>
    <row r="46" spans="1:16" ht="15.75">
      <c r="A46" s="16" t="s">
        <v>81</v>
      </c>
      <c r="B46" s="12" t="s">
        <v>195</v>
      </c>
      <c r="D46" s="44" t="s">
        <v>197</v>
      </c>
      <c r="E46" s="9" t="s">
        <v>20</v>
      </c>
      <c r="F46" s="43" t="s">
        <v>35</v>
      </c>
      <c r="G46" s="8">
        <v>1</v>
      </c>
      <c r="H46" s="61">
        <v>18.5</v>
      </c>
      <c r="I46" s="37"/>
      <c r="J46" s="37">
        <f>H46*G46*$P$55*$P$59</f>
        <v>1233.145222993592</v>
      </c>
      <c r="O46" s="16" t="s">
        <v>43</v>
      </c>
      <c r="P46" s="26">
        <f>SUM(H42:H59)</f>
        <v>284.9999999999999</v>
      </c>
    </row>
    <row r="47" spans="1:16" ht="15.75">
      <c r="A47" s="16" t="s">
        <v>81</v>
      </c>
      <c r="B47" s="12" t="s">
        <v>198</v>
      </c>
      <c r="D47" s="44" t="s">
        <v>199</v>
      </c>
      <c r="E47" s="9" t="s">
        <v>20</v>
      </c>
      <c r="F47" s="43" t="s">
        <v>200</v>
      </c>
      <c r="G47" s="8">
        <v>1</v>
      </c>
      <c r="H47" s="61">
        <v>22</v>
      </c>
      <c r="I47" s="37"/>
      <c r="J47" s="37">
        <f>H47*G47*$P$55*$P$59</f>
        <v>1466.4429678842712</v>
      </c>
      <c r="O47" s="16" t="s">
        <v>44</v>
      </c>
      <c r="P47" s="26">
        <f>SUM(H60:H65)</f>
        <v>104.93999999999998</v>
      </c>
    </row>
    <row r="48" spans="1:16" ht="15.75">
      <c r="A48" s="16" t="s">
        <v>118</v>
      </c>
      <c r="B48" s="12" t="s">
        <v>201</v>
      </c>
      <c r="D48" s="44" t="s">
        <v>202</v>
      </c>
      <c r="E48" s="9" t="s">
        <v>16</v>
      </c>
      <c r="F48" s="43" t="s">
        <v>203</v>
      </c>
      <c r="G48" s="8">
        <v>1</v>
      </c>
      <c r="H48" s="61">
        <v>5.4</v>
      </c>
      <c r="I48" s="54">
        <f t="shared" si="3"/>
        <v>346.21772369599586</v>
      </c>
      <c r="J48" s="37"/>
      <c r="O48" s="16" t="s">
        <v>29</v>
      </c>
      <c r="P48" s="27">
        <v>63.99</v>
      </c>
    </row>
    <row r="49" spans="1:16" ht="15.75">
      <c r="A49" s="16" t="s">
        <v>118</v>
      </c>
      <c r="B49" s="35" t="s">
        <v>201</v>
      </c>
      <c r="C49" s="35"/>
      <c r="D49" s="44" t="s">
        <v>202</v>
      </c>
      <c r="E49" s="35" t="s">
        <v>16</v>
      </c>
      <c r="F49" s="43" t="s">
        <v>100</v>
      </c>
      <c r="G49" s="8">
        <v>1</v>
      </c>
      <c r="H49" s="61">
        <v>5.4</v>
      </c>
      <c r="I49" s="54">
        <f t="shared" si="3"/>
        <v>346.21772369599586</v>
      </c>
      <c r="J49" s="37"/>
      <c r="L49" s="35"/>
      <c r="M49" s="35"/>
      <c r="N49" s="35"/>
      <c r="O49" s="16" t="s">
        <v>32</v>
      </c>
      <c r="P49" s="28">
        <f>P48/(P45-P51)+0.07</f>
        <v>0.2610491431301129</v>
      </c>
    </row>
    <row r="50" spans="1:16" ht="15.75">
      <c r="A50" s="16" t="s">
        <v>118</v>
      </c>
      <c r="B50" s="35" t="s">
        <v>204</v>
      </c>
      <c r="C50" s="35"/>
      <c r="D50" s="44" t="s">
        <v>205</v>
      </c>
      <c r="E50" s="35" t="s">
        <v>16</v>
      </c>
      <c r="F50" s="43" t="s">
        <v>35</v>
      </c>
      <c r="G50" s="8">
        <v>1</v>
      </c>
      <c r="H50" s="61">
        <v>5.4</v>
      </c>
      <c r="I50" s="54">
        <f t="shared" si="3"/>
        <v>346.21772369599586</v>
      </c>
      <c r="J50" s="37"/>
      <c r="L50" s="35"/>
      <c r="M50" s="35"/>
      <c r="N50" s="35"/>
      <c r="O50" s="16" t="s">
        <v>32</v>
      </c>
      <c r="P50" s="28">
        <f>P48/(P45-P51)+0.12</f>
        <v>0.3110491431301129</v>
      </c>
    </row>
    <row r="51" spans="1:16" ht="15.75">
      <c r="A51" s="16" t="s">
        <v>118</v>
      </c>
      <c r="B51" s="35" t="s">
        <v>206</v>
      </c>
      <c r="C51" s="35"/>
      <c r="D51" s="44" t="s">
        <v>207</v>
      </c>
      <c r="E51" s="35" t="s">
        <v>16</v>
      </c>
      <c r="F51" s="43" t="s">
        <v>25</v>
      </c>
      <c r="G51" s="8">
        <v>1</v>
      </c>
      <c r="H51" s="61">
        <v>5.4</v>
      </c>
      <c r="I51" s="54">
        <f t="shared" si="3"/>
        <v>346.21772369599586</v>
      </c>
      <c r="J51" s="37"/>
      <c r="L51" s="35"/>
      <c r="M51" s="35"/>
      <c r="N51" s="35"/>
      <c r="O51" s="16" t="s">
        <v>45</v>
      </c>
      <c r="P51" s="27">
        <v>55</v>
      </c>
    </row>
    <row r="52" spans="1:16" ht="15.75">
      <c r="A52" s="16" t="s">
        <v>118</v>
      </c>
      <c r="B52" s="35" t="s">
        <v>208</v>
      </c>
      <c r="C52" s="35"/>
      <c r="D52" s="44" t="s">
        <v>209</v>
      </c>
      <c r="E52" s="35" t="s">
        <v>16</v>
      </c>
      <c r="F52" s="43" t="s">
        <v>210</v>
      </c>
      <c r="G52" s="8">
        <v>1</v>
      </c>
      <c r="H52" s="61">
        <v>5.4</v>
      </c>
      <c r="I52" s="54">
        <f t="shared" si="3"/>
        <v>346.21772369599586</v>
      </c>
      <c r="J52" s="37"/>
      <c r="L52" s="35"/>
      <c r="M52" s="35"/>
      <c r="N52" s="35"/>
      <c r="O52" s="16" t="s">
        <v>46</v>
      </c>
      <c r="P52" s="27">
        <f>P51/P46</f>
        <v>0.19298245614035095</v>
      </c>
    </row>
    <row r="53" spans="1:16" ht="15.75">
      <c r="A53" s="16" t="s">
        <v>118</v>
      </c>
      <c r="B53" s="35" t="s">
        <v>211</v>
      </c>
      <c r="C53" s="35"/>
      <c r="D53" s="44" t="s">
        <v>212</v>
      </c>
      <c r="E53" s="35" t="s">
        <v>213</v>
      </c>
      <c r="F53" s="43" t="s">
        <v>210</v>
      </c>
      <c r="G53" s="8">
        <v>1</v>
      </c>
      <c r="H53" s="61">
        <v>24.75</v>
      </c>
      <c r="I53" s="54">
        <f t="shared" si="3"/>
        <v>1586.8312336066474</v>
      </c>
      <c r="J53" s="37"/>
      <c r="L53" s="35"/>
      <c r="M53" s="35"/>
      <c r="N53" s="35"/>
      <c r="O53" s="29" t="s">
        <v>43</v>
      </c>
      <c r="P53" s="28"/>
    </row>
    <row r="54" spans="1:16" ht="15.75">
      <c r="A54" s="16" t="s">
        <v>118</v>
      </c>
      <c r="B54" s="35" t="s">
        <v>214</v>
      </c>
      <c r="C54" s="35"/>
      <c r="D54" s="44" t="s">
        <v>215</v>
      </c>
      <c r="E54" s="35" t="s">
        <v>213</v>
      </c>
      <c r="F54" s="43" t="s">
        <v>216</v>
      </c>
      <c r="G54" s="8">
        <v>1</v>
      </c>
      <c r="H54" s="61">
        <v>24.75</v>
      </c>
      <c r="I54" s="54">
        <f t="shared" si="3"/>
        <v>1586.8312336066474</v>
      </c>
      <c r="J54" s="37"/>
      <c r="L54" s="35"/>
      <c r="M54" s="35"/>
      <c r="N54" s="35"/>
      <c r="O54" s="16" t="s">
        <v>30</v>
      </c>
      <c r="P54" s="30">
        <f>(1-P52)*(1+P49)</f>
        <v>1.0176887821751788</v>
      </c>
    </row>
    <row r="55" spans="1:16" ht="15.75">
      <c r="A55" s="16" t="s">
        <v>217</v>
      </c>
      <c r="B55" s="35" t="s">
        <v>218</v>
      </c>
      <c r="C55" s="35"/>
      <c r="D55" s="44" t="s">
        <v>219</v>
      </c>
      <c r="E55" s="35" t="s">
        <v>16</v>
      </c>
      <c r="F55" s="43" t="s">
        <v>35</v>
      </c>
      <c r="G55" s="8">
        <v>1</v>
      </c>
      <c r="H55" s="61">
        <v>5.4</v>
      </c>
      <c r="I55" s="54">
        <f t="shared" si="3"/>
        <v>346.21772369599586</v>
      </c>
      <c r="J55" s="37"/>
      <c r="L55" s="35"/>
      <c r="M55" s="35"/>
      <c r="N55" s="35"/>
      <c r="O55" s="16" t="s">
        <v>31</v>
      </c>
      <c r="P55" s="30">
        <f>(1-P52)*(1+P50)</f>
        <v>1.0580396593681611</v>
      </c>
    </row>
    <row r="56" spans="1:16" ht="15.75">
      <c r="A56" s="16" t="s">
        <v>217</v>
      </c>
      <c r="B56" s="12" t="s">
        <v>220</v>
      </c>
      <c r="D56" s="44" t="s">
        <v>221</v>
      </c>
      <c r="E56" s="35" t="s">
        <v>16</v>
      </c>
      <c r="F56" s="43" t="s">
        <v>38</v>
      </c>
      <c r="G56" s="8">
        <v>1</v>
      </c>
      <c r="H56" s="61">
        <v>5.4</v>
      </c>
      <c r="I56" s="54">
        <f t="shared" si="3"/>
        <v>346.21772369599586</v>
      </c>
      <c r="J56" s="37"/>
      <c r="O56" s="29" t="s">
        <v>44</v>
      </c>
      <c r="P56" s="27"/>
    </row>
    <row r="57" spans="1:16" ht="15.75">
      <c r="A57" s="16" t="s">
        <v>217</v>
      </c>
      <c r="B57" s="12" t="s">
        <v>222</v>
      </c>
      <c r="D57" s="44" t="s">
        <v>223</v>
      </c>
      <c r="E57" s="35" t="s">
        <v>16</v>
      </c>
      <c r="F57" s="43" t="s">
        <v>224</v>
      </c>
      <c r="G57" s="8">
        <v>1</v>
      </c>
      <c r="H57" s="61">
        <v>5.4</v>
      </c>
      <c r="I57" s="54">
        <f t="shared" si="3"/>
        <v>346.21772369599586</v>
      </c>
      <c r="J57" s="37"/>
      <c r="O57" s="16" t="s">
        <v>30</v>
      </c>
      <c r="P57" s="31">
        <f>1+P49</f>
        <v>1.261049143130113</v>
      </c>
    </row>
    <row r="58" spans="1:16" ht="15.75">
      <c r="A58" s="16" t="s">
        <v>217</v>
      </c>
      <c r="B58" s="12" t="s">
        <v>105</v>
      </c>
      <c r="D58" s="44" t="s">
        <v>225</v>
      </c>
      <c r="E58" s="35" t="s">
        <v>16</v>
      </c>
      <c r="F58" s="43" t="s">
        <v>27</v>
      </c>
      <c r="G58" s="8">
        <v>1</v>
      </c>
      <c r="H58" s="61">
        <v>5.4</v>
      </c>
      <c r="I58" s="54">
        <f t="shared" si="3"/>
        <v>346.21772369599586</v>
      </c>
      <c r="J58" s="37"/>
      <c r="O58" s="16" t="s">
        <v>31</v>
      </c>
      <c r="P58" s="31">
        <f>1+P50</f>
        <v>1.3110491431301128</v>
      </c>
    </row>
    <row r="59" spans="1:16" ht="16.5" thickBot="1">
      <c r="A59" s="16" t="s">
        <v>217</v>
      </c>
      <c r="B59" s="12" t="s">
        <v>105</v>
      </c>
      <c r="D59" s="44" t="s">
        <v>226</v>
      </c>
      <c r="E59" s="35" t="s">
        <v>16</v>
      </c>
      <c r="F59" s="43" t="s">
        <v>28</v>
      </c>
      <c r="G59" s="8">
        <v>1</v>
      </c>
      <c r="H59" s="61">
        <v>5.4</v>
      </c>
      <c r="I59" s="54">
        <f t="shared" si="3"/>
        <v>346.21772369599586</v>
      </c>
      <c r="J59" s="37">
        <f>1731-1755</f>
        <v>-24</v>
      </c>
      <c r="O59" s="32" t="s">
        <v>33</v>
      </c>
      <c r="P59" s="33">
        <v>63</v>
      </c>
    </row>
    <row r="60" spans="1:15" ht="15.75">
      <c r="A60" s="8" t="s">
        <v>15</v>
      </c>
      <c r="B60" s="12" t="s">
        <v>227</v>
      </c>
      <c r="D60" s="44" t="s">
        <v>228</v>
      </c>
      <c r="E60" s="9" t="s">
        <v>16</v>
      </c>
      <c r="F60" s="43" t="s">
        <v>229</v>
      </c>
      <c r="G60" s="8">
        <v>1</v>
      </c>
      <c r="H60" s="64">
        <v>29.99</v>
      </c>
      <c r="I60" s="38"/>
      <c r="J60" s="38">
        <f aca="true" t="shared" si="4" ref="J60:J65">H60*G60*$P$58*$P$59</f>
        <v>2477.056919555741</v>
      </c>
      <c r="L60" s="35"/>
      <c r="M60" s="35"/>
      <c r="N60" s="35"/>
      <c r="O60" s="35"/>
    </row>
    <row r="61" spans="1:9" ht="15.75">
      <c r="A61" s="16" t="s">
        <v>165</v>
      </c>
      <c r="B61" s="65" t="s">
        <v>230</v>
      </c>
      <c r="C61" s="45"/>
      <c r="D61" s="47" t="s">
        <v>231</v>
      </c>
      <c r="E61" s="8" t="s">
        <v>7</v>
      </c>
      <c r="F61" s="46" t="s">
        <v>56</v>
      </c>
      <c r="G61" s="8">
        <v>1</v>
      </c>
      <c r="H61" s="66">
        <v>16.99</v>
      </c>
      <c r="I61" s="55">
        <f>H61*G61*$P$57*$P$59</f>
        <v>1349.7891713321787</v>
      </c>
    </row>
    <row r="62" spans="1:10" ht="15.75">
      <c r="A62" s="8" t="s">
        <v>59</v>
      </c>
      <c r="B62" s="21" t="s">
        <v>232</v>
      </c>
      <c r="C62" s="8"/>
      <c r="D62" s="22" t="s">
        <v>233</v>
      </c>
      <c r="E62" s="16" t="s">
        <v>16</v>
      </c>
      <c r="F62" s="18" t="s">
        <v>234</v>
      </c>
      <c r="G62" s="8">
        <v>1</v>
      </c>
      <c r="H62" s="66">
        <v>9.99</v>
      </c>
      <c r="I62" s="38"/>
      <c r="J62" s="38">
        <f t="shared" si="4"/>
        <v>825.1349992117991</v>
      </c>
    </row>
    <row r="63" spans="1:17" ht="15.75">
      <c r="A63" s="16" t="s">
        <v>17</v>
      </c>
      <c r="B63" s="21" t="s">
        <v>235</v>
      </c>
      <c r="C63" s="8"/>
      <c r="D63" s="22" t="s">
        <v>236</v>
      </c>
      <c r="E63" s="8" t="s">
        <v>54</v>
      </c>
      <c r="F63" s="74" t="s">
        <v>237</v>
      </c>
      <c r="G63" s="8">
        <v>1</v>
      </c>
      <c r="H63" s="66">
        <v>19.99</v>
      </c>
      <c r="I63" s="38"/>
      <c r="J63" s="38">
        <f t="shared" si="4"/>
        <v>1651.0959593837702</v>
      </c>
      <c r="L63" s="45"/>
      <c r="M63" s="45"/>
      <c r="N63" s="45"/>
      <c r="O63" s="45"/>
      <c r="P63" s="45"/>
      <c r="Q63" s="45"/>
    </row>
    <row r="64" spans="1:17" ht="15.75">
      <c r="A64" s="8" t="s">
        <v>17</v>
      </c>
      <c r="B64" s="21" t="s">
        <v>85</v>
      </c>
      <c r="C64" s="8"/>
      <c r="D64" s="22" t="s">
        <v>86</v>
      </c>
      <c r="E64" s="8" t="s">
        <v>78</v>
      </c>
      <c r="F64" s="18" t="s">
        <v>87</v>
      </c>
      <c r="G64" s="8">
        <v>1</v>
      </c>
      <c r="H64" s="66">
        <v>12.99</v>
      </c>
      <c r="I64" s="38"/>
      <c r="J64" s="38">
        <f t="shared" si="4"/>
        <v>1072.9232872633904</v>
      </c>
      <c r="L64" s="8"/>
      <c r="M64" s="8"/>
      <c r="N64" s="8"/>
      <c r="O64" s="8"/>
      <c r="P64" s="8"/>
      <c r="Q64" s="8"/>
    </row>
    <row r="65" spans="1:17" ht="15.75">
      <c r="A65" s="16" t="s">
        <v>17</v>
      </c>
      <c r="B65" s="21" t="s">
        <v>238</v>
      </c>
      <c r="C65" s="8"/>
      <c r="D65" s="22" t="s">
        <v>239</v>
      </c>
      <c r="E65" s="8" t="s">
        <v>240</v>
      </c>
      <c r="F65" s="18" t="s">
        <v>18</v>
      </c>
      <c r="G65" s="8">
        <v>1</v>
      </c>
      <c r="H65" s="66">
        <v>14.99</v>
      </c>
      <c r="I65" s="38"/>
      <c r="J65" s="38">
        <f t="shared" si="4"/>
        <v>1238.1154792977845</v>
      </c>
      <c r="L65" s="8"/>
      <c r="M65" s="8"/>
      <c r="N65" s="8"/>
      <c r="O65" s="8"/>
      <c r="P65" s="16"/>
      <c r="Q65" s="29"/>
    </row>
    <row r="66" ht="15.75" thickBot="1">
      <c r="A66" s="9">
        <v>1</v>
      </c>
    </row>
    <row r="67" spans="1:12" s="60" customFormat="1" ht="16.5" thickBot="1">
      <c r="A67" s="58" t="s">
        <v>248</v>
      </c>
      <c r="F67" s="59" t="s">
        <v>392</v>
      </c>
      <c r="H67" s="61"/>
      <c r="I67" s="61"/>
      <c r="K67" s="79"/>
      <c r="L67" s="80"/>
    </row>
    <row r="68" spans="1:16" ht="15.75">
      <c r="A68" s="8" t="s">
        <v>249</v>
      </c>
      <c r="B68" s="12" t="s">
        <v>250</v>
      </c>
      <c r="D68" s="44" t="s">
        <v>251</v>
      </c>
      <c r="E68" s="9" t="s">
        <v>19</v>
      </c>
      <c r="F68" s="6" t="s">
        <v>252</v>
      </c>
      <c r="G68" s="8">
        <v>1</v>
      </c>
      <c r="H68" s="5">
        <v>5</v>
      </c>
      <c r="I68" s="37"/>
      <c r="J68" s="37">
        <f aca="true" t="shared" si="5" ref="J68:J95">H68*G68*$P$78*$P$82</f>
        <v>330.48454636091725</v>
      </c>
      <c r="L68" s="8"/>
      <c r="M68" s="8"/>
      <c r="N68" s="8"/>
      <c r="O68" s="70" t="s">
        <v>42</v>
      </c>
      <c r="P68" s="69">
        <f>SUM(H68:H97)</f>
        <v>250.74999999999991</v>
      </c>
    </row>
    <row r="69" spans="1:16" ht="15.75">
      <c r="A69" s="8" t="s">
        <v>249</v>
      </c>
      <c r="B69" s="12" t="s">
        <v>250</v>
      </c>
      <c r="D69" s="44" t="s">
        <v>251</v>
      </c>
      <c r="E69" s="9" t="s">
        <v>19</v>
      </c>
      <c r="F69" s="6" t="s">
        <v>253</v>
      </c>
      <c r="G69" s="8">
        <v>1</v>
      </c>
      <c r="H69" s="5">
        <v>5</v>
      </c>
      <c r="I69" s="37"/>
      <c r="J69" s="37">
        <f t="shared" si="5"/>
        <v>330.48454636091725</v>
      </c>
      <c r="L69" s="8"/>
      <c r="M69" s="8"/>
      <c r="N69" s="8"/>
      <c r="O69" s="48" t="s">
        <v>43</v>
      </c>
      <c r="P69" s="26">
        <f>SUM(H68:H97)</f>
        <v>250.74999999999991</v>
      </c>
    </row>
    <row r="70" spans="1:16" ht="15.75">
      <c r="A70" s="8" t="s">
        <v>249</v>
      </c>
      <c r="B70" s="63" t="s">
        <v>250</v>
      </c>
      <c r="C70" s="35"/>
      <c r="D70" s="44" t="s">
        <v>251</v>
      </c>
      <c r="E70" s="9" t="s">
        <v>19</v>
      </c>
      <c r="F70" s="6" t="s">
        <v>254</v>
      </c>
      <c r="G70" s="8">
        <v>1</v>
      </c>
      <c r="H70" s="36">
        <v>5</v>
      </c>
      <c r="I70" s="37"/>
      <c r="J70" s="37">
        <f t="shared" si="5"/>
        <v>330.48454636091725</v>
      </c>
      <c r="L70" s="35"/>
      <c r="M70" s="35"/>
      <c r="N70" s="35"/>
      <c r="O70" s="48" t="s">
        <v>44</v>
      </c>
      <c r="P70" s="26">
        <v>0</v>
      </c>
    </row>
    <row r="71" spans="1:16" ht="15.75">
      <c r="A71" s="16" t="s">
        <v>58</v>
      </c>
      <c r="B71" s="12" t="s">
        <v>250</v>
      </c>
      <c r="D71" s="44" t="s">
        <v>251</v>
      </c>
      <c r="E71" s="9" t="s">
        <v>19</v>
      </c>
      <c r="F71" s="6" t="s">
        <v>255</v>
      </c>
      <c r="G71" s="8">
        <v>1</v>
      </c>
      <c r="H71" s="5">
        <v>5</v>
      </c>
      <c r="I71" s="37"/>
      <c r="J71" s="37">
        <f t="shared" si="5"/>
        <v>330.48454636091725</v>
      </c>
      <c r="O71" s="48" t="s">
        <v>29</v>
      </c>
      <c r="P71" s="27">
        <v>56.99</v>
      </c>
    </row>
    <row r="72" spans="1:16" ht="15.75">
      <c r="A72" s="16" t="s">
        <v>24</v>
      </c>
      <c r="B72" s="12" t="s">
        <v>256</v>
      </c>
      <c r="D72" s="44" t="s">
        <v>257</v>
      </c>
      <c r="E72" s="9" t="s">
        <v>19</v>
      </c>
      <c r="F72" s="6" t="s">
        <v>258</v>
      </c>
      <c r="G72" s="8">
        <v>1</v>
      </c>
      <c r="H72" s="5">
        <v>5</v>
      </c>
      <c r="I72" s="37"/>
      <c r="J72" s="37">
        <f t="shared" si="5"/>
        <v>330.48454636091725</v>
      </c>
      <c r="L72" s="52" t="s">
        <v>396</v>
      </c>
      <c r="O72" s="48" t="s">
        <v>32</v>
      </c>
      <c r="P72" s="28">
        <f>P71/(P68-P74)+0.07</f>
        <v>0.3611366538952747</v>
      </c>
    </row>
    <row r="73" spans="1:16" ht="15.75">
      <c r="A73" s="16" t="s">
        <v>104</v>
      </c>
      <c r="B73" s="12" t="s">
        <v>259</v>
      </c>
      <c r="D73" s="44" t="s">
        <v>260</v>
      </c>
      <c r="E73" s="9" t="s">
        <v>19</v>
      </c>
      <c r="F73" s="6" t="s">
        <v>261</v>
      </c>
      <c r="G73" s="8">
        <v>1</v>
      </c>
      <c r="H73" s="5">
        <v>5</v>
      </c>
      <c r="I73" s="37"/>
      <c r="J73" s="37">
        <f t="shared" si="5"/>
        <v>330.48454636091725</v>
      </c>
      <c r="O73" s="48" t="s">
        <v>32</v>
      </c>
      <c r="P73" s="28">
        <f>P71/(P68-P74)+0.12</f>
        <v>0.4111366538952747</v>
      </c>
    </row>
    <row r="74" spans="1:16" ht="15.75">
      <c r="A74" s="16" t="s">
        <v>262</v>
      </c>
      <c r="B74" s="12" t="s">
        <v>259</v>
      </c>
      <c r="D74" s="44" t="s">
        <v>260</v>
      </c>
      <c r="E74" s="9" t="s">
        <v>19</v>
      </c>
      <c r="F74" s="6" t="s">
        <v>263</v>
      </c>
      <c r="G74" s="8">
        <v>1</v>
      </c>
      <c r="H74" s="36">
        <v>5</v>
      </c>
      <c r="I74" s="37"/>
      <c r="J74" s="37">
        <f t="shared" si="5"/>
        <v>330.48454636091725</v>
      </c>
      <c r="O74" s="48" t="s">
        <v>45</v>
      </c>
      <c r="P74" s="27">
        <v>55</v>
      </c>
    </row>
    <row r="75" spans="1:16" ht="15.75">
      <c r="A75" s="16" t="s">
        <v>63</v>
      </c>
      <c r="B75" s="12" t="s">
        <v>264</v>
      </c>
      <c r="D75" s="44" t="s">
        <v>265</v>
      </c>
      <c r="E75" s="9" t="s">
        <v>19</v>
      </c>
      <c r="F75" s="6" t="s">
        <v>266</v>
      </c>
      <c r="G75" s="8">
        <v>1</v>
      </c>
      <c r="H75" s="5">
        <v>5</v>
      </c>
      <c r="I75" s="54">
        <f>H75*G75*$P$77*$P$82</f>
        <v>318.77467597208374</v>
      </c>
      <c r="J75" s="37"/>
      <c r="O75" s="48" t="s">
        <v>46</v>
      </c>
      <c r="P75" s="27">
        <f>P74/P69</f>
        <v>0.2193419740777668</v>
      </c>
    </row>
    <row r="76" spans="1:16" ht="15.75">
      <c r="A76" s="16" t="s">
        <v>63</v>
      </c>
      <c r="B76" s="12" t="s">
        <v>267</v>
      </c>
      <c r="D76" s="44" t="s">
        <v>260</v>
      </c>
      <c r="E76" s="9" t="s">
        <v>19</v>
      </c>
      <c r="F76" s="6" t="s">
        <v>268</v>
      </c>
      <c r="G76" s="8">
        <v>1</v>
      </c>
      <c r="H76" s="5">
        <v>5</v>
      </c>
      <c r="I76" s="54">
        <f>H76*G76*$P$77*$P$82</f>
        <v>318.77467597208374</v>
      </c>
      <c r="J76" s="37"/>
      <c r="O76" s="50" t="s">
        <v>43</v>
      </c>
      <c r="P76" s="28"/>
    </row>
    <row r="77" spans="1:16" ht="15.75">
      <c r="A77" s="16" t="s">
        <v>24</v>
      </c>
      <c r="B77" s="63" t="s">
        <v>269</v>
      </c>
      <c r="C77" s="35"/>
      <c r="D77" s="44" t="s">
        <v>270</v>
      </c>
      <c r="E77" s="9" t="s">
        <v>19</v>
      </c>
      <c r="F77" s="6" t="s">
        <v>271</v>
      </c>
      <c r="G77" s="8">
        <v>1</v>
      </c>
      <c r="H77" s="5">
        <v>5</v>
      </c>
      <c r="I77" s="37"/>
      <c r="J77" s="37">
        <f t="shared" si="5"/>
        <v>330.48454636091725</v>
      </c>
      <c r="L77" s="52" t="s">
        <v>272</v>
      </c>
      <c r="O77" s="48" t="s">
        <v>30</v>
      </c>
      <c r="P77" s="30">
        <f>(1-P75)*(1+P72)</f>
        <v>1.062582253240279</v>
      </c>
    </row>
    <row r="78" spans="1:16" ht="15.75">
      <c r="A78" s="16" t="s">
        <v>165</v>
      </c>
      <c r="B78" s="63" t="s">
        <v>273</v>
      </c>
      <c r="C78" s="35"/>
      <c r="D78" s="35" t="s">
        <v>274</v>
      </c>
      <c r="E78" s="35" t="s">
        <v>7</v>
      </c>
      <c r="F78" s="6" t="s">
        <v>35</v>
      </c>
      <c r="G78" s="8">
        <v>1</v>
      </c>
      <c r="H78" s="36">
        <v>26.5</v>
      </c>
      <c r="I78" s="37"/>
      <c r="J78" s="37">
        <f t="shared" si="5"/>
        <v>1751.5680957128613</v>
      </c>
      <c r="L78" s="35"/>
      <c r="M78" s="35"/>
      <c r="N78" s="35"/>
      <c r="O78" s="48" t="s">
        <v>31</v>
      </c>
      <c r="P78" s="30">
        <f>(1-P75)*(1+P73)</f>
        <v>1.1016151545363908</v>
      </c>
    </row>
    <row r="79" spans="1:16" ht="15.75">
      <c r="A79" s="16" t="s">
        <v>14</v>
      </c>
      <c r="B79" s="12" t="s">
        <v>275</v>
      </c>
      <c r="D79" s="44" t="s">
        <v>276</v>
      </c>
      <c r="E79" s="9" t="s">
        <v>65</v>
      </c>
      <c r="F79" s="6" t="s">
        <v>277</v>
      </c>
      <c r="G79" s="8">
        <v>1</v>
      </c>
      <c r="H79" s="5">
        <v>49.5</v>
      </c>
      <c r="I79" s="37"/>
      <c r="J79" s="37">
        <f t="shared" si="5"/>
        <v>3271.7970089730807</v>
      </c>
      <c r="O79" s="50"/>
      <c r="P79" s="27"/>
    </row>
    <row r="80" spans="1:16" ht="15.75">
      <c r="A80" s="16" t="s">
        <v>278</v>
      </c>
      <c r="B80" s="12" t="s">
        <v>279</v>
      </c>
      <c r="D80" s="44" t="s">
        <v>280</v>
      </c>
      <c r="E80" s="9" t="s">
        <v>281</v>
      </c>
      <c r="F80" s="6" t="s">
        <v>282</v>
      </c>
      <c r="G80" s="8">
        <v>1</v>
      </c>
      <c r="H80" s="5">
        <v>46.5</v>
      </c>
      <c r="I80" s="54">
        <f>H80*G80*$P$77*$P$82</f>
        <v>2964.6044865403787</v>
      </c>
      <c r="J80" s="37">
        <f>4272-4977</f>
        <v>-705</v>
      </c>
      <c r="O80" s="48"/>
      <c r="P80" s="31"/>
    </row>
    <row r="81" spans="1:16" ht="15.75">
      <c r="A81" s="16" t="s">
        <v>278</v>
      </c>
      <c r="B81" s="12" t="s">
        <v>279</v>
      </c>
      <c r="D81" s="44" t="s">
        <v>283</v>
      </c>
      <c r="E81" s="9" t="s">
        <v>7</v>
      </c>
      <c r="F81" s="6" t="s">
        <v>35</v>
      </c>
      <c r="G81" s="8">
        <v>1</v>
      </c>
      <c r="H81" s="5">
        <v>20.5</v>
      </c>
      <c r="I81" s="54">
        <f>H81*G81*$P$77*$P$82</f>
        <v>1306.9761714855433</v>
      </c>
      <c r="J81" s="37"/>
      <c r="L81" s="52" t="s">
        <v>284</v>
      </c>
      <c r="O81" s="48"/>
      <c r="P81" s="31"/>
    </row>
    <row r="82" spans="1:16" ht="16.5" thickBot="1">
      <c r="A82" s="16" t="s">
        <v>104</v>
      </c>
      <c r="B82" s="12" t="s">
        <v>285</v>
      </c>
      <c r="D82" s="44" t="s">
        <v>286</v>
      </c>
      <c r="E82" s="9" t="s">
        <v>13</v>
      </c>
      <c r="F82" s="6" t="s">
        <v>287</v>
      </c>
      <c r="G82" s="8">
        <v>1</v>
      </c>
      <c r="H82" s="5">
        <v>3.85</v>
      </c>
      <c r="I82" s="37"/>
      <c r="J82" s="37">
        <f t="shared" si="5"/>
        <v>254.47310069790626</v>
      </c>
      <c r="O82" s="51" t="s">
        <v>33</v>
      </c>
      <c r="P82" s="33">
        <v>60</v>
      </c>
    </row>
    <row r="83" spans="1:10" ht="15.75">
      <c r="A83" s="16" t="s">
        <v>104</v>
      </c>
      <c r="B83" s="12" t="s">
        <v>288</v>
      </c>
      <c r="D83" s="44" t="s">
        <v>289</v>
      </c>
      <c r="E83" s="9" t="s">
        <v>13</v>
      </c>
      <c r="F83" s="6" t="s">
        <v>290</v>
      </c>
      <c r="G83" s="8">
        <v>1</v>
      </c>
      <c r="H83" s="5">
        <v>3.85</v>
      </c>
      <c r="I83" s="37"/>
      <c r="J83" s="37">
        <f t="shared" si="5"/>
        <v>254.47310069790626</v>
      </c>
    </row>
    <row r="84" spans="1:10" ht="15.75">
      <c r="A84" s="16" t="s">
        <v>291</v>
      </c>
      <c r="B84" s="12" t="s">
        <v>292</v>
      </c>
      <c r="D84" s="44" t="s">
        <v>293</v>
      </c>
      <c r="E84" s="9" t="s">
        <v>13</v>
      </c>
      <c r="F84" s="6" t="s">
        <v>294</v>
      </c>
      <c r="G84" s="8">
        <v>1</v>
      </c>
      <c r="H84" s="5">
        <v>3.85</v>
      </c>
      <c r="I84" s="54">
        <f>H84*G84*$P$77*$P$82</f>
        <v>245.45650049850448</v>
      </c>
      <c r="J84" s="37"/>
    </row>
    <row r="85" spans="1:10" ht="15.75">
      <c r="A85" s="16" t="s">
        <v>291</v>
      </c>
      <c r="B85" s="12" t="s">
        <v>295</v>
      </c>
      <c r="D85" s="44" t="s">
        <v>296</v>
      </c>
      <c r="E85" s="9" t="s">
        <v>13</v>
      </c>
      <c r="F85" s="6" t="s">
        <v>297</v>
      </c>
      <c r="G85" s="8">
        <v>1</v>
      </c>
      <c r="H85" s="5">
        <v>3.85</v>
      </c>
      <c r="I85" s="54">
        <f>H85*G85*$P$77*$P$82</f>
        <v>245.45650049850448</v>
      </c>
      <c r="J85" s="37">
        <f>736-750</f>
        <v>-14</v>
      </c>
    </row>
    <row r="86" spans="1:10" ht="15.75">
      <c r="A86" s="16" t="s">
        <v>291</v>
      </c>
      <c r="B86" s="12" t="s">
        <v>298</v>
      </c>
      <c r="D86" s="44" t="s">
        <v>299</v>
      </c>
      <c r="E86" s="9" t="s">
        <v>13</v>
      </c>
      <c r="F86" s="6" t="s">
        <v>300</v>
      </c>
      <c r="G86" s="8">
        <v>1</v>
      </c>
      <c r="H86" s="5">
        <v>3.85</v>
      </c>
      <c r="I86" s="54">
        <f>H86*G86*$P$77*$P$82</f>
        <v>245.45650049850448</v>
      </c>
      <c r="J86" s="37"/>
    </row>
    <row r="87" spans="1:10" ht="15.75">
      <c r="A87" s="16" t="s">
        <v>262</v>
      </c>
      <c r="B87" s="12" t="s">
        <v>288</v>
      </c>
      <c r="D87" s="44" t="s">
        <v>289</v>
      </c>
      <c r="E87" s="9" t="s">
        <v>7</v>
      </c>
      <c r="F87" s="6" t="s">
        <v>290</v>
      </c>
      <c r="G87" s="8">
        <v>1</v>
      </c>
      <c r="H87" s="5">
        <v>3.85</v>
      </c>
      <c r="I87" s="37"/>
      <c r="J87" s="37">
        <f t="shared" si="5"/>
        <v>254.47310069790626</v>
      </c>
    </row>
    <row r="88" spans="1:10" ht="15.75">
      <c r="A88" s="16" t="s">
        <v>262</v>
      </c>
      <c r="B88" s="12" t="s">
        <v>301</v>
      </c>
      <c r="D88" s="44" t="s">
        <v>302</v>
      </c>
      <c r="E88" s="9" t="s">
        <v>7</v>
      </c>
      <c r="F88" s="6" t="s">
        <v>35</v>
      </c>
      <c r="G88" s="8">
        <v>1</v>
      </c>
      <c r="H88" s="5">
        <v>3.85</v>
      </c>
      <c r="I88" s="37"/>
      <c r="J88" s="37">
        <f t="shared" si="5"/>
        <v>254.47310069790626</v>
      </c>
    </row>
    <row r="89" spans="1:10" ht="15.75">
      <c r="A89" s="16" t="s">
        <v>57</v>
      </c>
      <c r="B89" s="12" t="s">
        <v>218</v>
      </c>
      <c r="D89" s="44" t="s">
        <v>303</v>
      </c>
      <c r="E89" s="9" t="s">
        <v>7</v>
      </c>
      <c r="F89" s="6" t="s">
        <v>126</v>
      </c>
      <c r="G89" s="8">
        <v>1</v>
      </c>
      <c r="H89" s="5">
        <v>3.85</v>
      </c>
      <c r="I89" s="37"/>
      <c r="J89" s="37">
        <f t="shared" si="5"/>
        <v>254.47310069790626</v>
      </c>
    </row>
    <row r="90" spans="1:10" ht="15.75">
      <c r="A90" s="16" t="s">
        <v>57</v>
      </c>
      <c r="B90" s="12" t="s">
        <v>304</v>
      </c>
      <c r="D90" s="44" t="s">
        <v>305</v>
      </c>
      <c r="E90" s="9" t="s">
        <v>7</v>
      </c>
      <c r="F90" s="6" t="s">
        <v>306</v>
      </c>
      <c r="G90" s="8">
        <v>1</v>
      </c>
      <c r="H90" s="5">
        <v>3.85</v>
      </c>
      <c r="I90" s="37"/>
      <c r="J90" s="37">
        <f t="shared" si="5"/>
        <v>254.47310069790626</v>
      </c>
    </row>
    <row r="91" spans="1:10" ht="15.75">
      <c r="A91" s="16" t="s">
        <v>57</v>
      </c>
      <c r="B91" s="12" t="s">
        <v>304</v>
      </c>
      <c r="D91" s="44" t="s">
        <v>307</v>
      </c>
      <c r="E91" s="9" t="s">
        <v>7</v>
      </c>
      <c r="F91" s="6" t="s">
        <v>308</v>
      </c>
      <c r="G91" s="8">
        <v>1</v>
      </c>
      <c r="H91" s="5">
        <v>3.85</v>
      </c>
      <c r="I91" s="37"/>
      <c r="J91" s="37">
        <f t="shared" si="5"/>
        <v>254.47310069790626</v>
      </c>
    </row>
    <row r="92" spans="1:10" ht="15.75">
      <c r="A92" s="16" t="s">
        <v>57</v>
      </c>
      <c r="B92" s="12" t="s">
        <v>288</v>
      </c>
      <c r="D92" s="44" t="s">
        <v>289</v>
      </c>
      <c r="E92" s="9" t="s">
        <v>7</v>
      </c>
      <c r="F92" s="6" t="s">
        <v>309</v>
      </c>
      <c r="G92" s="8">
        <v>1</v>
      </c>
      <c r="H92" s="5">
        <v>3.85</v>
      </c>
      <c r="I92" s="37"/>
      <c r="J92" s="37">
        <f t="shared" si="5"/>
        <v>254.47310069790626</v>
      </c>
    </row>
    <row r="93" spans="1:10" ht="15.75">
      <c r="A93" s="16" t="s">
        <v>57</v>
      </c>
      <c r="B93" s="12" t="s">
        <v>288</v>
      </c>
      <c r="D93" s="44" t="s">
        <v>289</v>
      </c>
      <c r="E93" s="9" t="s">
        <v>7</v>
      </c>
      <c r="F93" s="6" t="s">
        <v>310</v>
      </c>
      <c r="G93" s="8">
        <v>1</v>
      </c>
      <c r="H93" s="5">
        <v>3.85</v>
      </c>
      <c r="I93" s="37"/>
      <c r="J93" s="37">
        <f t="shared" si="5"/>
        <v>254.47310069790626</v>
      </c>
    </row>
    <row r="94" spans="1:10" ht="15.75">
      <c r="A94" s="16" t="s">
        <v>311</v>
      </c>
      <c r="B94" s="12" t="s">
        <v>312</v>
      </c>
      <c r="D94" s="44" t="s">
        <v>313</v>
      </c>
      <c r="E94" s="9" t="s">
        <v>13</v>
      </c>
      <c r="F94" s="6" t="s">
        <v>314</v>
      </c>
      <c r="G94" s="8">
        <v>1</v>
      </c>
      <c r="H94" s="5">
        <v>3.85</v>
      </c>
      <c r="I94" s="54">
        <f>H94*G94*$P$77*$P$82</f>
        <v>245.45650049850448</v>
      </c>
      <c r="J94" s="37"/>
    </row>
    <row r="95" spans="1:10" ht="15.75">
      <c r="A95" s="16" t="s">
        <v>24</v>
      </c>
      <c r="B95" s="12" t="s">
        <v>315</v>
      </c>
      <c r="D95" s="44" t="s">
        <v>316</v>
      </c>
      <c r="E95" s="9" t="s">
        <v>13</v>
      </c>
      <c r="F95" s="6" t="s">
        <v>317</v>
      </c>
      <c r="G95" s="8">
        <v>1</v>
      </c>
      <c r="H95" s="5">
        <v>3.85</v>
      </c>
      <c r="I95" s="37"/>
      <c r="J95" s="37">
        <f t="shared" si="5"/>
        <v>254.47310069790626</v>
      </c>
    </row>
    <row r="96" spans="1:10" ht="15.75">
      <c r="A96" s="16" t="s">
        <v>318</v>
      </c>
      <c r="B96" s="12" t="s">
        <v>319</v>
      </c>
      <c r="D96" s="44" t="s">
        <v>320</v>
      </c>
      <c r="E96" s="9" t="s">
        <v>7</v>
      </c>
      <c r="F96" s="6" t="s">
        <v>25</v>
      </c>
      <c r="G96" s="8">
        <v>1</v>
      </c>
      <c r="H96" s="5">
        <v>3.85</v>
      </c>
      <c r="I96" s="54">
        <f>H96*G96*$P$77*$P$82</f>
        <v>245.45650049850448</v>
      </c>
      <c r="J96" s="37"/>
    </row>
    <row r="97" spans="1:10" ht="16.5" thickBot="1">
      <c r="A97" s="16">
        <v>1</v>
      </c>
      <c r="B97" s="12"/>
      <c r="D97" s="44"/>
      <c r="F97" s="74"/>
      <c r="G97" s="8"/>
      <c r="I97" s="37"/>
      <c r="J97" s="37"/>
    </row>
    <row r="98" spans="1:12" s="60" customFormat="1" ht="16.5" thickBot="1">
      <c r="A98" s="58" t="s">
        <v>321</v>
      </c>
      <c r="F98" s="59" t="s">
        <v>393</v>
      </c>
      <c r="H98" s="61"/>
      <c r="J98" s="79"/>
      <c r="L98" s="80"/>
    </row>
    <row r="99" spans="1:16" ht="15.75">
      <c r="A99" s="16" t="s">
        <v>39</v>
      </c>
      <c r="B99" s="12" t="s">
        <v>288</v>
      </c>
      <c r="D99" s="44" t="s">
        <v>289</v>
      </c>
      <c r="E99" s="9" t="s">
        <v>7</v>
      </c>
      <c r="F99" s="6" t="s">
        <v>309</v>
      </c>
      <c r="G99" s="8">
        <v>1</v>
      </c>
      <c r="H99" s="5">
        <v>3.85</v>
      </c>
      <c r="I99" s="37"/>
      <c r="J99" s="37">
        <f aca="true" t="shared" si="6" ref="J99:J140">H99*G99*$P$109*$P$113</f>
        <v>254.46461538461543</v>
      </c>
      <c r="O99" s="73" t="s">
        <v>42</v>
      </c>
      <c r="P99" s="69">
        <f>SUM(H99:H140)</f>
        <v>250.24999999999986</v>
      </c>
    </row>
    <row r="100" spans="1:16" ht="15.75">
      <c r="A100" s="16" t="s">
        <v>24</v>
      </c>
      <c r="B100" s="12" t="s">
        <v>322</v>
      </c>
      <c r="D100" s="44" t="s">
        <v>323</v>
      </c>
      <c r="E100" s="9" t="s">
        <v>71</v>
      </c>
      <c r="F100" s="6" t="s">
        <v>324</v>
      </c>
      <c r="G100" s="8">
        <v>1</v>
      </c>
      <c r="H100" s="5">
        <v>29.5</v>
      </c>
      <c r="I100" s="37"/>
      <c r="J100" s="37">
        <f t="shared" si="6"/>
        <v>1949.7938061938064</v>
      </c>
      <c r="L100" s="52" t="s">
        <v>394</v>
      </c>
      <c r="O100" s="16" t="s">
        <v>43</v>
      </c>
      <c r="P100" s="26">
        <f>SUM(H99:H140)</f>
        <v>250.24999999999986</v>
      </c>
    </row>
    <row r="101" spans="1:16" ht="15.75">
      <c r="A101" s="16" t="s">
        <v>39</v>
      </c>
      <c r="B101" s="12" t="s">
        <v>325</v>
      </c>
      <c r="D101" s="44" t="s">
        <v>326</v>
      </c>
      <c r="E101" s="9" t="s">
        <v>7</v>
      </c>
      <c r="F101" s="6" t="s">
        <v>327</v>
      </c>
      <c r="G101" s="8">
        <v>1</v>
      </c>
      <c r="H101" s="5">
        <v>3.85</v>
      </c>
      <c r="I101" s="37"/>
      <c r="J101" s="37">
        <f t="shared" si="6"/>
        <v>254.46461538461543</v>
      </c>
      <c r="O101" s="16" t="s">
        <v>44</v>
      </c>
      <c r="P101" s="26">
        <v>0</v>
      </c>
    </row>
    <row r="102" spans="1:16" ht="15.75">
      <c r="A102" s="16" t="s">
        <v>39</v>
      </c>
      <c r="B102" s="12" t="s">
        <v>328</v>
      </c>
      <c r="D102" s="44" t="s">
        <v>329</v>
      </c>
      <c r="E102" s="9" t="s">
        <v>7</v>
      </c>
      <c r="F102" s="6" t="s">
        <v>26</v>
      </c>
      <c r="G102" s="8">
        <v>1</v>
      </c>
      <c r="H102" s="5">
        <v>3.85</v>
      </c>
      <c r="I102" s="37"/>
      <c r="J102" s="37">
        <f t="shared" si="6"/>
        <v>254.46461538461543</v>
      </c>
      <c r="O102" s="16" t="s">
        <v>29</v>
      </c>
      <c r="P102" s="27">
        <v>56.99</v>
      </c>
    </row>
    <row r="103" spans="1:16" ht="15.75">
      <c r="A103" s="16" t="s">
        <v>39</v>
      </c>
      <c r="B103" s="12" t="s">
        <v>330</v>
      </c>
      <c r="D103" s="44" t="s">
        <v>331</v>
      </c>
      <c r="E103" s="9" t="s">
        <v>7</v>
      </c>
      <c r="F103" s="6" t="s">
        <v>332</v>
      </c>
      <c r="G103" s="8">
        <v>1</v>
      </c>
      <c r="H103" s="5">
        <v>3.85</v>
      </c>
      <c r="I103" s="37"/>
      <c r="J103" s="37">
        <f t="shared" si="6"/>
        <v>254.46461538461543</v>
      </c>
      <c r="O103" s="16" t="s">
        <v>32</v>
      </c>
      <c r="P103" s="28">
        <f>P102/(P99-P105)+0.07</f>
        <v>0.3618822023047377</v>
      </c>
    </row>
    <row r="104" spans="1:16" ht="15.75">
      <c r="A104" s="16" t="s">
        <v>333</v>
      </c>
      <c r="B104" s="12" t="s">
        <v>334</v>
      </c>
      <c r="C104" s="35"/>
      <c r="D104" s="44" t="s">
        <v>335</v>
      </c>
      <c r="E104" s="9" t="s">
        <v>16</v>
      </c>
      <c r="F104" s="20" t="s">
        <v>336</v>
      </c>
      <c r="G104" s="8">
        <v>1</v>
      </c>
      <c r="H104" s="5">
        <v>3.85</v>
      </c>
      <c r="I104" s="37"/>
      <c r="J104" s="37">
        <f t="shared" si="6"/>
        <v>254.46461538461543</v>
      </c>
      <c r="L104" s="35"/>
      <c r="M104" s="35"/>
      <c r="N104" s="35"/>
      <c r="O104" s="16" t="s">
        <v>32</v>
      </c>
      <c r="P104" s="28">
        <f>P102/(P99-P105)+0.12</f>
        <v>0.4118822023047377</v>
      </c>
    </row>
    <row r="105" spans="1:16" ht="15.75">
      <c r="A105" s="16" t="s">
        <v>333</v>
      </c>
      <c r="B105" s="9" t="s">
        <v>334</v>
      </c>
      <c r="C105" s="35"/>
      <c r="D105" s="44" t="s">
        <v>335</v>
      </c>
      <c r="E105" s="9" t="s">
        <v>16</v>
      </c>
      <c r="F105" s="6" t="s">
        <v>327</v>
      </c>
      <c r="G105" s="8">
        <v>1</v>
      </c>
      <c r="H105" s="5">
        <v>3.85</v>
      </c>
      <c r="I105" s="37"/>
      <c r="J105" s="37">
        <f t="shared" si="6"/>
        <v>254.46461538461543</v>
      </c>
      <c r="L105" s="35"/>
      <c r="M105" s="35"/>
      <c r="N105" s="35"/>
      <c r="O105" s="16" t="s">
        <v>45</v>
      </c>
      <c r="P105" s="27">
        <v>55</v>
      </c>
    </row>
    <row r="106" spans="1:16" ht="15.75">
      <c r="A106" s="16" t="s">
        <v>333</v>
      </c>
      <c r="B106" s="9" t="s">
        <v>334</v>
      </c>
      <c r="C106" s="35"/>
      <c r="D106" s="44" t="s">
        <v>335</v>
      </c>
      <c r="E106" s="9" t="s">
        <v>20</v>
      </c>
      <c r="F106" s="6" t="s">
        <v>337</v>
      </c>
      <c r="G106" s="8">
        <v>1</v>
      </c>
      <c r="H106" s="5">
        <v>3.85</v>
      </c>
      <c r="I106" s="37"/>
      <c r="J106" s="37">
        <f t="shared" si="6"/>
        <v>254.46461538461543</v>
      </c>
      <c r="L106" s="35"/>
      <c r="M106" s="35"/>
      <c r="N106" s="35"/>
      <c r="O106" s="16" t="s">
        <v>46</v>
      </c>
      <c r="P106" s="27">
        <f>P105/P100</f>
        <v>0.21978021978021992</v>
      </c>
    </row>
    <row r="107" spans="1:16" ht="15.75">
      <c r="A107" s="16" t="s">
        <v>333</v>
      </c>
      <c r="B107" s="9" t="s">
        <v>334</v>
      </c>
      <c r="C107" s="35"/>
      <c r="D107" s="44" t="s">
        <v>335</v>
      </c>
      <c r="E107" s="9" t="s">
        <v>20</v>
      </c>
      <c r="F107" s="6" t="s">
        <v>338</v>
      </c>
      <c r="G107" s="8">
        <v>1</v>
      </c>
      <c r="H107" s="5">
        <v>3.85</v>
      </c>
      <c r="I107" s="37"/>
      <c r="J107" s="37">
        <f t="shared" si="6"/>
        <v>254.46461538461543</v>
      </c>
      <c r="L107" s="35"/>
      <c r="M107" s="35"/>
      <c r="N107" s="35"/>
      <c r="O107" s="29" t="s">
        <v>43</v>
      </c>
      <c r="P107" s="28"/>
    </row>
    <row r="108" spans="1:16" ht="15.75">
      <c r="A108" s="16" t="s">
        <v>57</v>
      </c>
      <c r="B108" s="12" t="s">
        <v>218</v>
      </c>
      <c r="D108" s="44" t="s">
        <v>303</v>
      </c>
      <c r="E108" s="9" t="s">
        <v>7</v>
      </c>
      <c r="F108" s="6" t="s">
        <v>339</v>
      </c>
      <c r="G108" s="8">
        <v>1</v>
      </c>
      <c r="H108" s="5">
        <v>3.85</v>
      </c>
      <c r="I108" s="37"/>
      <c r="J108" s="37">
        <f t="shared" si="6"/>
        <v>254.46461538461543</v>
      </c>
      <c r="O108" s="16" t="s">
        <v>30</v>
      </c>
      <c r="P108" s="30">
        <f>(1-P106)*(1+P103)</f>
        <v>1.0625674325674326</v>
      </c>
    </row>
    <row r="109" spans="1:16" ht="15.75">
      <c r="A109" s="16" t="s">
        <v>63</v>
      </c>
      <c r="B109" s="12" t="s">
        <v>340</v>
      </c>
      <c r="D109" s="44" t="s">
        <v>341</v>
      </c>
      <c r="E109" s="9" t="s">
        <v>20</v>
      </c>
      <c r="F109" s="6" t="s">
        <v>342</v>
      </c>
      <c r="G109" s="8">
        <v>1</v>
      </c>
      <c r="H109" s="5">
        <v>3.85</v>
      </c>
      <c r="I109" s="54">
        <f aca="true" t="shared" si="7" ref="I109:I140">H109*G109*$P$108*$P$113</f>
        <v>245.4530769230769</v>
      </c>
      <c r="J109" s="37"/>
      <c r="O109" s="16" t="s">
        <v>31</v>
      </c>
      <c r="P109" s="30">
        <f>(1-P106)*(1+P104)</f>
        <v>1.1015784215784217</v>
      </c>
    </row>
    <row r="110" spans="1:16" ht="15.75">
      <c r="A110" s="16" t="s">
        <v>63</v>
      </c>
      <c r="B110" s="12" t="s">
        <v>343</v>
      </c>
      <c r="D110" s="44" t="s">
        <v>344</v>
      </c>
      <c r="E110" s="9" t="s">
        <v>20</v>
      </c>
      <c r="F110" s="6" t="s">
        <v>345</v>
      </c>
      <c r="G110" s="8">
        <v>1</v>
      </c>
      <c r="H110" s="5">
        <v>3.85</v>
      </c>
      <c r="I110" s="54">
        <f t="shared" si="7"/>
        <v>245.4530769230769</v>
      </c>
      <c r="J110" s="37"/>
      <c r="O110" s="29"/>
      <c r="P110" s="27"/>
    </row>
    <row r="111" spans="1:16" ht="15.75">
      <c r="A111" s="16" t="s">
        <v>63</v>
      </c>
      <c r="B111" s="12" t="s">
        <v>346</v>
      </c>
      <c r="D111" s="44" t="s">
        <v>347</v>
      </c>
      <c r="E111" s="9" t="s">
        <v>20</v>
      </c>
      <c r="F111" s="6" t="s">
        <v>348</v>
      </c>
      <c r="G111" s="8">
        <v>1</v>
      </c>
      <c r="H111" s="5">
        <v>3.85</v>
      </c>
      <c r="I111" s="54">
        <f t="shared" si="7"/>
        <v>245.4530769230769</v>
      </c>
      <c r="J111" s="37"/>
      <c r="O111" s="16"/>
      <c r="P111" s="31"/>
    </row>
    <row r="112" spans="1:16" ht="15.75">
      <c r="A112" s="16" t="s">
        <v>63</v>
      </c>
      <c r="B112" s="12" t="s">
        <v>349</v>
      </c>
      <c r="D112" s="44" t="s">
        <v>350</v>
      </c>
      <c r="E112" s="9" t="s">
        <v>20</v>
      </c>
      <c r="F112" s="6" t="s">
        <v>351</v>
      </c>
      <c r="G112" s="8">
        <v>1</v>
      </c>
      <c r="H112" s="5">
        <v>11</v>
      </c>
      <c r="I112" s="54">
        <f t="shared" si="7"/>
        <v>701.2945054945055</v>
      </c>
      <c r="J112" s="37"/>
      <c r="O112" s="16"/>
      <c r="P112" s="31"/>
    </row>
    <row r="113" spans="1:16" ht="16.5" thickBot="1">
      <c r="A113" s="8" t="s">
        <v>352</v>
      </c>
      <c r="B113" s="8" t="s">
        <v>349</v>
      </c>
      <c r="C113" s="8"/>
      <c r="D113" s="41" t="s">
        <v>353</v>
      </c>
      <c r="E113" s="9" t="s">
        <v>20</v>
      </c>
      <c r="F113" s="6" t="s">
        <v>35</v>
      </c>
      <c r="G113" s="8">
        <v>1</v>
      </c>
      <c r="H113" s="5">
        <v>11</v>
      </c>
      <c r="I113" s="37"/>
      <c r="J113" s="37">
        <f t="shared" si="6"/>
        <v>727.0417582417583</v>
      </c>
      <c r="L113" s="8"/>
      <c r="M113" s="8"/>
      <c r="N113" s="8"/>
      <c r="O113" s="32" t="s">
        <v>33</v>
      </c>
      <c r="P113" s="33">
        <v>60</v>
      </c>
    </row>
    <row r="114" spans="1:17" ht="15.75">
      <c r="A114" s="8" t="s">
        <v>352</v>
      </c>
      <c r="B114" s="9" t="s">
        <v>349</v>
      </c>
      <c r="C114" s="35"/>
      <c r="D114" s="41" t="s">
        <v>353</v>
      </c>
      <c r="E114" s="9" t="s">
        <v>20</v>
      </c>
      <c r="F114" s="6" t="s">
        <v>38</v>
      </c>
      <c r="G114" s="8">
        <v>1</v>
      </c>
      <c r="H114" s="5">
        <v>11</v>
      </c>
      <c r="I114" s="37"/>
      <c r="J114" s="37">
        <f t="shared" si="6"/>
        <v>727.0417582417583</v>
      </c>
      <c r="L114" s="35"/>
      <c r="M114" s="35"/>
      <c r="N114" s="35"/>
      <c r="O114" s="35"/>
      <c r="P114" s="35"/>
      <c r="Q114" s="35"/>
    </row>
    <row r="115" spans="1:17" ht="15.75">
      <c r="A115" s="8" t="s">
        <v>352</v>
      </c>
      <c r="B115" s="9" t="s">
        <v>349</v>
      </c>
      <c r="C115" s="35"/>
      <c r="D115" s="44" t="s">
        <v>350</v>
      </c>
      <c r="E115" s="9" t="s">
        <v>20</v>
      </c>
      <c r="F115" s="6" t="s">
        <v>354</v>
      </c>
      <c r="G115" s="8">
        <v>1</v>
      </c>
      <c r="H115" s="5">
        <v>11</v>
      </c>
      <c r="I115" s="37"/>
      <c r="J115" s="37">
        <f t="shared" si="6"/>
        <v>727.0417582417583</v>
      </c>
      <c r="L115" s="52" t="s">
        <v>284</v>
      </c>
      <c r="M115" s="35"/>
      <c r="N115" s="35"/>
      <c r="O115" s="35"/>
      <c r="P115" s="35"/>
      <c r="Q115" s="35"/>
    </row>
    <row r="116" spans="1:10" ht="15.75">
      <c r="A116" s="16" t="s">
        <v>63</v>
      </c>
      <c r="B116" s="12" t="s">
        <v>355</v>
      </c>
      <c r="D116" s="44" t="s">
        <v>356</v>
      </c>
      <c r="E116" s="9" t="s">
        <v>357</v>
      </c>
      <c r="F116" s="6" t="s">
        <v>27</v>
      </c>
      <c r="G116" s="8">
        <v>1</v>
      </c>
      <c r="H116" s="5">
        <v>21</v>
      </c>
      <c r="I116" s="54">
        <f t="shared" si="7"/>
        <v>1338.834965034965</v>
      </c>
      <c r="J116" s="37"/>
    </row>
    <row r="117" spans="1:11" ht="15.75">
      <c r="A117" s="16" t="s">
        <v>63</v>
      </c>
      <c r="B117" s="12" t="s">
        <v>355</v>
      </c>
      <c r="D117" s="44" t="s">
        <v>356</v>
      </c>
      <c r="E117" s="9" t="s">
        <v>357</v>
      </c>
      <c r="F117" s="6" t="s">
        <v>358</v>
      </c>
      <c r="G117" s="8">
        <v>1</v>
      </c>
      <c r="H117" s="5">
        <v>21</v>
      </c>
      <c r="I117" s="54">
        <f t="shared" si="7"/>
        <v>1338.834965034965</v>
      </c>
      <c r="J117" s="37">
        <f>4753-4927</f>
        <v>-174</v>
      </c>
      <c r="K117" s="9">
        <v>4927</v>
      </c>
    </row>
    <row r="118" spans="1:12" ht="15.75">
      <c r="A118" s="16" t="s">
        <v>58</v>
      </c>
      <c r="B118" s="12" t="s">
        <v>359</v>
      </c>
      <c r="D118" s="44" t="s">
        <v>360</v>
      </c>
      <c r="E118" s="9" t="s">
        <v>13</v>
      </c>
      <c r="F118" s="6" t="s">
        <v>361</v>
      </c>
      <c r="G118" s="8">
        <v>1</v>
      </c>
      <c r="H118" s="5">
        <v>3.85</v>
      </c>
      <c r="I118" s="37"/>
      <c r="J118" s="37">
        <f t="shared" si="6"/>
        <v>254.46461538461543</v>
      </c>
      <c r="L118" s="52" t="s">
        <v>284</v>
      </c>
    </row>
    <row r="119" spans="1:10" ht="15.75">
      <c r="A119" s="16" t="s">
        <v>58</v>
      </c>
      <c r="B119" s="12" t="s">
        <v>295</v>
      </c>
      <c r="D119" s="44" t="s">
        <v>360</v>
      </c>
      <c r="E119" s="9" t="s">
        <v>13</v>
      </c>
      <c r="F119" s="6" t="s">
        <v>362</v>
      </c>
      <c r="G119" s="8">
        <v>1</v>
      </c>
      <c r="H119" s="5">
        <v>3.85</v>
      </c>
      <c r="I119" s="37"/>
      <c r="J119" s="37">
        <f t="shared" si="6"/>
        <v>254.46461538461543</v>
      </c>
    </row>
    <row r="120" spans="1:10" ht="15.75">
      <c r="A120" s="16" t="s">
        <v>58</v>
      </c>
      <c r="B120" s="12" t="s">
        <v>295</v>
      </c>
      <c r="D120" s="44" t="s">
        <v>360</v>
      </c>
      <c r="E120" s="9" t="s">
        <v>20</v>
      </c>
      <c r="F120" s="6" t="s">
        <v>287</v>
      </c>
      <c r="G120" s="8">
        <v>1</v>
      </c>
      <c r="H120" s="5">
        <v>3.85</v>
      </c>
      <c r="I120" s="37"/>
      <c r="J120" s="37">
        <f t="shared" si="6"/>
        <v>254.46461538461543</v>
      </c>
    </row>
    <row r="121" spans="1:10" ht="15.75">
      <c r="A121" s="16" t="s">
        <v>318</v>
      </c>
      <c r="B121" s="12" t="s">
        <v>363</v>
      </c>
      <c r="D121" s="44" t="s">
        <v>364</v>
      </c>
      <c r="E121" s="9" t="s">
        <v>7</v>
      </c>
      <c r="F121" s="6" t="s">
        <v>38</v>
      </c>
      <c r="G121" s="8">
        <v>1</v>
      </c>
      <c r="H121" s="5">
        <v>3.85</v>
      </c>
      <c r="I121" s="54">
        <f t="shared" si="7"/>
        <v>245.4530769230769</v>
      </c>
      <c r="J121" s="37"/>
    </row>
    <row r="122" spans="1:10" ht="15.75">
      <c r="A122" s="16" t="s">
        <v>318</v>
      </c>
      <c r="B122" s="12" t="s">
        <v>363</v>
      </c>
      <c r="D122" s="44" t="s">
        <v>364</v>
      </c>
      <c r="E122" s="9" t="s">
        <v>7</v>
      </c>
      <c r="F122" s="6" t="s">
        <v>365</v>
      </c>
      <c r="G122" s="8">
        <v>1</v>
      </c>
      <c r="H122" s="5">
        <v>3.85</v>
      </c>
      <c r="I122" s="54">
        <f t="shared" si="7"/>
        <v>245.4530769230769</v>
      </c>
      <c r="J122" s="37"/>
    </row>
    <row r="123" spans="1:10" ht="15.75">
      <c r="A123" s="16" t="s">
        <v>366</v>
      </c>
      <c r="B123" s="12" t="s">
        <v>367</v>
      </c>
      <c r="D123" s="44" t="s">
        <v>368</v>
      </c>
      <c r="E123" s="9" t="s">
        <v>13</v>
      </c>
      <c r="F123" s="6" t="s">
        <v>35</v>
      </c>
      <c r="G123" s="8">
        <v>1</v>
      </c>
      <c r="H123" s="5">
        <v>3.85</v>
      </c>
      <c r="I123" s="54">
        <f t="shared" si="7"/>
        <v>245.4530769230769</v>
      </c>
      <c r="J123" s="37"/>
    </row>
    <row r="124" spans="1:12" ht="15.75">
      <c r="A124" s="16" t="s">
        <v>369</v>
      </c>
      <c r="B124" s="12" t="s">
        <v>220</v>
      </c>
      <c r="D124" s="44" t="s">
        <v>370</v>
      </c>
      <c r="E124" s="9" t="s">
        <v>13</v>
      </c>
      <c r="F124" s="6" t="s">
        <v>35</v>
      </c>
      <c r="G124" s="8">
        <v>1</v>
      </c>
      <c r="H124" s="5">
        <v>3.85</v>
      </c>
      <c r="I124" s="37"/>
      <c r="J124" s="37">
        <f t="shared" si="6"/>
        <v>254.46461538461543</v>
      </c>
      <c r="L124" s="52" t="s">
        <v>395</v>
      </c>
    </row>
    <row r="125" spans="1:10" ht="15.75">
      <c r="A125" s="16" t="s">
        <v>369</v>
      </c>
      <c r="B125" s="12" t="s">
        <v>220</v>
      </c>
      <c r="D125" s="44" t="s">
        <v>370</v>
      </c>
      <c r="E125" s="9" t="s">
        <v>13</v>
      </c>
      <c r="F125" s="6" t="s">
        <v>371</v>
      </c>
      <c r="G125" s="8">
        <v>1</v>
      </c>
      <c r="H125" s="5">
        <v>3.85</v>
      </c>
      <c r="I125" s="37"/>
      <c r="J125" s="37">
        <f t="shared" si="6"/>
        <v>254.46461538461543</v>
      </c>
    </row>
    <row r="126" spans="1:10" ht="15.75">
      <c r="A126" s="16" t="s">
        <v>369</v>
      </c>
      <c r="B126" s="12" t="s">
        <v>220</v>
      </c>
      <c r="D126" s="44" t="s">
        <v>370</v>
      </c>
      <c r="E126" s="9" t="s">
        <v>13</v>
      </c>
      <c r="F126" s="6" t="s">
        <v>38</v>
      </c>
      <c r="G126" s="8">
        <v>1</v>
      </c>
      <c r="H126" s="5">
        <v>3.85</v>
      </c>
      <c r="I126" s="37"/>
      <c r="J126" s="37">
        <f t="shared" si="6"/>
        <v>254.46461538461543</v>
      </c>
    </row>
    <row r="127" spans="1:12" ht="15.75">
      <c r="A127" s="16" t="s">
        <v>366</v>
      </c>
      <c r="B127" s="12" t="s">
        <v>220</v>
      </c>
      <c r="D127" s="44" t="s">
        <v>370</v>
      </c>
      <c r="E127" s="9" t="s">
        <v>13</v>
      </c>
      <c r="F127" s="6" t="s">
        <v>35</v>
      </c>
      <c r="G127" s="8">
        <v>1</v>
      </c>
      <c r="H127" s="5">
        <v>3.85</v>
      </c>
      <c r="I127" s="54">
        <f t="shared" si="7"/>
        <v>245.4530769230769</v>
      </c>
      <c r="J127" s="37"/>
      <c r="L127" s="52" t="s">
        <v>395</v>
      </c>
    </row>
    <row r="128" spans="1:10" ht="15.75">
      <c r="A128" s="16" t="s">
        <v>366</v>
      </c>
      <c r="B128" s="12" t="s">
        <v>220</v>
      </c>
      <c r="D128" s="44" t="s">
        <v>370</v>
      </c>
      <c r="E128" s="9" t="s">
        <v>13</v>
      </c>
      <c r="F128" s="6" t="s">
        <v>371</v>
      </c>
      <c r="G128" s="8">
        <v>1</v>
      </c>
      <c r="H128" s="5">
        <v>3.85</v>
      </c>
      <c r="I128" s="54">
        <f t="shared" si="7"/>
        <v>245.4530769230769</v>
      </c>
      <c r="J128" s="37"/>
    </row>
    <row r="129" spans="1:10" ht="15.75">
      <c r="A129" s="16" t="s">
        <v>366</v>
      </c>
      <c r="B129" s="12" t="s">
        <v>220</v>
      </c>
      <c r="D129" s="44" t="s">
        <v>370</v>
      </c>
      <c r="E129" s="9" t="s">
        <v>13</v>
      </c>
      <c r="F129" s="6" t="s">
        <v>38</v>
      </c>
      <c r="G129" s="8">
        <v>1</v>
      </c>
      <c r="H129" s="5">
        <v>3.85</v>
      </c>
      <c r="I129" s="54">
        <f t="shared" si="7"/>
        <v>245.4530769230769</v>
      </c>
      <c r="J129" s="37"/>
    </row>
    <row r="130" spans="1:10" ht="15.75">
      <c r="A130" s="16" t="s">
        <v>369</v>
      </c>
      <c r="B130" s="12" t="s">
        <v>372</v>
      </c>
      <c r="D130" s="44" t="s">
        <v>373</v>
      </c>
      <c r="E130" s="9" t="s">
        <v>13</v>
      </c>
      <c r="F130" s="6" t="s">
        <v>48</v>
      </c>
      <c r="G130" s="8">
        <v>1</v>
      </c>
      <c r="H130" s="5">
        <v>3.85</v>
      </c>
      <c r="I130" s="37"/>
      <c r="J130" s="37">
        <f t="shared" si="6"/>
        <v>254.46461538461543</v>
      </c>
    </row>
    <row r="131" spans="1:10" ht="15.75">
      <c r="A131" s="16" t="s">
        <v>369</v>
      </c>
      <c r="B131" s="12" t="s">
        <v>105</v>
      </c>
      <c r="D131" s="44" t="s">
        <v>335</v>
      </c>
      <c r="E131" s="9" t="s">
        <v>13</v>
      </c>
      <c r="F131" s="6" t="s">
        <v>374</v>
      </c>
      <c r="G131" s="8">
        <v>1</v>
      </c>
      <c r="H131" s="5">
        <v>3.85</v>
      </c>
      <c r="I131" s="37"/>
      <c r="J131" s="37">
        <f t="shared" si="6"/>
        <v>254.46461538461543</v>
      </c>
    </row>
    <row r="132" spans="1:10" ht="15.75">
      <c r="A132" s="16" t="s">
        <v>369</v>
      </c>
      <c r="B132" s="12" t="s">
        <v>375</v>
      </c>
      <c r="D132" s="44" t="s">
        <v>331</v>
      </c>
      <c r="E132" s="9" t="s">
        <v>13</v>
      </c>
      <c r="F132" s="6" t="s">
        <v>332</v>
      </c>
      <c r="G132" s="8">
        <v>1</v>
      </c>
      <c r="H132" s="5">
        <v>3.85</v>
      </c>
      <c r="I132" s="37"/>
      <c r="J132" s="37">
        <f t="shared" si="6"/>
        <v>254.46461538461543</v>
      </c>
    </row>
    <row r="133" spans="1:10" ht="15.75">
      <c r="A133" s="16" t="s">
        <v>376</v>
      </c>
      <c r="B133" s="12" t="s">
        <v>377</v>
      </c>
      <c r="D133" s="44" t="s">
        <v>378</v>
      </c>
      <c r="E133" s="9" t="s">
        <v>7</v>
      </c>
      <c r="F133" s="43" t="s">
        <v>379</v>
      </c>
      <c r="G133" s="8">
        <v>1</v>
      </c>
      <c r="H133" s="5">
        <v>3.85</v>
      </c>
      <c r="I133" s="37"/>
      <c r="J133" s="37">
        <f t="shared" si="6"/>
        <v>254.46461538461543</v>
      </c>
    </row>
    <row r="134" spans="1:17" ht="15.75">
      <c r="A134" s="16" t="s">
        <v>311</v>
      </c>
      <c r="B134" s="63" t="s">
        <v>380</v>
      </c>
      <c r="C134" s="35"/>
      <c r="D134" s="44" t="s">
        <v>381</v>
      </c>
      <c r="E134" s="9" t="s">
        <v>20</v>
      </c>
      <c r="F134" s="41" t="s">
        <v>382</v>
      </c>
      <c r="G134" s="8">
        <v>1</v>
      </c>
      <c r="H134" s="5">
        <v>3.85</v>
      </c>
      <c r="I134" s="54">
        <f t="shared" si="7"/>
        <v>245.4530769230769</v>
      </c>
      <c r="J134" s="37">
        <v>1</v>
      </c>
      <c r="L134" s="35"/>
      <c r="M134" s="35"/>
      <c r="N134" s="35"/>
      <c r="O134" s="35"/>
      <c r="P134" s="35"/>
      <c r="Q134" s="35"/>
    </row>
    <row r="135" spans="1:17" ht="15.75">
      <c r="A135" s="16" t="s">
        <v>59</v>
      </c>
      <c r="B135" s="12" t="s">
        <v>383</v>
      </c>
      <c r="C135" s="35"/>
      <c r="D135" s="44" t="s">
        <v>335</v>
      </c>
      <c r="E135" s="9" t="s">
        <v>16</v>
      </c>
      <c r="F135" s="43" t="s">
        <v>384</v>
      </c>
      <c r="G135" s="8">
        <v>1</v>
      </c>
      <c r="H135" s="5">
        <v>3.85</v>
      </c>
      <c r="I135" s="37">
        <f t="shared" si="7"/>
        <v>245.4530769230769</v>
      </c>
      <c r="J135" s="37">
        <f t="shared" si="6"/>
        <v>254.46461538461543</v>
      </c>
      <c r="L135" s="35"/>
      <c r="M135" s="35"/>
      <c r="N135" s="35"/>
      <c r="O135" s="35"/>
      <c r="P135" s="35"/>
      <c r="Q135" s="35"/>
    </row>
    <row r="136" spans="1:10" ht="15.75">
      <c r="A136" s="16" t="s">
        <v>318</v>
      </c>
      <c r="B136" s="12" t="s">
        <v>385</v>
      </c>
      <c r="D136" s="44" t="s">
        <v>386</v>
      </c>
      <c r="E136" s="9" t="s">
        <v>7</v>
      </c>
      <c r="F136" s="43" t="s">
        <v>103</v>
      </c>
      <c r="G136" s="8">
        <v>1</v>
      </c>
      <c r="H136" s="5">
        <v>3.85</v>
      </c>
      <c r="I136" s="54">
        <f t="shared" si="7"/>
        <v>245.4530769230769</v>
      </c>
      <c r="J136" s="37"/>
    </row>
    <row r="137" spans="1:10" ht="15.75">
      <c r="A137" s="16" t="s">
        <v>318</v>
      </c>
      <c r="B137" s="12" t="s">
        <v>288</v>
      </c>
      <c r="D137" s="44" t="s">
        <v>387</v>
      </c>
      <c r="E137" s="9" t="s">
        <v>7</v>
      </c>
      <c r="F137" s="43" t="s">
        <v>388</v>
      </c>
      <c r="G137" s="8">
        <v>1</v>
      </c>
      <c r="H137" s="5">
        <v>3.85</v>
      </c>
      <c r="I137" s="54">
        <f t="shared" si="7"/>
        <v>245.4530769230769</v>
      </c>
      <c r="J137" s="37"/>
    </row>
    <row r="138" spans="1:17" ht="15.75">
      <c r="A138" s="16" t="s">
        <v>318</v>
      </c>
      <c r="B138" s="35" t="s">
        <v>328</v>
      </c>
      <c r="C138" s="35"/>
      <c r="D138" s="44" t="s">
        <v>329</v>
      </c>
      <c r="E138" s="9" t="s">
        <v>7</v>
      </c>
      <c r="F138" s="43" t="s">
        <v>34</v>
      </c>
      <c r="G138" s="8">
        <v>1</v>
      </c>
      <c r="H138" s="5">
        <v>3.85</v>
      </c>
      <c r="I138" s="54">
        <f t="shared" si="7"/>
        <v>245.4530769230769</v>
      </c>
      <c r="J138" s="37"/>
      <c r="L138" s="35"/>
      <c r="M138" s="35"/>
      <c r="N138" s="35"/>
      <c r="O138" s="35"/>
      <c r="P138" s="35"/>
      <c r="Q138" s="35"/>
    </row>
    <row r="139" spans="1:10" ht="15.75">
      <c r="A139" s="16" t="s">
        <v>318</v>
      </c>
      <c r="B139" s="12" t="s">
        <v>389</v>
      </c>
      <c r="D139" s="44" t="s">
        <v>390</v>
      </c>
      <c r="E139" s="9" t="s">
        <v>7</v>
      </c>
      <c r="F139" s="43" t="s">
        <v>28</v>
      </c>
      <c r="G139" s="8">
        <v>1</v>
      </c>
      <c r="H139" s="5">
        <v>3.85</v>
      </c>
      <c r="I139" s="54">
        <f t="shared" si="7"/>
        <v>245.4530769230769</v>
      </c>
      <c r="J139" s="37">
        <v>3</v>
      </c>
    </row>
    <row r="140" spans="1:17" ht="16.5" thickBot="1">
      <c r="A140" s="16" t="s">
        <v>59</v>
      </c>
      <c r="B140" s="12" t="s">
        <v>340</v>
      </c>
      <c r="D140" s="44" t="s">
        <v>341</v>
      </c>
      <c r="E140" s="35" t="s">
        <v>20</v>
      </c>
      <c r="F140" s="43" t="s">
        <v>391</v>
      </c>
      <c r="G140" s="8">
        <v>1</v>
      </c>
      <c r="H140" s="5">
        <v>3.85</v>
      </c>
      <c r="I140" s="37">
        <f t="shared" si="7"/>
        <v>245.4530769230769</v>
      </c>
      <c r="J140" s="37">
        <f t="shared" si="6"/>
        <v>254.46461538461543</v>
      </c>
      <c r="L140" s="35"/>
      <c r="M140" s="35"/>
      <c r="N140" s="35"/>
      <c r="O140" s="35"/>
      <c r="P140" s="35"/>
      <c r="Q140" s="35"/>
    </row>
    <row r="141" spans="1:9" s="60" customFormat="1" ht="16.5" thickBot="1">
      <c r="A141" s="58" t="s">
        <v>397</v>
      </c>
      <c r="F141" s="59" t="s">
        <v>452</v>
      </c>
      <c r="H141" s="61"/>
      <c r="I141" s="61"/>
    </row>
    <row r="142" spans="1:16" ht="15.75">
      <c r="A142" s="16" t="s">
        <v>66</v>
      </c>
      <c r="B142" s="9" t="s">
        <v>398</v>
      </c>
      <c r="C142" s="35"/>
      <c r="D142" s="44" t="s">
        <v>399</v>
      </c>
      <c r="E142" s="35" t="s">
        <v>19</v>
      </c>
      <c r="F142" s="43" t="s">
        <v>400</v>
      </c>
      <c r="G142" s="8">
        <v>1</v>
      </c>
      <c r="H142" s="61">
        <v>6</v>
      </c>
      <c r="I142" s="37"/>
      <c r="J142" s="37">
        <f>H142*G142*$P$152*$P$156</f>
        <v>370.496018262326</v>
      </c>
      <c r="K142" s="35"/>
      <c r="M142" s="35"/>
      <c r="N142" s="35"/>
      <c r="O142" s="73" t="s">
        <v>42</v>
      </c>
      <c r="P142" s="69">
        <f>SUM(H142:H166)</f>
        <v>294.89000000000004</v>
      </c>
    </row>
    <row r="143" spans="1:16" ht="15.75">
      <c r="A143" s="16" t="s">
        <v>66</v>
      </c>
      <c r="B143" s="9" t="s">
        <v>401</v>
      </c>
      <c r="C143" s="35"/>
      <c r="D143" s="44" t="s">
        <v>402</v>
      </c>
      <c r="E143" s="35" t="s">
        <v>19</v>
      </c>
      <c r="F143" s="43" t="s">
        <v>400</v>
      </c>
      <c r="G143" s="8">
        <v>1</v>
      </c>
      <c r="H143" s="61">
        <v>6</v>
      </c>
      <c r="I143" s="37"/>
      <c r="J143" s="37">
        <f>H143*G143*$P$152*$P$156</f>
        <v>370.496018262326</v>
      </c>
      <c r="K143" s="35"/>
      <c r="M143" s="35"/>
      <c r="N143" s="35"/>
      <c r="O143" s="16" t="s">
        <v>43</v>
      </c>
      <c r="P143" s="26">
        <f>SUM(H142:H165)</f>
        <v>254.90000000000003</v>
      </c>
    </row>
    <row r="144" spans="1:16" ht="15.75">
      <c r="A144" s="16" t="s">
        <v>403</v>
      </c>
      <c r="B144" s="9" t="s">
        <v>404</v>
      </c>
      <c r="C144" s="35"/>
      <c r="D144" s="44" t="s">
        <v>405</v>
      </c>
      <c r="E144" s="35" t="s">
        <v>19</v>
      </c>
      <c r="F144" s="43" t="s">
        <v>73</v>
      </c>
      <c r="G144" s="8">
        <v>1</v>
      </c>
      <c r="H144" s="61">
        <v>6</v>
      </c>
      <c r="I144" s="54">
        <f aca="true" t="shared" si="8" ref="I144:I164">H144*G144*$P$151*$P$156</f>
        <v>356.8504317578145</v>
      </c>
      <c r="J144" s="37"/>
      <c r="K144" s="35"/>
      <c r="M144" s="35"/>
      <c r="N144" s="35"/>
      <c r="O144" s="16" t="s">
        <v>44</v>
      </c>
      <c r="P144" s="26">
        <f>H166</f>
        <v>39.99</v>
      </c>
    </row>
    <row r="145" spans="1:16" ht="15.75">
      <c r="A145" s="16" t="s">
        <v>403</v>
      </c>
      <c r="B145" s="9" t="s">
        <v>406</v>
      </c>
      <c r="C145" s="35"/>
      <c r="D145" s="44" t="s">
        <v>407</v>
      </c>
      <c r="E145" s="35" t="s">
        <v>19</v>
      </c>
      <c r="F145" s="43" t="s">
        <v>400</v>
      </c>
      <c r="G145" s="8">
        <v>1</v>
      </c>
      <c r="H145" s="61">
        <v>6</v>
      </c>
      <c r="I145" s="54">
        <f t="shared" si="8"/>
        <v>356.8504317578145</v>
      </c>
      <c r="J145" s="37"/>
      <c r="K145" s="35"/>
      <c r="M145" s="35"/>
      <c r="N145" s="35"/>
      <c r="O145" s="16" t="s">
        <v>29</v>
      </c>
      <c r="P145" s="27">
        <v>56.99</v>
      </c>
    </row>
    <row r="146" spans="1:16" ht="15.75">
      <c r="A146" s="16" t="s">
        <v>403</v>
      </c>
      <c r="B146" s="9" t="s">
        <v>408</v>
      </c>
      <c r="C146" s="35"/>
      <c r="D146" s="44" t="s">
        <v>409</v>
      </c>
      <c r="E146" s="35" t="s">
        <v>19</v>
      </c>
      <c r="F146" s="43" t="s">
        <v>52</v>
      </c>
      <c r="G146" s="8">
        <v>1</v>
      </c>
      <c r="H146" s="61">
        <v>6</v>
      </c>
      <c r="I146" s="54">
        <f t="shared" si="8"/>
        <v>356.8504317578145</v>
      </c>
      <c r="J146" s="37">
        <v>-9</v>
      </c>
      <c r="L146" s="52" t="s">
        <v>410</v>
      </c>
      <c r="M146" s="35"/>
      <c r="N146" s="35"/>
      <c r="O146" s="16" t="s">
        <v>32</v>
      </c>
      <c r="P146" s="28">
        <f>P145/(P142-P148)+0.07</f>
        <v>0.3075672183083913</v>
      </c>
    </row>
    <row r="147" spans="1:16" ht="15.75">
      <c r="A147" s="16" t="s">
        <v>118</v>
      </c>
      <c r="B147" s="9" t="s">
        <v>398</v>
      </c>
      <c r="C147" s="35"/>
      <c r="D147" s="44" t="s">
        <v>399</v>
      </c>
      <c r="E147" s="35" t="s">
        <v>19</v>
      </c>
      <c r="F147" s="43" t="s">
        <v>400</v>
      </c>
      <c r="G147" s="8">
        <v>1</v>
      </c>
      <c r="H147" s="61">
        <v>6</v>
      </c>
      <c r="I147" s="54">
        <f t="shared" si="8"/>
        <v>356.8504317578145</v>
      </c>
      <c r="J147" s="37"/>
      <c r="L147" s="35"/>
      <c r="M147" s="35"/>
      <c r="N147" s="35"/>
      <c r="O147" s="16" t="s">
        <v>32</v>
      </c>
      <c r="P147" s="28">
        <f>P145/(P142-P148)+0.12</f>
        <v>0.35756721830839133</v>
      </c>
    </row>
    <row r="148" spans="1:16" ht="15.75">
      <c r="A148" s="16" t="s">
        <v>118</v>
      </c>
      <c r="B148" s="9" t="s">
        <v>411</v>
      </c>
      <c r="C148" s="35"/>
      <c r="D148" s="44" t="s">
        <v>412</v>
      </c>
      <c r="E148" s="35" t="s">
        <v>19</v>
      </c>
      <c r="F148" s="43" t="s">
        <v>413</v>
      </c>
      <c r="G148" s="8">
        <v>1</v>
      </c>
      <c r="H148" s="61">
        <v>6</v>
      </c>
      <c r="I148" s="54">
        <f t="shared" si="8"/>
        <v>356.8504317578145</v>
      </c>
      <c r="J148" s="37">
        <f>519-454</f>
        <v>65</v>
      </c>
      <c r="L148" s="35"/>
      <c r="M148" s="35"/>
      <c r="N148" s="35"/>
      <c r="O148" s="16" t="s">
        <v>45</v>
      </c>
      <c r="P148" s="27">
        <v>55</v>
      </c>
    </row>
    <row r="149" spans="1:16" ht="15.75">
      <c r="A149" s="16" t="s">
        <v>366</v>
      </c>
      <c r="B149" s="35" t="s">
        <v>414</v>
      </c>
      <c r="C149" s="35"/>
      <c r="D149" s="44" t="s">
        <v>415</v>
      </c>
      <c r="E149" s="35" t="s">
        <v>12</v>
      </c>
      <c r="F149" s="43" t="s">
        <v>416</v>
      </c>
      <c r="G149" s="8">
        <v>1</v>
      </c>
      <c r="H149" s="61">
        <v>48</v>
      </c>
      <c r="I149" s="54">
        <f t="shared" si="8"/>
        <v>2854.803454062516</v>
      </c>
      <c r="J149" s="37"/>
      <c r="L149" s="35"/>
      <c r="M149" s="35"/>
      <c r="N149" s="35"/>
      <c r="O149" s="16" t="s">
        <v>46</v>
      </c>
      <c r="P149" s="27">
        <f>P148/P143</f>
        <v>0.21577089054531187</v>
      </c>
    </row>
    <row r="150" spans="1:16" ht="30">
      <c r="A150" s="16" t="s">
        <v>366</v>
      </c>
      <c r="B150" s="35" t="s">
        <v>417</v>
      </c>
      <c r="C150" s="35"/>
      <c r="D150" s="44" t="s">
        <v>418</v>
      </c>
      <c r="E150" s="74" t="s">
        <v>419</v>
      </c>
      <c r="F150" s="43" t="s">
        <v>420</v>
      </c>
      <c r="G150" s="8">
        <v>1</v>
      </c>
      <c r="H150" s="61">
        <v>25</v>
      </c>
      <c r="I150" s="54">
        <f t="shared" si="8"/>
        <v>1486.8767989908936</v>
      </c>
      <c r="J150" s="37">
        <v>0</v>
      </c>
      <c r="L150" s="35"/>
      <c r="M150" s="35"/>
      <c r="N150" s="35"/>
      <c r="O150" s="29" t="s">
        <v>43</v>
      </c>
      <c r="P150" s="28"/>
    </row>
    <row r="151" spans="1:16" ht="15.75">
      <c r="A151" s="16" t="s">
        <v>72</v>
      </c>
      <c r="B151" s="35" t="s">
        <v>421</v>
      </c>
      <c r="C151" s="35"/>
      <c r="D151" s="44" t="s">
        <v>422</v>
      </c>
      <c r="E151" s="35" t="s">
        <v>19</v>
      </c>
      <c r="F151" s="43" t="s">
        <v>73</v>
      </c>
      <c r="G151" s="8">
        <v>1</v>
      </c>
      <c r="H151" s="61">
        <v>6</v>
      </c>
      <c r="I151" s="37"/>
      <c r="J151" s="37">
        <f aca="true" t="shared" si="9" ref="J151:J157">H151*G151*$P$152*$P$156</f>
        <v>370.496018262326</v>
      </c>
      <c r="L151" s="52" t="s">
        <v>423</v>
      </c>
      <c r="M151" s="35"/>
      <c r="N151" s="35"/>
      <c r="O151" s="16" t="s">
        <v>30</v>
      </c>
      <c r="P151" s="30">
        <f>(1-P149)*(1+P146)</f>
        <v>1.0254322751661336</v>
      </c>
    </row>
    <row r="152" spans="1:16" ht="15.75">
      <c r="A152" s="16" t="s">
        <v>72</v>
      </c>
      <c r="B152" s="35" t="s">
        <v>424</v>
      </c>
      <c r="C152" s="35"/>
      <c r="D152" s="44" t="s">
        <v>425</v>
      </c>
      <c r="E152" s="35" t="s">
        <v>19</v>
      </c>
      <c r="F152" s="43" t="s">
        <v>108</v>
      </c>
      <c r="G152" s="8">
        <v>1</v>
      </c>
      <c r="H152" s="61">
        <v>6</v>
      </c>
      <c r="I152" s="37"/>
      <c r="J152" s="37">
        <f t="shared" si="9"/>
        <v>370.496018262326</v>
      </c>
      <c r="L152" s="35"/>
      <c r="M152" s="35"/>
      <c r="N152" s="35"/>
      <c r="O152" s="16" t="s">
        <v>31</v>
      </c>
      <c r="P152" s="30">
        <f>(1-P149)*(1+P147)</f>
        <v>1.0646437306388679</v>
      </c>
    </row>
    <row r="153" spans="1:16" ht="15.75">
      <c r="A153" s="16" t="s">
        <v>72</v>
      </c>
      <c r="B153" s="35" t="s">
        <v>426</v>
      </c>
      <c r="C153" s="35"/>
      <c r="D153" s="44" t="s">
        <v>427</v>
      </c>
      <c r="E153" s="35" t="s">
        <v>19</v>
      </c>
      <c r="F153" s="43" t="s">
        <v>49</v>
      </c>
      <c r="G153" s="8">
        <v>1</v>
      </c>
      <c r="H153" s="61">
        <v>6</v>
      </c>
      <c r="I153" s="37"/>
      <c r="J153" s="37">
        <f t="shared" si="9"/>
        <v>370.496018262326</v>
      </c>
      <c r="L153" s="35"/>
      <c r="M153" s="35"/>
      <c r="N153" s="35"/>
      <c r="O153" s="29" t="s">
        <v>44</v>
      </c>
      <c r="P153" s="27"/>
    </row>
    <row r="154" spans="1:16" ht="15.75">
      <c r="A154" s="16" t="s">
        <v>72</v>
      </c>
      <c r="B154" s="35" t="s">
        <v>428</v>
      </c>
      <c r="C154" s="35"/>
      <c r="D154" s="44" t="s">
        <v>429</v>
      </c>
      <c r="E154" s="35" t="s">
        <v>19</v>
      </c>
      <c r="F154" s="43" t="s">
        <v>430</v>
      </c>
      <c r="G154" s="8">
        <v>1</v>
      </c>
      <c r="H154" s="61">
        <v>10</v>
      </c>
      <c r="I154" s="37"/>
      <c r="J154" s="37">
        <f t="shared" si="9"/>
        <v>617.4933637705434</v>
      </c>
      <c r="L154" s="35"/>
      <c r="M154" s="35"/>
      <c r="N154" s="35"/>
      <c r="O154" s="16" t="s">
        <v>30</v>
      </c>
      <c r="P154" s="31">
        <f>1+P146</f>
        <v>1.3075672183083913</v>
      </c>
    </row>
    <row r="155" spans="1:16" ht="15.75">
      <c r="A155" s="16" t="s">
        <v>72</v>
      </c>
      <c r="B155" s="35" t="s">
        <v>431</v>
      </c>
      <c r="C155" s="35"/>
      <c r="D155" s="44" t="s">
        <v>432</v>
      </c>
      <c r="E155" s="35" t="s">
        <v>19</v>
      </c>
      <c r="F155" s="43" t="s">
        <v>433</v>
      </c>
      <c r="G155" s="8">
        <v>1</v>
      </c>
      <c r="H155" s="61">
        <v>10</v>
      </c>
      <c r="I155" s="37"/>
      <c r="J155" s="37">
        <f t="shared" si="9"/>
        <v>617.4933637705434</v>
      </c>
      <c r="L155" s="35"/>
      <c r="M155" s="35"/>
      <c r="N155" s="35"/>
      <c r="O155" s="16" t="s">
        <v>31</v>
      </c>
      <c r="P155" s="31">
        <f>1+P147</f>
        <v>1.3575672183083913</v>
      </c>
    </row>
    <row r="156" spans="1:16" ht="16.5" thickBot="1">
      <c r="A156" s="16" t="s">
        <v>72</v>
      </c>
      <c r="B156" s="35" t="s">
        <v>434</v>
      </c>
      <c r="C156" s="35"/>
      <c r="D156" s="44" t="s">
        <v>435</v>
      </c>
      <c r="E156" s="35" t="s">
        <v>19</v>
      </c>
      <c r="F156" s="43" t="s">
        <v>436</v>
      </c>
      <c r="G156" s="8">
        <v>1</v>
      </c>
      <c r="H156" s="61">
        <v>10</v>
      </c>
      <c r="I156" s="37"/>
      <c r="J156" s="37">
        <f t="shared" si="9"/>
        <v>617.4933637705434</v>
      </c>
      <c r="L156" s="35"/>
      <c r="M156" s="35"/>
      <c r="N156" s="35"/>
      <c r="O156" s="32" t="s">
        <v>33</v>
      </c>
      <c r="P156" s="33">
        <v>58</v>
      </c>
    </row>
    <row r="157" spans="1:17" ht="15.75">
      <c r="A157" s="16" t="s">
        <v>437</v>
      </c>
      <c r="B157" s="35" t="s">
        <v>438</v>
      </c>
      <c r="C157" s="35"/>
      <c r="D157" s="44" t="s">
        <v>439</v>
      </c>
      <c r="E157" s="35" t="s">
        <v>19</v>
      </c>
      <c r="F157" s="43" t="s">
        <v>433</v>
      </c>
      <c r="G157" s="8">
        <v>1</v>
      </c>
      <c r="H157" s="61">
        <v>10</v>
      </c>
      <c r="I157" s="37"/>
      <c r="J157" s="37">
        <f t="shared" si="9"/>
        <v>617.4933637705434</v>
      </c>
      <c r="L157" s="35"/>
      <c r="M157" s="35"/>
      <c r="N157" s="35"/>
      <c r="O157" s="35"/>
      <c r="P157" s="35"/>
      <c r="Q157" s="35"/>
    </row>
    <row r="158" spans="1:17" ht="15.75">
      <c r="A158" s="16" t="s">
        <v>440</v>
      </c>
      <c r="B158" s="35" t="s">
        <v>441</v>
      </c>
      <c r="C158" s="35"/>
      <c r="D158" s="44" t="s">
        <v>378</v>
      </c>
      <c r="E158" s="35" t="s">
        <v>7</v>
      </c>
      <c r="F158" s="43" t="s">
        <v>28</v>
      </c>
      <c r="G158" s="8">
        <v>1</v>
      </c>
      <c r="H158" s="61">
        <v>5.4</v>
      </c>
      <c r="I158" s="54">
        <f t="shared" si="8"/>
        <v>321.1653885820331</v>
      </c>
      <c r="J158" s="37"/>
      <c r="L158" s="35"/>
      <c r="M158" s="35"/>
      <c r="N158" s="35"/>
      <c r="O158" s="35"/>
      <c r="P158" s="35"/>
      <c r="Q158" s="35"/>
    </row>
    <row r="159" spans="1:17" ht="15.75">
      <c r="A159" s="16" t="s">
        <v>440</v>
      </c>
      <c r="B159" s="35" t="s">
        <v>441</v>
      </c>
      <c r="C159" s="35"/>
      <c r="D159" s="44" t="s">
        <v>378</v>
      </c>
      <c r="E159" s="35" t="s">
        <v>13</v>
      </c>
      <c r="F159" s="43" t="s">
        <v>442</v>
      </c>
      <c r="G159" s="8">
        <v>1</v>
      </c>
      <c r="H159" s="61">
        <v>5.4</v>
      </c>
      <c r="I159" s="54">
        <f t="shared" si="8"/>
        <v>321.1653885820331</v>
      </c>
      <c r="J159" s="37"/>
      <c r="L159" s="35"/>
      <c r="M159" s="35"/>
      <c r="N159" s="35"/>
      <c r="O159" s="35"/>
      <c r="P159" s="35"/>
      <c r="Q159" s="35"/>
    </row>
    <row r="160" spans="1:17" ht="15.75">
      <c r="A160" s="16" t="s">
        <v>440</v>
      </c>
      <c r="B160" s="35" t="s">
        <v>441</v>
      </c>
      <c r="C160" s="35"/>
      <c r="D160" s="44" t="s">
        <v>378</v>
      </c>
      <c r="E160" s="35" t="s">
        <v>13</v>
      </c>
      <c r="F160" s="43" t="s">
        <v>443</v>
      </c>
      <c r="G160" s="8">
        <v>1</v>
      </c>
      <c r="H160" s="61">
        <v>5.4</v>
      </c>
      <c r="I160" s="54">
        <f t="shared" si="8"/>
        <v>321.1653885820331</v>
      </c>
      <c r="J160" s="37"/>
      <c r="L160" s="35"/>
      <c r="M160" s="35"/>
      <c r="N160" s="35"/>
      <c r="O160" s="35"/>
      <c r="P160" s="35"/>
      <c r="Q160" s="35"/>
    </row>
    <row r="161" spans="1:17" ht="15.75">
      <c r="A161" s="16" t="s">
        <v>440</v>
      </c>
      <c r="B161" s="35" t="s">
        <v>441</v>
      </c>
      <c r="C161" s="35"/>
      <c r="D161" s="44" t="s">
        <v>378</v>
      </c>
      <c r="E161" s="35" t="s">
        <v>13</v>
      </c>
      <c r="F161" s="43" t="s">
        <v>53</v>
      </c>
      <c r="G161" s="8">
        <v>1</v>
      </c>
      <c r="H161" s="61">
        <v>5.4</v>
      </c>
      <c r="I161" s="54">
        <f t="shared" si="8"/>
        <v>321.1653885820331</v>
      </c>
      <c r="J161" s="37"/>
      <c r="L161" s="35"/>
      <c r="M161" s="35"/>
      <c r="N161" s="35"/>
      <c r="O161" s="35"/>
      <c r="P161" s="35"/>
      <c r="Q161" s="35"/>
    </row>
    <row r="162" spans="1:17" ht="15.75">
      <c r="A162" s="16" t="s">
        <v>440</v>
      </c>
      <c r="B162" s="35" t="s">
        <v>441</v>
      </c>
      <c r="C162" s="35"/>
      <c r="D162" s="44" t="s">
        <v>378</v>
      </c>
      <c r="E162" s="35" t="s">
        <v>7</v>
      </c>
      <c r="F162" s="43" t="s">
        <v>107</v>
      </c>
      <c r="G162" s="8">
        <v>1</v>
      </c>
      <c r="H162" s="61">
        <v>5.4</v>
      </c>
      <c r="I162" s="54">
        <f t="shared" si="8"/>
        <v>321.1653885820331</v>
      </c>
      <c r="J162" s="37"/>
      <c r="L162" s="35"/>
      <c r="M162" s="35"/>
      <c r="N162" s="35"/>
      <c r="O162" s="35"/>
      <c r="P162" s="35"/>
      <c r="Q162" s="35"/>
    </row>
    <row r="163" spans="1:17" ht="15.75">
      <c r="A163" s="16" t="s">
        <v>440</v>
      </c>
      <c r="B163" s="35" t="s">
        <v>444</v>
      </c>
      <c r="C163" s="35"/>
      <c r="D163" s="44" t="s">
        <v>445</v>
      </c>
      <c r="E163" s="41" t="s">
        <v>68</v>
      </c>
      <c r="F163" s="43" t="s">
        <v>446</v>
      </c>
      <c r="G163" s="8">
        <v>1</v>
      </c>
      <c r="H163" s="61">
        <v>24.75</v>
      </c>
      <c r="I163" s="54">
        <f t="shared" si="8"/>
        <v>1472.0080310009846</v>
      </c>
      <c r="J163" s="37"/>
      <c r="L163" s="35"/>
      <c r="M163" s="35"/>
      <c r="N163" s="35"/>
      <c r="O163" s="35"/>
      <c r="P163" s="35"/>
      <c r="Q163" s="35"/>
    </row>
    <row r="164" spans="1:17" ht="16.5" thickBot="1">
      <c r="A164" s="16" t="s">
        <v>440</v>
      </c>
      <c r="B164" s="35" t="s">
        <v>444</v>
      </c>
      <c r="C164" s="35"/>
      <c r="D164" s="44" t="s">
        <v>445</v>
      </c>
      <c r="E164" s="41" t="s">
        <v>68</v>
      </c>
      <c r="F164" s="43" t="s">
        <v>101</v>
      </c>
      <c r="G164" s="8">
        <v>1</v>
      </c>
      <c r="H164" s="61">
        <v>24.75</v>
      </c>
      <c r="I164" s="54">
        <f t="shared" si="8"/>
        <v>1472.0080310009846</v>
      </c>
      <c r="J164" s="37"/>
      <c r="L164" s="35"/>
      <c r="M164" s="35"/>
      <c r="N164" s="35"/>
      <c r="O164" s="35"/>
      <c r="P164" s="35"/>
      <c r="Q164" s="35"/>
    </row>
    <row r="165" spans="1:17" ht="15.75">
      <c r="A165" s="16" t="s">
        <v>110</v>
      </c>
      <c r="B165" s="35" t="s">
        <v>447</v>
      </c>
      <c r="C165" s="35"/>
      <c r="D165" s="44" t="s">
        <v>448</v>
      </c>
      <c r="E165" s="35" t="s">
        <v>13</v>
      </c>
      <c r="F165" s="43" t="s">
        <v>224</v>
      </c>
      <c r="G165" s="8">
        <v>1</v>
      </c>
      <c r="H165" s="61">
        <v>5.4</v>
      </c>
      <c r="I165" s="37"/>
      <c r="J165" s="37">
        <f>H165*G165*$P$152*$P$156</f>
        <v>333.4464164360934</v>
      </c>
      <c r="L165" s="35"/>
      <c r="M165" s="35"/>
      <c r="N165" s="35"/>
      <c r="O165" s="73" t="s">
        <v>42</v>
      </c>
      <c r="P165" s="69">
        <f>SUM(H168:H178)</f>
        <v>267.49</v>
      </c>
      <c r="Q165" s="35"/>
    </row>
    <row r="166" spans="1:16" ht="16.5" thickBot="1">
      <c r="A166" s="16" t="s">
        <v>81</v>
      </c>
      <c r="B166" s="12" t="s">
        <v>449</v>
      </c>
      <c r="D166" s="44" t="s">
        <v>450</v>
      </c>
      <c r="E166" s="9" t="s">
        <v>20</v>
      </c>
      <c r="F166" s="43" t="s">
        <v>451</v>
      </c>
      <c r="G166" s="8">
        <v>1</v>
      </c>
      <c r="H166" s="64">
        <v>39.99</v>
      </c>
      <c r="I166" s="38"/>
      <c r="J166" s="38">
        <f>H166*G166*P155*P156</f>
        <v>3148.768557488849</v>
      </c>
      <c r="O166" s="16" t="s">
        <v>43</v>
      </c>
      <c r="P166" s="26">
        <f>SUM(H168:H175)</f>
        <v>254.5</v>
      </c>
    </row>
    <row r="167" spans="1:16" s="60" customFormat="1" ht="15.75">
      <c r="A167" s="58" t="s">
        <v>453</v>
      </c>
      <c r="F167" s="59" t="s">
        <v>515</v>
      </c>
      <c r="H167" s="61"/>
      <c r="I167" s="61"/>
      <c r="O167" s="53" t="s">
        <v>44</v>
      </c>
      <c r="P167" s="39">
        <f>H176</f>
        <v>12.99</v>
      </c>
    </row>
    <row r="168" spans="1:16" ht="15.75">
      <c r="A168" s="16" t="s">
        <v>58</v>
      </c>
      <c r="B168" s="63" t="s">
        <v>269</v>
      </c>
      <c r="C168" s="35"/>
      <c r="D168" s="44" t="s">
        <v>270</v>
      </c>
      <c r="E168" s="35" t="s">
        <v>19</v>
      </c>
      <c r="F168" s="43" t="s">
        <v>271</v>
      </c>
      <c r="G168" s="8">
        <v>1</v>
      </c>
      <c r="H168" s="61">
        <v>5</v>
      </c>
      <c r="I168" s="37"/>
      <c r="J168" s="37">
        <f>H168*G168*$P$175*$P$179</f>
        <v>315.5770552197949</v>
      </c>
      <c r="O168" s="16" t="s">
        <v>29</v>
      </c>
      <c r="P168" s="27">
        <v>56.99</v>
      </c>
    </row>
    <row r="169" spans="1:16" ht="15.75">
      <c r="A169" s="16" t="s">
        <v>249</v>
      </c>
      <c r="B169" s="63" t="s">
        <v>269</v>
      </c>
      <c r="C169" s="35"/>
      <c r="D169" s="44" t="s">
        <v>270</v>
      </c>
      <c r="E169" s="35" t="s">
        <v>19</v>
      </c>
      <c r="F169" s="43" t="s">
        <v>271</v>
      </c>
      <c r="G169" s="8">
        <v>1</v>
      </c>
      <c r="H169" s="61">
        <v>5</v>
      </c>
      <c r="I169" s="37"/>
      <c r="J169" s="37">
        <f>H169*G169*$P$175*$P$179</f>
        <v>315.5770552197949</v>
      </c>
      <c r="O169" s="16" t="s">
        <v>32</v>
      </c>
      <c r="P169" s="28">
        <f>P168/(P165-P171)+0.07</f>
        <v>0.33820085651089465</v>
      </c>
    </row>
    <row r="170" spans="1:16" s="35" customFormat="1" ht="15.75">
      <c r="A170" s="16" t="s">
        <v>66</v>
      </c>
      <c r="B170" s="75" t="s">
        <v>454</v>
      </c>
      <c r="D170" s="44" t="s">
        <v>455</v>
      </c>
      <c r="E170" s="35" t="s">
        <v>19</v>
      </c>
      <c r="F170" s="43" t="s">
        <v>266</v>
      </c>
      <c r="G170" s="8">
        <v>1</v>
      </c>
      <c r="H170" s="61">
        <v>5</v>
      </c>
      <c r="I170" s="37"/>
      <c r="J170" s="37">
        <f>H170*G170*$P$175*$P$179</f>
        <v>315.5770552197949</v>
      </c>
      <c r="O170" s="16" t="s">
        <v>32</v>
      </c>
      <c r="P170" s="28">
        <f>P168/(P165-P171)+0.12</f>
        <v>0.38820085651089464</v>
      </c>
    </row>
    <row r="171" spans="1:16" s="35" customFormat="1" ht="15.75">
      <c r="A171" s="16" t="s">
        <v>456</v>
      </c>
      <c r="B171" s="12" t="s">
        <v>250</v>
      </c>
      <c r="D171" s="44" t="s">
        <v>260</v>
      </c>
      <c r="E171" s="35" t="s">
        <v>19</v>
      </c>
      <c r="F171" s="43" t="s">
        <v>263</v>
      </c>
      <c r="G171" s="8">
        <v>1</v>
      </c>
      <c r="H171" s="61">
        <v>5</v>
      </c>
      <c r="I171" s="54">
        <f>H171*G171*$P$174*$P$179</f>
        <v>304.2106505046672</v>
      </c>
      <c r="J171" s="37"/>
      <c r="O171" s="16" t="s">
        <v>45</v>
      </c>
      <c r="P171" s="27">
        <v>55</v>
      </c>
    </row>
    <row r="172" spans="1:16" s="35" customFormat="1" ht="15.75">
      <c r="A172" s="16" t="s">
        <v>15</v>
      </c>
      <c r="B172" s="9"/>
      <c r="D172" s="44" t="s">
        <v>457</v>
      </c>
      <c r="E172" s="35" t="s">
        <v>47</v>
      </c>
      <c r="F172" s="43" t="s">
        <v>458</v>
      </c>
      <c r="G172" s="8">
        <v>1</v>
      </c>
      <c r="H172" s="61">
        <v>58</v>
      </c>
      <c r="I172" s="37"/>
      <c r="J172" s="37">
        <f>H172*G172*$P$175*$P$179</f>
        <v>3660.693840549621</v>
      </c>
      <c r="L172" s="52" t="s">
        <v>459</v>
      </c>
      <c r="O172" s="16" t="s">
        <v>46</v>
      </c>
      <c r="P172" s="27">
        <f>P171/P166</f>
        <v>0.21611001964636542</v>
      </c>
    </row>
    <row r="173" spans="1:16" s="35" customFormat="1" ht="15.75">
      <c r="A173" s="16" t="s">
        <v>460</v>
      </c>
      <c r="B173" s="9"/>
      <c r="D173" s="44" t="s">
        <v>461</v>
      </c>
      <c r="E173" s="35" t="s">
        <v>462</v>
      </c>
      <c r="F173" s="43" t="s">
        <v>38</v>
      </c>
      <c r="G173" s="8">
        <v>1</v>
      </c>
      <c r="H173" s="61">
        <v>98.5</v>
      </c>
      <c r="I173" s="37"/>
      <c r="J173" s="37">
        <f>H173*G173*$P$175*$P$179</f>
        <v>6216.86798782996</v>
      </c>
      <c r="O173" s="29" t="s">
        <v>43</v>
      </c>
      <c r="P173" s="28"/>
    </row>
    <row r="174" spans="1:16" s="35" customFormat="1" ht="15.75">
      <c r="A174" s="16" t="s">
        <v>460</v>
      </c>
      <c r="B174" s="9"/>
      <c r="D174" s="44" t="s">
        <v>463</v>
      </c>
      <c r="E174" s="35" t="s">
        <v>47</v>
      </c>
      <c r="F174" s="43" t="s">
        <v>464</v>
      </c>
      <c r="G174" s="8">
        <v>1</v>
      </c>
      <c r="H174" s="61">
        <v>43.5</v>
      </c>
      <c r="I174" s="37"/>
      <c r="J174" s="37">
        <f>H174*G174*$P$175*$P$179</f>
        <v>2745.5203804122157</v>
      </c>
      <c r="O174" s="16" t="s">
        <v>30</v>
      </c>
      <c r="P174" s="30">
        <f>(1-P172)*(1+P169)</f>
        <v>1.0490022431195423</v>
      </c>
    </row>
    <row r="175" spans="1:16" s="35" customFormat="1" ht="15.75">
      <c r="A175" s="16" t="s">
        <v>460</v>
      </c>
      <c r="B175" s="9"/>
      <c r="D175" s="44" t="s">
        <v>465</v>
      </c>
      <c r="E175" s="35" t="s">
        <v>462</v>
      </c>
      <c r="F175" s="43" t="s">
        <v>464</v>
      </c>
      <c r="G175" s="8">
        <v>1</v>
      </c>
      <c r="H175" s="61">
        <v>34.5</v>
      </c>
      <c r="I175" s="37"/>
      <c r="J175" s="37">
        <f>H175*G175*$P$175*$P$179</f>
        <v>2177.4816810165853</v>
      </c>
      <c r="O175" s="16" t="s">
        <v>31</v>
      </c>
      <c r="P175" s="30">
        <f>(1-P172)*(1+P170)</f>
        <v>1.0881967421372238</v>
      </c>
    </row>
    <row r="176" spans="1:16" s="35" customFormat="1" ht="15.75">
      <c r="A176" s="16" t="s">
        <v>466</v>
      </c>
      <c r="B176" s="9" t="s">
        <v>467</v>
      </c>
      <c r="D176" s="44" t="s">
        <v>468</v>
      </c>
      <c r="E176" s="35" t="s">
        <v>19</v>
      </c>
      <c r="F176" s="43" t="s">
        <v>469</v>
      </c>
      <c r="G176" s="8">
        <v>1</v>
      </c>
      <c r="H176" s="64">
        <v>12.99</v>
      </c>
      <c r="I176" s="55">
        <f>H176*G176*$P$177*P179</f>
        <v>1008.2272893124383</v>
      </c>
      <c r="J176" s="38">
        <f>I176-1013</f>
        <v>-4.772710687561698</v>
      </c>
      <c r="O176" s="29" t="s">
        <v>44</v>
      </c>
      <c r="P176" s="27"/>
    </row>
    <row r="177" spans="1:16" s="35" customFormat="1" ht="15.75">
      <c r="A177" s="16">
        <v>1</v>
      </c>
      <c r="B177" s="9"/>
      <c r="D177" s="44"/>
      <c r="F177" s="43"/>
      <c r="G177" s="8"/>
      <c r="H177" s="5"/>
      <c r="J177" s="41"/>
      <c r="O177" s="16" t="s">
        <v>30</v>
      </c>
      <c r="P177" s="31">
        <f>1+P169</f>
        <v>1.3382008565108947</v>
      </c>
    </row>
    <row r="178" spans="1:16" s="35" customFormat="1" ht="16.5" thickBot="1">
      <c r="A178" s="16">
        <v>1</v>
      </c>
      <c r="B178" s="9"/>
      <c r="D178" s="44"/>
      <c r="F178" s="76"/>
      <c r="G178" s="8"/>
      <c r="H178" s="5"/>
      <c r="J178" s="41"/>
      <c r="O178" s="16" t="s">
        <v>31</v>
      </c>
      <c r="P178" s="31">
        <f>1+P170</f>
        <v>1.3882008565108945</v>
      </c>
    </row>
    <row r="179" spans="1:16" s="60" customFormat="1" ht="16.5" thickBot="1">
      <c r="A179" s="58" t="s">
        <v>470</v>
      </c>
      <c r="F179" s="59" t="s">
        <v>516</v>
      </c>
      <c r="G179" s="62"/>
      <c r="H179" s="61"/>
      <c r="J179" s="79"/>
      <c r="O179" s="81" t="s">
        <v>33</v>
      </c>
      <c r="P179" s="82">
        <v>58</v>
      </c>
    </row>
    <row r="180" spans="1:10" s="35" customFormat="1" ht="15.75">
      <c r="A180" s="16" t="s">
        <v>440</v>
      </c>
      <c r="B180" s="63" t="s">
        <v>471</v>
      </c>
      <c r="D180" s="44" t="s">
        <v>472</v>
      </c>
      <c r="E180" s="41" t="s">
        <v>68</v>
      </c>
      <c r="F180" s="43" t="s">
        <v>473</v>
      </c>
      <c r="G180" s="8">
        <v>1</v>
      </c>
      <c r="H180" s="61">
        <v>43.5</v>
      </c>
      <c r="I180" s="54">
        <f aca="true" t="shared" si="10" ref="I180:I191">H180*G180*$P$192*$P$197</f>
        <v>2592.6038123573585</v>
      </c>
      <c r="J180" s="37"/>
    </row>
    <row r="181" spans="1:10" s="35" customFormat="1" ht="15.75">
      <c r="A181" s="16" t="s">
        <v>474</v>
      </c>
      <c r="B181" s="63" t="s">
        <v>475</v>
      </c>
      <c r="D181" s="44" t="s">
        <v>476</v>
      </c>
      <c r="E181" s="35" t="s">
        <v>20</v>
      </c>
      <c r="F181" s="43" t="s">
        <v>477</v>
      </c>
      <c r="G181" s="8">
        <v>1</v>
      </c>
      <c r="H181" s="61">
        <v>19.95</v>
      </c>
      <c r="I181" s="37"/>
      <c r="J181" s="37">
        <f aca="true" t="shared" si="11" ref="J181:J194">H181*G181*$P$193*$P$197</f>
        <v>1234.3589474818227</v>
      </c>
    </row>
    <row r="182" spans="1:10" s="35" customFormat="1" ht="16.5" thickBot="1">
      <c r="A182" s="35" t="s">
        <v>69</v>
      </c>
      <c r="B182" s="35" t="s">
        <v>478</v>
      </c>
      <c r="D182" s="44" t="s">
        <v>479</v>
      </c>
      <c r="E182" s="35" t="s">
        <v>71</v>
      </c>
      <c r="F182" s="43" t="s">
        <v>480</v>
      </c>
      <c r="G182" s="35">
        <v>1</v>
      </c>
      <c r="H182" s="61">
        <v>21.25</v>
      </c>
      <c r="I182" s="37"/>
      <c r="J182" s="37">
        <f t="shared" si="11"/>
        <v>1314.7933651122173</v>
      </c>
    </row>
    <row r="183" spans="1:16" s="35" customFormat="1" ht="15.75">
      <c r="A183" s="16" t="s">
        <v>466</v>
      </c>
      <c r="B183" s="35" t="s">
        <v>481</v>
      </c>
      <c r="D183" s="44" t="s">
        <v>482</v>
      </c>
      <c r="E183" s="35" t="s">
        <v>13</v>
      </c>
      <c r="F183" s="43" t="s">
        <v>483</v>
      </c>
      <c r="G183" s="8">
        <v>1</v>
      </c>
      <c r="H183" s="61">
        <v>18.5</v>
      </c>
      <c r="I183" s="54">
        <f t="shared" si="10"/>
        <v>1102.6016213473824</v>
      </c>
      <c r="J183" s="37"/>
      <c r="O183" s="73" t="s">
        <v>42</v>
      </c>
      <c r="P183" s="69">
        <f>SUM(H180:H199)</f>
        <v>291.17</v>
      </c>
    </row>
    <row r="184" spans="1:16" s="35" customFormat="1" ht="15.75">
      <c r="A184" s="16" t="s">
        <v>466</v>
      </c>
      <c r="B184" s="35" t="s">
        <v>484</v>
      </c>
      <c r="D184" s="44" t="s">
        <v>485</v>
      </c>
      <c r="E184" s="35" t="s">
        <v>12</v>
      </c>
      <c r="F184" s="43" t="s">
        <v>483</v>
      </c>
      <c r="G184" s="8">
        <v>1</v>
      </c>
      <c r="H184" s="61">
        <v>48.5</v>
      </c>
      <c r="I184" s="54">
        <f t="shared" si="10"/>
        <v>2890.604250559354</v>
      </c>
      <c r="J184" s="37">
        <v>-7</v>
      </c>
      <c r="O184" s="16" t="s">
        <v>43</v>
      </c>
      <c r="P184" s="26">
        <f>SUM(H180:H194)</f>
        <v>254.20000000000002</v>
      </c>
    </row>
    <row r="185" spans="1:16" s="35" customFormat="1" ht="15.75">
      <c r="A185" s="16" t="s">
        <v>15</v>
      </c>
      <c r="B185" s="63" t="s">
        <v>486</v>
      </c>
      <c r="D185" s="44" t="s">
        <v>487</v>
      </c>
      <c r="E185" s="35" t="s">
        <v>16</v>
      </c>
      <c r="F185" s="43" t="s">
        <v>488</v>
      </c>
      <c r="G185" s="8">
        <v>1</v>
      </c>
      <c r="H185" s="61">
        <v>11</v>
      </c>
      <c r="I185" s="37"/>
      <c r="J185" s="37">
        <f t="shared" si="11"/>
        <v>680.59891841103</v>
      </c>
      <c r="O185" s="16" t="s">
        <v>44</v>
      </c>
      <c r="P185" s="26">
        <f>SUM(H195:H197)</f>
        <v>36.97</v>
      </c>
    </row>
    <row r="186" spans="1:16" s="35" customFormat="1" ht="15.75">
      <c r="A186" s="16" t="s">
        <v>15</v>
      </c>
      <c r="B186" s="63" t="s">
        <v>489</v>
      </c>
      <c r="D186" s="44" t="s">
        <v>490</v>
      </c>
      <c r="E186" s="35" t="s">
        <v>16</v>
      </c>
      <c r="F186" s="43" t="s">
        <v>488</v>
      </c>
      <c r="G186" s="8">
        <v>1</v>
      </c>
      <c r="H186" s="61">
        <v>11</v>
      </c>
      <c r="I186" s="37"/>
      <c r="J186" s="37">
        <f t="shared" si="11"/>
        <v>680.59891841103</v>
      </c>
      <c r="O186" s="16" t="s">
        <v>29</v>
      </c>
      <c r="P186" s="27">
        <v>56.99</v>
      </c>
    </row>
    <row r="187" spans="1:16" s="35" customFormat="1" ht="15.75">
      <c r="A187" s="16" t="s">
        <v>15</v>
      </c>
      <c r="B187" s="63" t="s">
        <v>486</v>
      </c>
      <c r="D187" s="44" t="s">
        <v>487</v>
      </c>
      <c r="E187" s="35" t="s">
        <v>16</v>
      </c>
      <c r="F187" s="43" t="s">
        <v>60</v>
      </c>
      <c r="G187" s="8">
        <v>1</v>
      </c>
      <c r="H187" s="61">
        <v>11</v>
      </c>
      <c r="I187" s="37"/>
      <c r="J187" s="37">
        <f t="shared" si="11"/>
        <v>680.59891841103</v>
      </c>
      <c r="O187" s="16" t="s">
        <v>32</v>
      </c>
      <c r="P187" s="28">
        <f>P186/(P183-P189)+0.07</f>
        <v>0.3113092264047085</v>
      </c>
    </row>
    <row r="188" spans="1:16" s="35" customFormat="1" ht="15.75">
      <c r="A188" s="16" t="s">
        <v>491</v>
      </c>
      <c r="B188" s="35" t="s">
        <v>492</v>
      </c>
      <c r="D188" s="44" t="s">
        <v>493</v>
      </c>
      <c r="E188" s="35" t="s">
        <v>54</v>
      </c>
      <c r="F188" s="43" t="s">
        <v>494</v>
      </c>
      <c r="G188" s="8">
        <v>1</v>
      </c>
      <c r="H188" s="61">
        <v>21.25</v>
      </c>
      <c r="I188" s="54">
        <f t="shared" si="10"/>
        <v>1266.50186235848</v>
      </c>
      <c r="J188" s="37"/>
      <c r="O188" s="16" t="s">
        <v>32</v>
      </c>
      <c r="P188" s="28">
        <f>P186/(P183-P189)+0.12</f>
        <v>0.3613092264047085</v>
      </c>
    </row>
    <row r="189" spans="1:16" s="35" customFormat="1" ht="15.75">
      <c r="A189" s="16" t="s">
        <v>491</v>
      </c>
      <c r="B189" s="35" t="s">
        <v>495</v>
      </c>
      <c r="D189" s="44" t="s">
        <v>496</v>
      </c>
      <c r="E189" s="35" t="s">
        <v>54</v>
      </c>
      <c r="F189" s="43" t="s">
        <v>35</v>
      </c>
      <c r="G189" s="8">
        <v>1</v>
      </c>
      <c r="H189" s="61">
        <v>21.25</v>
      </c>
      <c r="I189" s="54">
        <f t="shared" si="10"/>
        <v>1266.50186235848</v>
      </c>
      <c r="J189" s="37">
        <f>2533-3000</f>
        <v>-467</v>
      </c>
      <c r="O189" s="16" t="s">
        <v>45</v>
      </c>
      <c r="P189" s="27">
        <v>55</v>
      </c>
    </row>
    <row r="190" spans="1:16" s="35" customFormat="1" ht="15.75">
      <c r="A190" s="16" t="s">
        <v>456</v>
      </c>
      <c r="B190" s="63" t="s">
        <v>497</v>
      </c>
      <c r="D190" s="44" t="s">
        <v>498</v>
      </c>
      <c r="E190" s="35" t="s">
        <v>7</v>
      </c>
      <c r="F190" s="43" t="s">
        <v>499</v>
      </c>
      <c r="G190" s="8">
        <v>1</v>
      </c>
      <c r="H190" s="61">
        <v>5.4</v>
      </c>
      <c r="I190" s="54">
        <f t="shared" si="10"/>
        <v>321.8404732581549</v>
      </c>
      <c r="J190" s="37"/>
      <c r="L190" s="52" t="s">
        <v>500</v>
      </c>
      <c r="O190" s="16" t="s">
        <v>46</v>
      </c>
      <c r="P190" s="27">
        <f>P189/P184</f>
        <v>0.2163650668764752</v>
      </c>
    </row>
    <row r="191" spans="1:16" s="35" customFormat="1" ht="15.75">
      <c r="A191" s="16" t="s">
        <v>456</v>
      </c>
      <c r="B191" s="63" t="s">
        <v>501</v>
      </c>
      <c r="D191" s="44" t="s">
        <v>502</v>
      </c>
      <c r="E191" s="35" t="s">
        <v>7</v>
      </c>
      <c r="F191" s="43" t="s">
        <v>102</v>
      </c>
      <c r="G191" s="8">
        <v>1</v>
      </c>
      <c r="H191" s="61">
        <v>5.4</v>
      </c>
      <c r="I191" s="54">
        <f t="shared" si="10"/>
        <v>321.8404732581549</v>
      </c>
      <c r="J191" s="37"/>
      <c r="O191" s="29" t="s">
        <v>43</v>
      </c>
      <c r="P191" s="28"/>
    </row>
    <row r="192" spans="1:16" s="35" customFormat="1" ht="15.75">
      <c r="A192" s="16" t="s">
        <v>474</v>
      </c>
      <c r="B192" s="63" t="s">
        <v>497</v>
      </c>
      <c r="D192" s="44" t="s">
        <v>498</v>
      </c>
      <c r="E192" s="35" t="s">
        <v>20</v>
      </c>
      <c r="F192" s="43" t="s">
        <v>503</v>
      </c>
      <c r="G192" s="8">
        <v>1</v>
      </c>
      <c r="H192" s="61">
        <v>5.4</v>
      </c>
      <c r="I192" s="37"/>
      <c r="J192" s="37">
        <f t="shared" si="11"/>
        <v>334.11219631086936</v>
      </c>
      <c r="O192" s="16" t="s">
        <v>30</v>
      </c>
      <c r="P192" s="30">
        <f>(1-P190)*(1+P187)</f>
        <v>1.0275877179379147</v>
      </c>
    </row>
    <row r="193" spans="1:16" s="35" customFormat="1" ht="15.75">
      <c r="A193" s="16" t="s">
        <v>474</v>
      </c>
      <c r="B193" s="63" t="s">
        <v>497</v>
      </c>
      <c r="D193" s="44" t="s">
        <v>498</v>
      </c>
      <c r="E193" s="35" t="s">
        <v>20</v>
      </c>
      <c r="F193" s="43" t="s">
        <v>504</v>
      </c>
      <c r="G193" s="8">
        <v>1</v>
      </c>
      <c r="H193" s="61">
        <v>5.4</v>
      </c>
      <c r="I193" s="37"/>
      <c r="J193" s="37">
        <f t="shared" si="11"/>
        <v>334.11219631086936</v>
      </c>
      <c r="O193" s="16" t="s">
        <v>31</v>
      </c>
      <c r="P193" s="30">
        <f>(1-P190)*(1+P188)</f>
        <v>1.066769464594091</v>
      </c>
    </row>
    <row r="194" spans="1:16" s="35" customFormat="1" ht="15.75">
      <c r="A194" s="16" t="s">
        <v>24</v>
      </c>
      <c r="B194" s="35" t="s">
        <v>505</v>
      </c>
      <c r="D194" s="44" t="s">
        <v>506</v>
      </c>
      <c r="E194" s="35" t="s">
        <v>7</v>
      </c>
      <c r="F194" s="43" t="s">
        <v>339</v>
      </c>
      <c r="G194" s="8">
        <v>1</v>
      </c>
      <c r="H194" s="61">
        <v>5.4</v>
      </c>
      <c r="I194" s="37"/>
      <c r="J194" s="37">
        <f t="shared" si="11"/>
        <v>334.11219631086936</v>
      </c>
      <c r="O194" s="29" t="s">
        <v>44</v>
      </c>
      <c r="P194" s="27"/>
    </row>
    <row r="195" spans="1:16" s="35" customFormat="1" ht="15.75">
      <c r="A195" s="16" t="s">
        <v>507</v>
      </c>
      <c r="B195" s="63" t="s">
        <v>508</v>
      </c>
      <c r="D195" s="44" t="s">
        <v>509</v>
      </c>
      <c r="E195" s="35" t="s">
        <v>7</v>
      </c>
      <c r="F195" s="43" t="s">
        <v>35</v>
      </c>
      <c r="G195" s="8">
        <v>1</v>
      </c>
      <c r="H195" s="64">
        <v>14.99</v>
      </c>
      <c r="I195" s="55">
        <f>H195*G195*P$195*$P$197</f>
        <v>1140.0784676207816</v>
      </c>
      <c r="J195" s="38"/>
      <c r="O195" s="16" t="s">
        <v>30</v>
      </c>
      <c r="P195" s="31">
        <f>1+P187</f>
        <v>1.3113092264047084</v>
      </c>
    </row>
    <row r="196" spans="1:16" s="35" customFormat="1" ht="15.75">
      <c r="A196" s="16" t="s">
        <v>507</v>
      </c>
      <c r="B196" s="63" t="s">
        <v>510</v>
      </c>
      <c r="D196" s="44" t="s">
        <v>511</v>
      </c>
      <c r="E196" s="35" t="s">
        <v>7</v>
      </c>
      <c r="F196" s="43" t="s">
        <v>512</v>
      </c>
      <c r="G196" s="8">
        <v>1</v>
      </c>
      <c r="H196" s="64">
        <v>11.99</v>
      </c>
      <c r="I196" s="55">
        <f>H196*G196*P$195*$P$197</f>
        <v>911.9106622263623</v>
      </c>
      <c r="J196" s="38"/>
      <c r="O196" s="16" t="s">
        <v>31</v>
      </c>
      <c r="P196" s="31">
        <f>1+P188</f>
        <v>1.3613092264047084</v>
      </c>
    </row>
    <row r="197" spans="1:16" s="35" customFormat="1" ht="16.5" thickBot="1">
      <c r="A197" s="16" t="s">
        <v>507</v>
      </c>
      <c r="B197" s="63" t="s">
        <v>513</v>
      </c>
      <c r="D197" s="44" t="s">
        <v>514</v>
      </c>
      <c r="E197" s="35" t="s">
        <v>12</v>
      </c>
      <c r="F197" s="43" t="s">
        <v>35</v>
      </c>
      <c r="G197" s="8">
        <v>1</v>
      </c>
      <c r="H197" s="64">
        <v>9.99</v>
      </c>
      <c r="I197" s="55">
        <f>H197*G197*P$195*$P$197</f>
        <v>759.7987919634162</v>
      </c>
      <c r="J197" s="38"/>
      <c r="O197" s="32" t="s">
        <v>33</v>
      </c>
      <c r="P197" s="33">
        <v>58</v>
      </c>
    </row>
    <row r="198" spans="1:9" s="35" customFormat="1" ht="15.75">
      <c r="A198" s="16">
        <v>1</v>
      </c>
      <c r="D198" s="44"/>
      <c r="F198" s="43"/>
      <c r="G198" s="8"/>
      <c r="H198" s="36"/>
      <c r="I198" s="36"/>
    </row>
    <row r="199" spans="1:9" s="35" customFormat="1" ht="16.5" thickBot="1">
      <c r="A199" s="16">
        <v>1</v>
      </c>
      <c r="D199" s="44"/>
      <c r="F199" s="43"/>
      <c r="G199" s="8"/>
      <c r="H199" s="36"/>
      <c r="I199" s="36"/>
    </row>
    <row r="200" spans="1:9" s="60" customFormat="1" ht="15.75">
      <c r="A200" s="58" t="s">
        <v>517</v>
      </c>
      <c r="F200" s="59" t="s">
        <v>581</v>
      </c>
      <c r="H200" s="61"/>
      <c r="I200" s="61"/>
    </row>
    <row r="201" spans="1:10" s="35" customFormat="1" ht="30.75" thickBot="1">
      <c r="A201" s="16" t="s">
        <v>518</v>
      </c>
      <c r="B201" s="9" t="s">
        <v>519</v>
      </c>
      <c r="C201" s="9"/>
      <c r="D201" s="14" t="s">
        <v>520</v>
      </c>
      <c r="E201" s="9" t="s">
        <v>65</v>
      </c>
      <c r="F201" s="6" t="s">
        <v>521</v>
      </c>
      <c r="G201" s="8">
        <v>1</v>
      </c>
      <c r="H201" s="61">
        <v>30</v>
      </c>
      <c r="I201" s="37">
        <f aca="true" t="shared" si="12" ref="I201:I229">H201*G201*$P$211*$P$216</f>
        <v>1638.05035461717</v>
      </c>
      <c r="J201" s="37">
        <f aca="true" t="shared" si="13" ref="J201:J229">H201*G201*$P$212*$P$216</f>
        <v>1701.471536008481</v>
      </c>
    </row>
    <row r="202" spans="1:16" s="35" customFormat="1" ht="30">
      <c r="A202" s="16" t="s">
        <v>522</v>
      </c>
      <c r="B202" s="9" t="s">
        <v>523</v>
      </c>
      <c r="C202" s="9"/>
      <c r="D202" s="14" t="s">
        <v>520</v>
      </c>
      <c r="E202" s="9" t="s">
        <v>21</v>
      </c>
      <c r="F202" s="6" t="s">
        <v>99</v>
      </c>
      <c r="G202" s="8">
        <v>1</v>
      </c>
      <c r="H202" s="61">
        <v>30</v>
      </c>
      <c r="I202" s="37">
        <f t="shared" si="12"/>
        <v>1638.05035461717</v>
      </c>
      <c r="J202" s="37">
        <f t="shared" si="13"/>
        <v>1701.471536008481</v>
      </c>
      <c r="O202" s="73" t="s">
        <v>42</v>
      </c>
      <c r="P202" s="69">
        <f>SUM(H201:H233)</f>
        <v>312.40000000000003</v>
      </c>
    </row>
    <row r="203" spans="1:16" s="35" customFormat="1" ht="15.75">
      <c r="A203" s="16" t="s">
        <v>440</v>
      </c>
      <c r="B203" s="9" t="s">
        <v>524</v>
      </c>
      <c r="C203" s="9"/>
      <c r="D203" s="14" t="s">
        <v>525</v>
      </c>
      <c r="E203" s="9" t="s">
        <v>13</v>
      </c>
      <c r="F203" s="6" t="s">
        <v>526</v>
      </c>
      <c r="G203" s="8">
        <v>1</v>
      </c>
      <c r="H203" s="61">
        <v>16</v>
      </c>
      <c r="I203" s="54">
        <f t="shared" si="12"/>
        <v>873.626855795824</v>
      </c>
      <c r="J203" s="37">
        <f>8016-6960-1150</f>
        <v>-94</v>
      </c>
      <c r="O203" s="16" t="s">
        <v>43</v>
      </c>
      <c r="P203" s="26">
        <f>SUM(H201:H229)</f>
        <v>253.43</v>
      </c>
    </row>
    <row r="204" spans="1:16" s="35" customFormat="1" ht="15.75">
      <c r="A204" s="16" t="s">
        <v>527</v>
      </c>
      <c r="B204" s="9" t="s">
        <v>528</v>
      </c>
      <c r="C204" s="9"/>
      <c r="D204" s="14" t="s">
        <v>529</v>
      </c>
      <c r="E204" s="9" t="s">
        <v>19</v>
      </c>
      <c r="F204" s="6" t="s">
        <v>530</v>
      </c>
      <c r="G204" s="8">
        <v>1</v>
      </c>
      <c r="H204" s="61">
        <v>5</v>
      </c>
      <c r="I204" s="54">
        <f t="shared" si="12"/>
        <v>273.008392436195</v>
      </c>
      <c r="J204" s="37"/>
      <c r="O204" s="16" t="s">
        <v>44</v>
      </c>
      <c r="P204" s="26">
        <f>SUM(H230:H232)</f>
        <v>58.970000000000006</v>
      </c>
    </row>
    <row r="205" spans="1:16" s="35" customFormat="1" ht="15.75">
      <c r="A205" s="16" t="s">
        <v>456</v>
      </c>
      <c r="B205" s="9" t="s">
        <v>531</v>
      </c>
      <c r="C205" s="9"/>
      <c r="D205" s="14" t="s">
        <v>532</v>
      </c>
      <c r="E205" s="9" t="s">
        <v>19</v>
      </c>
      <c r="F205" s="6" t="s">
        <v>52</v>
      </c>
      <c r="G205" s="8">
        <v>1</v>
      </c>
      <c r="H205" s="61">
        <v>5</v>
      </c>
      <c r="I205" s="54">
        <f t="shared" si="12"/>
        <v>273.008392436195</v>
      </c>
      <c r="J205" s="37"/>
      <c r="L205" s="52" t="s">
        <v>533</v>
      </c>
      <c r="O205" s="16" t="s">
        <v>29</v>
      </c>
      <c r="P205" s="27">
        <v>56.99</v>
      </c>
    </row>
    <row r="206" spans="1:16" s="35" customFormat="1" ht="15.75">
      <c r="A206" s="16" t="s">
        <v>456</v>
      </c>
      <c r="B206" s="9" t="s">
        <v>534</v>
      </c>
      <c r="C206" s="9"/>
      <c r="D206" s="14" t="s">
        <v>535</v>
      </c>
      <c r="E206" s="9" t="s">
        <v>19</v>
      </c>
      <c r="F206" s="6" t="s">
        <v>109</v>
      </c>
      <c r="G206" s="8">
        <v>1</v>
      </c>
      <c r="H206" s="61">
        <v>5</v>
      </c>
      <c r="I206" s="54">
        <f t="shared" si="12"/>
        <v>273.008392436195</v>
      </c>
      <c r="J206" s="37"/>
      <c r="O206" s="16" t="s">
        <v>32</v>
      </c>
      <c r="P206" s="28">
        <f>P205/(P202-P208)+0.07</f>
        <v>0.2914063714063714</v>
      </c>
    </row>
    <row r="207" spans="1:16" s="35" customFormat="1" ht="15.75">
      <c r="A207" s="16" t="s">
        <v>17</v>
      </c>
      <c r="B207" s="9" t="s">
        <v>536</v>
      </c>
      <c r="C207" s="9"/>
      <c r="D207" s="14" t="s">
        <v>537</v>
      </c>
      <c r="E207" s="9" t="s">
        <v>19</v>
      </c>
      <c r="F207" s="6" t="s">
        <v>49</v>
      </c>
      <c r="G207" s="8">
        <v>1</v>
      </c>
      <c r="H207" s="61">
        <v>5</v>
      </c>
      <c r="I207" s="37">
        <f t="shared" si="12"/>
        <v>273.008392436195</v>
      </c>
      <c r="J207" s="37">
        <f t="shared" si="13"/>
        <v>283.5785893347468</v>
      </c>
      <c r="O207" s="16" t="s">
        <v>32</v>
      </c>
      <c r="P207" s="28">
        <f>P205/(P202-P208)+0.12</f>
        <v>0.34140637140637137</v>
      </c>
    </row>
    <row r="208" spans="1:16" s="35" customFormat="1" ht="15.75">
      <c r="A208" s="16" t="s">
        <v>17</v>
      </c>
      <c r="B208" s="9" t="s">
        <v>538</v>
      </c>
      <c r="C208" s="9"/>
      <c r="D208" s="14" t="s">
        <v>539</v>
      </c>
      <c r="E208" s="9" t="s">
        <v>19</v>
      </c>
      <c r="F208" s="6" t="s">
        <v>108</v>
      </c>
      <c r="G208" s="8">
        <v>1</v>
      </c>
      <c r="H208" s="61">
        <v>5</v>
      </c>
      <c r="I208" s="37">
        <f t="shared" si="12"/>
        <v>273.008392436195</v>
      </c>
      <c r="J208" s="37">
        <f t="shared" si="13"/>
        <v>283.5785893347468</v>
      </c>
      <c r="O208" s="16" t="s">
        <v>45</v>
      </c>
      <c r="P208" s="27">
        <v>55</v>
      </c>
    </row>
    <row r="209" spans="1:16" s="35" customFormat="1" ht="15.75">
      <c r="A209" s="16" t="s">
        <v>17</v>
      </c>
      <c r="B209" s="9" t="s">
        <v>538</v>
      </c>
      <c r="C209" s="9"/>
      <c r="D209" s="14" t="s">
        <v>539</v>
      </c>
      <c r="E209" s="9" t="s">
        <v>19</v>
      </c>
      <c r="F209" s="6" t="s">
        <v>108</v>
      </c>
      <c r="G209" s="8">
        <v>1</v>
      </c>
      <c r="H209" s="61">
        <v>5</v>
      </c>
      <c r="I209" s="37">
        <f t="shared" si="12"/>
        <v>273.008392436195</v>
      </c>
      <c r="J209" s="37">
        <f t="shared" si="13"/>
        <v>283.5785893347468</v>
      </c>
      <c r="O209" s="16" t="s">
        <v>46</v>
      </c>
      <c r="P209" s="27">
        <f>P208/P203</f>
        <v>0.21702245195912084</v>
      </c>
    </row>
    <row r="210" spans="1:16" s="35" customFormat="1" ht="15.75">
      <c r="A210" s="16" t="s">
        <v>17</v>
      </c>
      <c r="B210" s="9" t="s">
        <v>540</v>
      </c>
      <c r="C210" s="9"/>
      <c r="D210" s="14" t="s">
        <v>541</v>
      </c>
      <c r="E210" s="9" t="s">
        <v>19</v>
      </c>
      <c r="F210" s="6" t="s">
        <v>108</v>
      </c>
      <c r="G210" s="8">
        <v>1</v>
      </c>
      <c r="H210" s="61">
        <v>5</v>
      </c>
      <c r="I210" s="37">
        <f t="shared" si="12"/>
        <v>273.008392436195</v>
      </c>
      <c r="J210" s="37">
        <f t="shared" si="13"/>
        <v>283.5785893347468</v>
      </c>
      <c r="O210" s="29" t="s">
        <v>43</v>
      </c>
      <c r="P210" s="28"/>
    </row>
    <row r="211" spans="1:16" s="35" customFormat="1" ht="15.75">
      <c r="A211" s="16" t="s">
        <v>542</v>
      </c>
      <c r="B211" s="9" t="s">
        <v>543</v>
      </c>
      <c r="C211" s="9"/>
      <c r="D211" s="14" t="s">
        <v>544</v>
      </c>
      <c r="E211" s="9" t="s">
        <v>19</v>
      </c>
      <c r="F211" s="6" t="s">
        <v>530</v>
      </c>
      <c r="G211" s="8">
        <v>1</v>
      </c>
      <c r="H211" s="61">
        <v>5</v>
      </c>
      <c r="I211" s="54">
        <f t="shared" si="12"/>
        <v>273.008392436195</v>
      </c>
      <c r="J211" s="37"/>
      <c r="O211" s="16" t="s">
        <v>30</v>
      </c>
      <c r="P211" s="30">
        <f>(1-P209)*(1+P206)</f>
        <v>1.0111421942081296</v>
      </c>
    </row>
    <row r="212" spans="1:16" s="35" customFormat="1" ht="15.75">
      <c r="A212" s="16" t="s">
        <v>542</v>
      </c>
      <c r="B212" s="9" t="s">
        <v>545</v>
      </c>
      <c r="C212" s="9"/>
      <c r="D212" s="14" t="s">
        <v>546</v>
      </c>
      <c r="E212" s="9" t="s">
        <v>19</v>
      </c>
      <c r="F212" s="6" t="s">
        <v>74</v>
      </c>
      <c r="G212" s="8">
        <v>1</v>
      </c>
      <c r="H212" s="61">
        <v>5</v>
      </c>
      <c r="I212" s="54">
        <f t="shared" si="12"/>
        <v>273.008392436195</v>
      </c>
      <c r="J212" s="37"/>
      <c r="L212" s="52" t="s">
        <v>547</v>
      </c>
      <c r="O212" s="16" t="s">
        <v>31</v>
      </c>
      <c r="P212" s="30">
        <f>(1-P209)*(1+P207)</f>
        <v>1.0502910716101734</v>
      </c>
    </row>
    <row r="213" spans="1:16" s="35" customFormat="1" ht="15.75">
      <c r="A213" s="16" t="s">
        <v>37</v>
      </c>
      <c r="B213" s="9" t="s">
        <v>62</v>
      </c>
      <c r="C213" s="9"/>
      <c r="D213" s="14" t="s">
        <v>548</v>
      </c>
      <c r="E213" s="9" t="s">
        <v>19</v>
      </c>
      <c r="F213" s="6" t="s">
        <v>49</v>
      </c>
      <c r="G213" s="8">
        <v>1</v>
      </c>
      <c r="H213" s="61">
        <v>5</v>
      </c>
      <c r="I213" s="54">
        <f t="shared" si="12"/>
        <v>273.008392436195</v>
      </c>
      <c r="J213" s="37"/>
      <c r="O213" s="29" t="s">
        <v>44</v>
      </c>
      <c r="P213" s="27"/>
    </row>
    <row r="214" spans="1:16" s="35" customFormat="1" ht="15.75">
      <c r="A214" s="16" t="s">
        <v>37</v>
      </c>
      <c r="B214" s="9" t="s">
        <v>51</v>
      </c>
      <c r="C214" s="9"/>
      <c r="D214" s="14" t="s">
        <v>549</v>
      </c>
      <c r="E214" s="9" t="s">
        <v>19</v>
      </c>
      <c r="F214" s="6" t="s">
        <v>52</v>
      </c>
      <c r="G214" s="8">
        <v>1</v>
      </c>
      <c r="H214" s="61">
        <v>5</v>
      </c>
      <c r="I214" s="54">
        <f t="shared" si="12"/>
        <v>273.008392436195</v>
      </c>
      <c r="J214" s="37"/>
      <c r="K214" s="35">
        <v>780</v>
      </c>
      <c r="O214" s="16" t="s">
        <v>30</v>
      </c>
      <c r="P214" s="31">
        <f>1+P206</f>
        <v>1.2914063714063713</v>
      </c>
    </row>
    <row r="215" spans="1:16" s="35" customFormat="1" ht="15.75">
      <c r="A215" s="16" t="s">
        <v>456</v>
      </c>
      <c r="B215" s="9" t="s">
        <v>250</v>
      </c>
      <c r="C215" s="9"/>
      <c r="D215" s="14" t="s">
        <v>260</v>
      </c>
      <c r="E215" s="9" t="s">
        <v>19</v>
      </c>
      <c r="F215" s="17" t="s">
        <v>255</v>
      </c>
      <c r="G215" s="8">
        <v>1</v>
      </c>
      <c r="H215" s="61">
        <v>5</v>
      </c>
      <c r="I215" s="54">
        <f t="shared" si="12"/>
        <v>273.008392436195</v>
      </c>
      <c r="J215" s="37"/>
      <c r="O215" s="16" t="s">
        <v>31</v>
      </c>
      <c r="P215" s="31">
        <f>1+P207</f>
        <v>1.3414063714063713</v>
      </c>
    </row>
    <row r="216" spans="1:16" s="35" customFormat="1" ht="16.5" thickBot="1">
      <c r="A216" s="16" t="s">
        <v>527</v>
      </c>
      <c r="B216" s="9" t="s">
        <v>550</v>
      </c>
      <c r="C216" s="9"/>
      <c r="D216" s="14" t="s">
        <v>551</v>
      </c>
      <c r="E216" s="9" t="s">
        <v>19</v>
      </c>
      <c r="F216" s="6" t="s">
        <v>552</v>
      </c>
      <c r="G216" s="8">
        <v>1</v>
      </c>
      <c r="H216" s="61">
        <v>5</v>
      </c>
      <c r="I216" s="54">
        <f t="shared" si="12"/>
        <v>273.008392436195</v>
      </c>
      <c r="J216" s="37">
        <f>1092-660-720</f>
        <v>-288</v>
      </c>
      <c r="O216" s="32" t="s">
        <v>33</v>
      </c>
      <c r="P216" s="33">
        <v>54</v>
      </c>
    </row>
    <row r="217" spans="1:10" s="35" customFormat="1" ht="15.75">
      <c r="A217" s="16" t="s">
        <v>59</v>
      </c>
      <c r="B217" s="9" t="s">
        <v>250</v>
      </c>
      <c r="C217" s="9"/>
      <c r="D217" s="14" t="s">
        <v>260</v>
      </c>
      <c r="E217" s="9" t="s">
        <v>19</v>
      </c>
      <c r="F217" s="17" t="s">
        <v>255</v>
      </c>
      <c r="G217" s="8">
        <v>1</v>
      </c>
      <c r="H217" s="61">
        <v>5</v>
      </c>
      <c r="I217" s="37">
        <f t="shared" si="12"/>
        <v>273.008392436195</v>
      </c>
      <c r="J217" s="37">
        <f t="shared" si="13"/>
        <v>283.5785893347468</v>
      </c>
    </row>
    <row r="218" spans="1:10" s="35" customFormat="1" ht="15.75">
      <c r="A218" s="16" t="s">
        <v>59</v>
      </c>
      <c r="B218" s="9" t="s">
        <v>550</v>
      </c>
      <c r="C218" s="9"/>
      <c r="D218" s="14" t="s">
        <v>551</v>
      </c>
      <c r="E218" s="9" t="s">
        <v>19</v>
      </c>
      <c r="F218" s="6" t="s">
        <v>552</v>
      </c>
      <c r="G218" s="8">
        <v>1</v>
      </c>
      <c r="H218" s="61">
        <v>5</v>
      </c>
      <c r="I218" s="37">
        <f t="shared" si="12"/>
        <v>273.008392436195</v>
      </c>
      <c r="J218" s="37">
        <f t="shared" si="13"/>
        <v>283.5785893347468</v>
      </c>
    </row>
    <row r="219" spans="1:10" s="35" customFormat="1" ht="15.75">
      <c r="A219" s="16" t="s">
        <v>37</v>
      </c>
      <c r="B219" s="9"/>
      <c r="C219" s="9"/>
      <c r="D219" s="13" t="s">
        <v>553</v>
      </c>
      <c r="E219" s="9" t="s">
        <v>19</v>
      </c>
      <c r="F219" s="15" t="s">
        <v>73</v>
      </c>
      <c r="G219" s="8">
        <v>1</v>
      </c>
      <c r="H219" s="61">
        <v>5</v>
      </c>
      <c r="I219" s="54">
        <f t="shared" si="12"/>
        <v>273.008392436195</v>
      </c>
      <c r="J219" s="37">
        <f>819-780</f>
        <v>39</v>
      </c>
    </row>
    <row r="220" spans="1:10" s="35" customFormat="1" ht="15.75">
      <c r="A220" s="16" t="s">
        <v>59</v>
      </c>
      <c r="B220" s="9"/>
      <c r="C220" s="9"/>
      <c r="D220" s="9"/>
      <c r="E220" s="9" t="s">
        <v>19</v>
      </c>
      <c r="F220" s="20" t="s">
        <v>554</v>
      </c>
      <c r="G220" s="8">
        <v>1</v>
      </c>
      <c r="H220" s="61">
        <v>5</v>
      </c>
      <c r="I220" s="37">
        <f t="shared" si="12"/>
        <v>273.008392436195</v>
      </c>
      <c r="J220" s="37">
        <f t="shared" si="13"/>
        <v>283.5785893347468</v>
      </c>
    </row>
    <row r="221" spans="1:10" s="35" customFormat="1" ht="15.75">
      <c r="A221" s="16" t="s">
        <v>59</v>
      </c>
      <c r="B221" s="9"/>
      <c r="C221" s="9"/>
      <c r="D221" s="9"/>
      <c r="E221" s="9" t="s">
        <v>19</v>
      </c>
      <c r="F221" s="20" t="s">
        <v>555</v>
      </c>
      <c r="G221" s="8">
        <v>1</v>
      </c>
      <c r="H221" s="61">
        <v>5</v>
      </c>
      <c r="I221" s="37">
        <f t="shared" si="12"/>
        <v>273.008392436195</v>
      </c>
      <c r="J221" s="37">
        <f t="shared" si="13"/>
        <v>283.5785893347468</v>
      </c>
    </row>
    <row r="222" spans="1:10" s="35" customFormat="1" ht="15.75">
      <c r="A222" s="16" t="s">
        <v>59</v>
      </c>
      <c r="B222" s="9"/>
      <c r="C222" s="9"/>
      <c r="D222" s="9"/>
      <c r="E222" s="9" t="s">
        <v>19</v>
      </c>
      <c r="F222" s="20" t="s">
        <v>556</v>
      </c>
      <c r="G222" s="8">
        <v>1</v>
      </c>
      <c r="H222" s="61">
        <v>5</v>
      </c>
      <c r="I222" s="37">
        <f t="shared" si="12"/>
        <v>273.008392436195</v>
      </c>
      <c r="J222" s="37">
        <f t="shared" si="13"/>
        <v>283.5785893347468</v>
      </c>
    </row>
    <row r="223" spans="1:10" s="35" customFormat="1" ht="15.75">
      <c r="A223" s="16" t="s">
        <v>59</v>
      </c>
      <c r="B223" s="9"/>
      <c r="C223" s="9"/>
      <c r="D223" s="9"/>
      <c r="E223" s="9" t="s">
        <v>19</v>
      </c>
      <c r="F223" s="20" t="s">
        <v>557</v>
      </c>
      <c r="G223" s="8">
        <v>1</v>
      </c>
      <c r="H223" s="61">
        <v>5</v>
      </c>
      <c r="I223" s="37">
        <f t="shared" si="12"/>
        <v>273.008392436195</v>
      </c>
      <c r="J223" s="37">
        <f t="shared" si="13"/>
        <v>283.5785893347468</v>
      </c>
    </row>
    <row r="224" spans="1:10" s="35" customFormat="1" ht="15.75">
      <c r="A224" s="9" t="s">
        <v>558</v>
      </c>
      <c r="B224" s="9" t="s">
        <v>559</v>
      </c>
      <c r="C224" s="9"/>
      <c r="D224" s="14" t="s">
        <v>560</v>
      </c>
      <c r="E224" s="9"/>
      <c r="F224" s="6" t="s">
        <v>561</v>
      </c>
      <c r="G224" s="8">
        <v>1</v>
      </c>
      <c r="H224" s="61">
        <v>22.95</v>
      </c>
      <c r="I224" s="54">
        <f t="shared" si="12"/>
        <v>1253.108521282135</v>
      </c>
      <c r="J224" s="37">
        <f>I224-1300</f>
        <v>-46.891478717865084</v>
      </c>
    </row>
    <row r="225" spans="1:10" s="35" customFormat="1" ht="15.75">
      <c r="A225" s="9" t="s">
        <v>59</v>
      </c>
      <c r="B225" s="9" t="s">
        <v>562</v>
      </c>
      <c r="C225" s="9"/>
      <c r="D225" s="14" t="s">
        <v>563</v>
      </c>
      <c r="E225" s="9"/>
      <c r="F225" s="9"/>
      <c r="G225" s="8">
        <v>1</v>
      </c>
      <c r="H225" s="61">
        <v>25</v>
      </c>
      <c r="I225" s="37">
        <f t="shared" si="12"/>
        <v>1365.041962180975</v>
      </c>
      <c r="J225" s="37">
        <f t="shared" si="13"/>
        <v>1417.8929466737343</v>
      </c>
    </row>
    <row r="226" spans="1:10" s="35" customFormat="1" ht="15.75">
      <c r="A226" s="9" t="s">
        <v>456</v>
      </c>
      <c r="B226" s="9" t="s">
        <v>564</v>
      </c>
      <c r="C226" s="9"/>
      <c r="D226" s="14" t="s">
        <v>565</v>
      </c>
      <c r="E226" s="9" t="s">
        <v>13</v>
      </c>
      <c r="F226" s="6" t="s">
        <v>566</v>
      </c>
      <c r="G226" s="8">
        <v>1</v>
      </c>
      <c r="H226" s="61">
        <v>7.37</v>
      </c>
      <c r="I226" s="54">
        <f t="shared" si="12"/>
        <v>402.4143704509514</v>
      </c>
      <c r="J226" s="37">
        <v>169</v>
      </c>
    </row>
    <row r="227" spans="1:10" s="35" customFormat="1" ht="15.75">
      <c r="A227" s="9" t="s">
        <v>110</v>
      </c>
      <c r="B227" s="9"/>
      <c r="C227" s="9"/>
      <c r="D227" s="14"/>
      <c r="E227" s="9" t="s">
        <v>13</v>
      </c>
      <c r="F227" s="6" t="s">
        <v>570</v>
      </c>
      <c r="G227" s="8">
        <v>1</v>
      </c>
      <c r="H227" s="61">
        <v>7.37</v>
      </c>
      <c r="I227" s="37">
        <f t="shared" si="12"/>
        <v>402.4143704509514</v>
      </c>
      <c r="J227" s="37">
        <f t="shared" si="13"/>
        <v>417.9948406794168</v>
      </c>
    </row>
    <row r="228" spans="1:10" s="35" customFormat="1" ht="15.75">
      <c r="A228" s="16" t="s">
        <v>518</v>
      </c>
      <c r="B228" s="9" t="s">
        <v>564</v>
      </c>
      <c r="C228" s="9"/>
      <c r="D228" s="14" t="s">
        <v>567</v>
      </c>
      <c r="E228" s="9" t="s">
        <v>13</v>
      </c>
      <c r="F228" s="6" t="s">
        <v>568</v>
      </c>
      <c r="G228" s="8">
        <v>1</v>
      </c>
      <c r="H228" s="61">
        <v>7.37</v>
      </c>
      <c r="I228" s="37">
        <f t="shared" si="12"/>
        <v>402.4143704509514</v>
      </c>
      <c r="J228" s="37">
        <f t="shared" si="13"/>
        <v>417.9948406794168</v>
      </c>
    </row>
    <row r="229" spans="1:10" s="35" customFormat="1" ht="15.75">
      <c r="A229" s="9" t="s">
        <v>110</v>
      </c>
      <c r="B229" s="9" t="s">
        <v>569</v>
      </c>
      <c r="C229" s="9"/>
      <c r="D229" s="9"/>
      <c r="E229" s="9" t="s">
        <v>13</v>
      </c>
      <c r="F229" s="6" t="s">
        <v>570</v>
      </c>
      <c r="G229" s="8">
        <v>1</v>
      </c>
      <c r="H229" s="61">
        <v>7.37</v>
      </c>
      <c r="I229" s="37">
        <f t="shared" si="12"/>
        <v>402.4143704509514</v>
      </c>
      <c r="J229" s="37">
        <f t="shared" si="13"/>
        <v>417.9948406794168</v>
      </c>
    </row>
    <row r="230" spans="1:10" s="35" customFormat="1" ht="15.75">
      <c r="A230" s="35" t="s">
        <v>15</v>
      </c>
      <c r="B230" s="35" t="s">
        <v>571</v>
      </c>
      <c r="D230" s="44" t="s">
        <v>572</v>
      </c>
      <c r="E230" s="35" t="s">
        <v>12</v>
      </c>
      <c r="F230" s="43" t="s">
        <v>573</v>
      </c>
      <c r="G230" s="8">
        <v>1</v>
      </c>
      <c r="H230" s="64">
        <v>44.99</v>
      </c>
      <c r="I230" s="38">
        <f>H230*G230*P$214*$P$216</f>
        <v>3137.420123076923</v>
      </c>
      <c r="J230" s="38">
        <f>H230*G230*$P$215*$P$216</f>
        <v>3258.893123076923</v>
      </c>
    </row>
    <row r="231" spans="1:10" s="35" customFormat="1" ht="15.75">
      <c r="A231" s="35" t="s">
        <v>574</v>
      </c>
      <c r="B231" s="35" t="s">
        <v>575</v>
      </c>
      <c r="D231" s="44" t="s">
        <v>576</v>
      </c>
      <c r="E231" s="35" t="s">
        <v>13</v>
      </c>
      <c r="F231" s="43" t="s">
        <v>577</v>
      </c>
      <c r="G231" s="8">
        <v>1</v>
      </c>
      <c r="H231" s="64">
        <v>9.99</v>
      </c>
      <c r="I231" s="38">
        <f>H231*G231*P$214*$P$216</f>
        <v>696.6620811188811</v>
      </c>
      <c r="J231" s="38">
        <f>H231*G231*$P$215*$P$216</f>
        <v>723.6350811188811</v>
      </c>
    </row>
    <row r="232" spans="1:10" s="35" customFormat="1" ht="15.75">
      <c r="A232" s="35" t="s">
        <v>578</v>
      </c>
      <c r="B232" s="35" t="s">
        <v>579</v>
      </c>
      <c r="D232" s="44" t="s">
        <v>580</v>
      </c>
      <c r="E232" s="35" t="s">
        <v>13</v>
      </c>
      <c r="F232" s="43" t="s">
        <v>25</v>
      </c>
      <c r="G232" s="8">
        <v>1</v>
      </c>
      <c r="H232" s="64">
        <v>3.99</v>
      </c>
      <c r="I232" s="38">
        <f>H232*G232*P$214*$P$216</f>
        <v>278.2464167832168</v>
      </c>
      <c r="J232" s="38">
        <f>H232*G232*$P$215*$P$216</f>
        <v>289.0194167832168</v>
      </c>
    </row>
    <row r="233" spans="1:9" s="35" customFormat="1" ht="16.5" thickBot="1">
      <c r="A233" s="35">
        <v>1</v>
      </c>
      <c r="F233" s="43"/>
      <c r="G233" s="8"/>
      <c r="H233" s="36"/>
      <c r="I233" s="36"/>
    </row>
    <row r="234" spans="1:9" s="35" customFormat="1" ht="15.75">
      <c r="A234" s="23" t="s">
        <v>589</v>
      </c>
      <c r="F234" s="24" t="s">
        <v>684</v>
      </c>
      <c r="G234" s="8"/>
      <c r="H234" s="36"/>
      <c r="I234" s="36"/>
    </row>
    <row r="235" spans="1:10" s="35" customFormat="1" ht="16.5" thickBot="1">
      <c r="A235" s="9" t="s">
        <v>118</v>
      </c>
      <c r="B235" s="35" t="s">
        <v>83</v>
      </c>
      <c r="D235" s="44" t="s">
        <v>590</v>
      </c>
      <c r="E235" s="9" t="s">
        <v>213</v>
      </c>
      <c r="F235" s="6" t="s">
        <v>591</v>
      </c>
      <c r="G235" s="9">
        <v>1</v>
      </c>
      <c r="H235" s="61">
        <f>47.5</f>
        <v>47.5</v>
      </c>
      <c r="I235" s="37">
        <f aca="true" t="shared" si="14" ref="I235:I256">H235*G235*$P$245*$P$250</f>
        <v>2395.6498772439813</v>
      </c>
      <c r="J235" s="37">
        <f aca="true" t="shared" si="15" ref="J235:J249">H235*G235*$P$246*$P$250</f>
        <v>2488.666031696306</v>
      </c>
    </row>
    <row r="236" spans="1:16" s="35" customFormat="1" ht="15.75">
      <c r="A236" s="35" t="s">
        <v>460</v>
      </c>
      <c r="B236" s="63" t="s">
        <v>583</v>
      </c>
      <c r="D236" s="44" t="s">
        <v>592</v>
      </c>
      <c r="E236" s="9" t="s">
        <v>462</v>
      </c>
      <c r="F236" s="6" t="s">
        <v>593</v>
      </c>
      <c r="G236" s="35">
        <v>1</v>
      </c>
      <c r="H236" s="61">
        <v>24.5</v>
      </c>
      <c r="I236" s="37">
        <f t="shared" si="14"/>
        <v>1235.6509893153168</v>
      </c>
      <c r="J236" s="37">
        <f t="shared" si="15"/>
        <v>1283.6277426644106</v>
      </c>
      <c r="O236" s="73" t="s">
        <v>42</v>
      </c>
      <c r="P236" s="69">
        <f>SUM(H235:H265)</f>
        <v>316.7100000000001</v>
      </c>
    </row>
    <row r="237" spans="1:16" s="35" customFormat="1" ht="15.75">
      <c r="A237" s="9" t="s">
        <v>460</v>
      </c>
      <c r="B237" s="12" t="s">
        <v>586</v>
      </c>
      <c r="C237" s="9"/>
      <c r="D237" s="44" t="s">
        <v>594</v>
      </c>
      <c r="E237" s="9" t="s">
        <v>47</v>
      </c>
      <c r="F237" s="17" t="s">
        <v>587</v>
      </c>
      <c r="G237" s="9">
        <v>1</v>
      </c>
      <c r="H237" s="61">
        <v>39.5</v>
      </c>
      <c r="I237" s="37">
        <f t="shared" si="14"/>
        <v>1992.1720031818375</v>
      </c>
      <c r="J237" s="37">
        <f t="shared" si="15"/>
        <v>2069.5222789895597</v>
      </c>
      <c r="O237" s="16" t="s">
        <v>43</v>
      </c>
      <c r="P237" s="26">
        <f>SUM(H235:H256)</f>
        <v>253.80000000000004</v>
      </c>
    </row>
    <row r="238" spans="1:16" s="35" customFormat="1" ht="15.75">
      <c r="A238" s="9" t="s">
        <v>460</v>
      </c>
      <c r="B238" s="12" t="s">
        <v>586</v>
      </c>
      <c r="C238" s="9"/>
      <c r="D238" s="44" t="s">
        <v>595</v>
      </c>
      <c r="E238" s="9" t="s">
        <v>462</v>
      </c>
      <c r="F238" s="17" t="s">
        <v>588</v>
      </c>
      <c r="G238" s="9">
        <v>1</v>
      </c>
      <c r="H238" s="61">
        <v>38.5</v>
      </c>
      <c r="I238" s="37">
        <f t="shared" si="14"/>
        <v>1941.7372689240692</v>
      </c>
      <c r="J238" s="37">
        <f t="shared" si="15"/>
        <v>2017.1293099012169</v>
      </c>
      <c r="O238" s="16" t="s">
        <v>44</v>
      </c>
      <c r="P238" s="26">
        <f>SUM(H257:H265)</f>
        <v>62.91000000000001</v>
      </c>
    </row>
    <row r="239" spans="1:16" s="35" customFormat="1" ht="15.75">
      <c r="A239" s="35" t="s">
        <v>584</v>
      </c>
      <c r="B239" s="63" t="s">
        <v>585</v>
      </c>
      <c r="D239" s="44" t="s">
        <v>596</v>
      </c>
      <c r="E239" s="35" t="s">
        <v>16</v>
      </c>
      <c r="F239" s="6" t="s">
        <v>597</v>
      </c>
      <c r="G239" s="35">
        <v>1</v>
      </c>
      <c r="H239" s="61">
        <v>5.4</v>
      </c>
      <c r="I239" s="37">
        <f t="shared" si="14"/>
        <v>272.34756499194737</v>
      </c>
      <c r="J239" s="37">
        <f t="shared" si="15"/>
        <v>282.9220330770538</v>
      </c>
      <c r="O239" s="16" t="s">
        <v>29</v>
      </c>
      <c r="P239" s="27">
        <v>56.99</v>
      </c>
    </row>
    <row r="240" spans="1:16" s="35" customFormat="1" ht="15.75">
      <c r="A240" s="11" t="s">
        <v>578</v>
      </c>
      <c r="B240" s="63" t="s">
        <v>106</v>
      </c>
      <c r="D240" s="44" t="s">
        <v>598</v>
      </c>
      <c r="E240" s="35" t="s">
        <v>13</v>
      </c>
      <c r="F240" s="6" t="s">
        <v>504</v>
      </c>
      <c r="G240" s="35">
        <v>1</v>
      </c>
      <c r="H240" s="61">
        <v>5.4</v>
      </c>
      <c r="I240" s="37">
        <f t="shared" si="14"/>
        <v>272.34756499194737</v>
      </c>
      <c r="J240" s="37">
        <f t="shared" si="15"/>
        <v>282.9220330770538</v>
      </c>
      <c r="O240" s="16" t="s">
        <v>32</v>
      </c>
      <c r="P240" s="28">
        <f>P239/(P236-P242)+0.07</f>
        <v>0.28776011615910735</v>
      </c>
    </row>
    <row r="241" spans="1:18" ht="15.75">
      <c r="A241" s="11" t="s">
        <v>578</v>
      </c>
      <c r="B241" s="63" t="s">
        <v>106</v>
      </c>
      <c r="C241" s="35"/>
      <c r="D241" s="44" t="s">
        <v>599</v>
      </c>
      <c r="E241" s="35" t="s">
        <v>13</v>
      </c>
      <c r="F241" s="6" t="s">
        <v>499</v>
      </c>
      <c r="G241" s="35">
        <v>1</v>
      </c>
      <c r="H241" s="61">
        <v>5.4</v>
      </c>
      <c r="I241" s="37">
        <f t="shared" si="14"/>
        <v>272.34756499194737</v>
      </c>
      <c r="J241" s="37">
        <f t="shared" si="15"/>
        <v>282.9220330770538</v>
      </c>
      <c r="K241" s="35"/>
      <c r="M241" s="35"/>
      <c r="N241" s="35"/>
      <c r="O241" s="16" t="s">
        <v>32</v>
      </c>
      <c r="P241" s="28">
        <f>P239/(P236-P242)+0.12</f>
        <v>0.33776011615910734</v>
      </c>
      <c r="R241" s="35"/>
    </row>
    <row r="242" spans="1:18" ht="15.75">
      <c r="A242" s="11" t="s">
        <v>600</v>
      </c>
      <c r="B242" s="63" t="s">
        <v>601</v>
      </c>
      <c r="C242" s="35"/>
      <c r="D242" s="44" t="s">
        <v>602</v>
      </c>
      <c r="E242" s="35" t="s">
        <v>16</v>
      </c>
      <c r="F242" s="6" t="s">
        <v>22</v>
      </c>
      <c r="G242" s="35">
        <v>1</v>
      </c>
      <c r="H242" s="61">
        <v>5.4</v>
      </c>
      <c r="I242" s="37">
        <f t="shared" si="14"/>
        <v>272.34756499194737</v>
      </c>
      <c r="J242" s="37">
        <f t="shared" si="15"/>
        <v>282.9220330770538</v>
      </c>
      <c r="K242" s="35"/>
      <c r="M242" s="35"/>
      <c r="N242" s="35"/>
      <c r="O242" s="16" t="s">
        <v>45</v>
      </c>
      <c r="P242" s="27">
        <v>55</v>
      </c>
      <c r="R242" s="35"/>
    </row>
    <row r="243" spans="1:18" ht="15.75">
      <c r="A243" s="11" t="s">
        <v>600</v>
      </c>
      <c r="B243" s="63" t="s">
        <v>603</v>
      </c>
      <c r="C243" s="35"/>
      <c r="D243" s="44" t="s">
        <v>604</v>
      </c>
      <c r="E243" s="35" t="s">
        <v>16</v>
      </c>
      <c r="F243" s="6" t="s">
        <v>605</v>
      </c>
      <c r="G243" s="35">
        <v>1</v>
      </c>
      <c r="H243" s="61">
        <v>5.4</v>
      </c>
      <c r="I243" s="37">
        <f t="shared" si="14"/>
        <v>272.34756499194737</v>
      </c>
      <c r="J243" s="37">
        <f t="shared" si="15"/>
        <v>282.9220330770538</v>
      </c>
      <c r="K243" s="35"/>
      <c r="M243" s="35"/>
      <c r="N243" s="35"/>
      <c r="O243" s="16" t="s">
        <v>46</v>
      </c>
      <c r="P243" s="27">
        <f>P242/P237</f>
        <v>0.21670606776989754</v>
      </c>
      <c r="R243" s="35"/>
    </row>
    <row r="244" spans="1:18" ht="15.75">
      <c r="A244" s="11" t="s">
        <v>600</v>
      </c>
      <c r="B244" s="63" t="s">
        <v>606</v>
      </c>
      <c r="C244" s="35"/>
      <c r="D244" s="44" t="s">
        <v>607</v>
      </c>
      <c r="E244" s="35" t="s">
        <v>13</v>
      </c>
      <c r="F244" s="6" t="s">
        <v>25</v>
      </c>
      <c r="G244" s="35">
        <v>1</v>
      </c>
      <c r="H244" s="61">
        <v>5.4</v>
      </c>
      <c r="I244" s="37">
        <f t="shared" si="14"/>
        <v>272.34756499194737</v>
      </c>
      <c r="J244" s="37">
        <f t="shared" si="15"/>
        <v>282.9220330770538</v>
      </c>
      <c r="K244" s="35"/>
      <c r="M244" s="35"/>
      <c r="N244" s="35"/>
      <c r="O244" s="29" t="s">
        <v>43</v>
      </c>
      <c r="P244" s="28"/>
      <c r="R244" s="35"/>
    </row>
    <row r="245" spans="1:18" ht="15.75">
      <c r="A245" s="11" t="s">
        <v>608</v>
      </c>
      <c r="B245" s="35" t="s">
        <v>609</v>
      </c>
      <c r="C245" s="35"/>
      <c r="D245" s="44" t="s">
        <v>610</v>
      </c>
      <c r="E245" s="35" t="s">
        <v>13</v>
      </c>
      <c r="F245" s="6" t="s">
        <v>611</v>
      </c>
      <c r="G245" s="35">
        <v>1</v>
      </c>
      <c r="H245" s="61">
        <v>5.4</v>
      </c>
      <c r="I245" s="37">
        <f t="shared" si="14"/>
        <v>272.34756499194737</v>
      </c>
      <c r="J245" s="37">
        <f>I245-292</f>
        <v>-19.652435008052635</v>
      </c>
      <c r="K245" s="35"/>
      <c r="M245" s="35"/>
      <c r="N245" s="35"/>
      <c r="O245" s="16" t="s">
        <v>30</v>
      </c>
      <c r="P245" s="30">
        <f>(1-P243)*(1+P240)</f>
        <v>1.0086946851553606</v>
      </c>
      <c r="R245" s="35"/>
    </row>
    <row r="246" spans="1:18" ht="15.75">
      <c r="A246" s="11" t="s">
        <v>612</v>
      </c>
      <c r="B246" s="35" t="s">
        <v>613</v>
      </c>
      <c r="C246" s="35"/>
      <c r="D246" s="44" t="s">
        <v>614</v>
      </c>
      <c r="E246" s="35"/>
      <c r="F246" s="6" t="s">
        <v>615</v>
      </c>
      <c r="G246" s="35">
        <v>1</v>
      </c>
      <c r="H246" s="61">
        <v>6</v>
      </c>
      <c r="I246" s="37">
        <f t="shared" si="14"/>
        <v>302.6084055466082</v>
      </c>
      <c r="J246" s="37">
        <f t="shared" si="15"/>
        <v>314.3578145300597</v>
      </c>
      <c r="K246" s="35"/>
      <c r="M246" s="35"/>
      <c r="N246" s="35"/>
      <c r="O246" s="16" t="s">
        <v>31</v>
      </c>
      <c r="P246" s="30">
        <f>(1-P243)*(1+P241)</f>
        <v>1.0478593817668658</v>
      </c>
      <c r="R246" s="35"/>
    </row>
    <row r="247" spans="1:18" ht="15.75">
      <c r="A247" s="11" t="s">
        <v>616</v>
      </c>
      <c r="B247" s="35" t="s">
        <v>617</v>
      </c>
      <c r="C247" s="35"/>
      <c r="D247" s="44" t="s">
        <v>618</v>
      </c>
      <c r="E247" s="35"/>
      <c r="F247" s="6" t="s">
        <v>619</v>
      </c>
      <c r="G247" s="35">
        <v>1</v>
      </c>
      <c r="H247" s="61">
        <v>6</v>
      </c>
      <c r="I247" s="37">
        <f t="shared" si="14"/>
        <v>302.6084055466082</v>
      </c>
      <c r="J247" s="37">
        <f t="shared" si="15"/>
        <v>314.3578145300597</v>
      </c>
      <c r="K247" s="35"/>
      <c r="M247" s="35"/>
      <c r="N247" s="35"/>
      <c r="O247" s="29" t="s">
        <v>44</v>
      </c>
      <c r="P247" s="27"/>
      <c r="R247" s="35"/>
    </row>
    <row r="248" spans="1:18" ht="15.75">
      <c r="A248" s="11" t="s">
        <v>620</v>
      </c>
      <c r="B248" s="35" t="s">
        <v>621</v>
      </c>
      <c r="C248" s="35"/>
      <c r="D248" s="44" t="s">
        <v>622</v>
      </c>
      <c r="E248" s="35"/>
      <c r="F248" s="6" t="s">
        <v>623</v>
      </c>
      <c r="G248" s="35">
        <v>1</v>
      </c>
      <c r="H248" s="61">
        <v>6</v>
      </c>
      <c r="I248" s="37">
        <f t="shared" si="14"/>
        <v>302.6084055466082</v>
      </c>
      <c r="J248" s="37">
        <f t="shared" si="15"/>
        <v>314.3578145300597</v>
      </c>
      <c r="K248" s="35"/>
      <c r="M248" s="35"/>
      <c r="N248" s="35"/>
      <c r="O248" s="16" t="s">
        <v>30</v>
      </c>
      <c r="P248" s="31">
        <f>1+P240</f>
        <v>1.2877601161591072</v>
      </c>
      <c r="R248" s="35"/>
    </row>
    <row r="249" spans="1:18" ht="15.75">
      <c r="A249" s="11" t="s">
        <v>311</v>
      </c>
      <c r="B249" s="35" t="s">
        <v>624</v>
      </c>
      <c r="C249" s="35"/>
      <c r="D249" s="44" t="s">
        <v>625</v>
      </c>
      <c r="E249" s="35"/>
      <c r="F249" s="6" t="s">
        <v>619</v>
      </c>
      <c r="G249" s="35">
        <v>1</v>
      </c>
      <c r="H249" s="61">
        <v>6</v>
      </c>
      <c r="I249" s="37">
        <f t="shared" si="14"/>
        <v>302.6084055466082</v>
      </c>
      <c r="J249" s="37">
        <f t="shared" si="15"/>
        <v>314.3578145300597</v>
      </c>
      <c r="K249" s="35"/>
      <c r="M249" s="35"/>
      <c r="N249" s="35"/>
      <c r="O249" s="16" t="s">
        <v>31</v>
      </c>
      <c r="P249" s="31">
        <f>1+P241</f>
        <v>1.3377601161591073</v>
      </c>
      <c r="R249" s="35"/>
    </row>
    <row r="250" spans="1:18" ht="16.5" thickBot="1">
      <c r="A250" s="11" t="s">
        <v>626</v>
      </c>
      <c r="B250" s="35" t="s">
        <v>627</v>
      </c>
      <c r="C250" s="35"/>
      <c r="D250" s="44" t="s">
        <v>628</v>
      </c>
      <c r="E250" s="35"/>
      <c r="F250" s="6" t="s">
        <v>615</v>
      </c>
      <c r="G250" s="35">
        <v>1</v>
      </c>
      <c r="H250" s="61">
        <v>6</v>
      </c>
      <c r="I250" s="54">
        <f t="shared" si="14"/>
        <v>302.6084055466082</v>
      </c>
      <c r="J250" s="37"/>
      <c r="K250" s="35"/>
      <c r="M250" s="35"/>
      <c r="N250" s="35"/>
      <c r="O250" s="32" t="s">
        <v>33</v>
      </c>
      <c r="P250" s="33">
        <v>50</v>
      </c>
      <c r="R250" s="35"/>
    </row>
    <row r="251" spans="1:18" ht="15.75">
      <c r="A251" s="11" t="s">
        <v>626</v>
      </c>
      <c r="B251" s="35" t="s">
        <v>90</v>
      </c>
      <c r="C251" s="35"/>
      <c r="D251" s="44" t="s">
        <v>629</v>
      </c>
      <c r="E251" s="35"/>
      <c r="F251" s="6" t="s">
        <v>74</v>
      </c>
      <c r="G251" s="35">
        <v>1</v>
      </c>
      <c r="H251" s="61">
        <v>6</v>
      </c>
      <c r="I251" s="54">
        <f t="shared" si="14"/>
        <v>302.6084055466082</v>
      </c>
      <c r="J251" s="37"/>
      <c r="K251" s="52" t="s">
        <v>630</v>
      </c>
      <c r="M251" s="35"/>
      <c r="N251" s="35"/>
      <c r="O251" s="35"/>
      <c r="P251" s="35"/>
      <c r="Q251" s="35"/>
      <c r="R251" s="35"/>
    </row>
    <row r="252" spans="1:18" ht="15.75">
      <c r="A252" s="11" t="s">
        <v>626</v>
      </c>
      <c r="B252" s="35" t="s">
        <v>91</v>
      </c>
      <c r="C252" s="35"/>
      <c r="D252" s="44" t="s">
        <v>631</v>
      </c>
      <c r="E252" s="35"/>
      <c r="F252" s="6" t="s">
        <v>92</v>
      </c>
      <c r="G252" s="35">
        <v>1</v>
      </c>
      <c r="H252" s="61">
        <v>6</v>
      </c>
      <c r="I252" s="54">
        <f t="shared" si="14"/>
        <v>302.6084055466082</v>
      </c>
      <c r="J252" s="37"/>
      <c r="K252" s="35"/>
      <c r="M252" s="35"/>
      <c r="N252" s="35"/>
      <c r="O252" s="35"/>
      <c r="P252" s="35"/>
      <c r="Q252" s="35"/>
      <c r="R252" s="35"/>
    </row>
    <row r="253" spans="1:18" ht="15.75">
      <c r="A253" s="11" t="s">
        <v>626</v>
      </c>
      <c r="B253" s="35" t="s">
        <v>536</v>
      </c>
      <c r="C253" s="35"/>
      <c r="D253" s="44" t="s">
        <v>632</v>
      </c>
      <c r="E253" s="35"/>
      <c r="F253" s="6" t="s">
        <v>49</v>
      </c>
      <c r="G253" s="35">
        <v>1</v>
      </c>
      <c r="H253" s="61">
        <v>6</v>
      </c>
      <c r="I253" s="54">
        <f t="shared" si="14"/>
        <v>302.6084055466082</v>
      </c>
      <c r="J253" s="37"/>
      <c r="K253" s="35"/>
      <c r="M253" s="35"/>
      <c r="N253" s="35"/>
      <c r="O253" s="35"/>
      <c r="P253" s="35"/>
      <c r="Q253" s="35"/>
      <c r="R253" s="35"/>
    </row>
    <row r="254" spans="1:18" ht="15.75">
      <c r="A254" s="11" t="s">
        <v>626</v>
      </c>
      <c r="B254" s="35" t="s">
        <v>93</v>
      </c>
      <c r="C254" s="35"/>
      <c r="D254" s="44" t="s">
        <v>633</v>
      </c>
      <c r="E254" s="35"/>
      <c r="F254" s="6" t="s">
        <v>94</v>
      </c>
      <c r="G254" s="35">
        <v>1</v>
      </c>
      <c r="H254" s="61">
        <v>6</v>
      </c>
      <c r="I254" s="54">
        <f t="shared" si="14"/>
        <v>302.6084055466082</v>
      </c>
      <c r="J254" s="37">
        <f>1513-1350</f>
        <v>163</v>
      </c>
      <c r="K254" s="35"/>
      <c r="M254" s="35"/>
      <c r="N254" s="35"/>
      <c r="O254" s="35"/>
      <c r="P254" s="35"/>
      <c r="Q254" s="35"/>
      <c r="R254" s="35"/>
    </row>
    <row r="255" spans="1:18" ht="15.75">
      <c r="A255" s="11" t="s">
        <v>634</v>
      </c>
      <c r="B255" s="35" t="s">
        <v>635</v>
      </c>
      <c r="C255" s="35"/>
      <c r="D255" s="44" t="s">
        <v>636</v>
      </c>
      <c r="E255" s="35"/>
      <c r="F255" s="6" t="s">
        <v>73</v>
      </c>
      <c r="G255" s="35">
        <v>1</v>
      </c>
      <c r="H255" s="61">
        <v>6</v>
      </c>
      <c r="I255" s="54">
        <f t="shared" si="14"/>
        <v>302.6084055466082</v>
      </c>
      <c r="J255" s="37"/>
      <c r="K255" s="35"/>
      <c r="M255" s="35"/>
      <c r="N255" s="35"/>
      <c r="O255" s="35"/>
      <c r="P255" s="35"/>
      <c r="Q255" s="35"/>
      <c r="R255" s="35"/>
    </row>
    <row r="256" spans="1:18" ht="15.75">
      <c r="A256" s="11" t="s">
        <v>634</v>
      </c>
      <c r="B256" s="35" t="s">
        <v>637</v>
      </c>
      <c r="C256" s="35"/>
      <c r="D256" s="44" t="s">
        <v>638</v>
      </c>
      <c r="E256" s="35"/>
      <c r="F256" s="6" t="s">
        <v>50</v>
      </c>
      <c r="G256" s="35">
        <v>1</v>
      </c>
      <c r="H256" s="61">
        <v>6</v>
      </c>
      <c r="I256" s="54">
        <f t="shared" si="14"/>
        <v>302.6084055466082</v>
      </c>
      <c r="J256" s="37">
        <f>605-540</f>
        <v>65</v>
      </c>
      <c r="K256" s="35"/>
      <c r="M256" s="35"/>
      <c r="N256" s="35"/>
      <c r="O256" s="35"/>
      <c r="P256" s="35"/>
      <c r="Q256" s="35"/>
      <c r="R256" s="35"/>
    </row>
    <row r="257" spans="1:18" ht="15.75">
      <c r="A257" s="35" t="s">
        <v>639</v>
      </c>
      <c r="B257" s="35" t="s">
        <v>79</v>
      </c>
      <c r="C257" s="35"/>
      <c r="D257" s="44" t="s">
        <v>640</v>
      </c>
      <c r="E257" s="35" t="s">
        <v>7</v>
      </c>
      <c r="F257" s="6" t="s">
        <v>641</v>
      </c>
      <c r="G257" s="35">
        <v>1</v>
      </c>
      <c r="H257" s="64">
        <v>5.99</v>
      </c>
      <c r="I257" s="55">
        <f>H257*G257*P$248*$P$250</f>
        <v>385.6841547896526</v>
      </c>
      <c r="J257" s="38"/>
      <c r="K257" s="35"/>
      <c r="M257" s="35"/>
      <c r="N257" s="35"/>
      <c r="O257" s="35"/>
      <c r="P257" s="35"/>
      <c r="Q257" s="35"/>
      <c r="R257" s="35"/>
    </row>
    <row r="258" spans="1:18" ht="15.75">
      <c r="A258" s="35" t="s">
        <v>639</v>
      </c>
      <c r="B258" s="35" t="s">
        <v>642</v>
      </c>
      <c r="C258" s="35"/>
      <c r="D258" s="44" t="s">
        <v>643</v>
      </c>
      <c r="E258" s="35" t="s">
        <v>7</v>
      </c>
      <c r="F258" s="6" t="s">
        <v>644</v>
      </c>
      <c r="G258" s="35">
        <v>1</v>
      </c>
      <c r="H258" s="77">
        <v>3.99</v>
      </c>
      <c r="I258" s="55">
        <f>H258*G258*P$248*$P$250</f>
        <v>256.9081431737419</v>
      </c>
      <c r="J258" s="38"/>
      <c r="K258" s="35"/>
      <c r="M258" s="35"/>
      <c r="N258" s="35"/>
      <c r="O258" s="35"/>
      <c r="P258" s="35"/>
      <c r="Q258" s="35"/>
      <c r="R258" s="35"/>
    </row>
    <row r="259" spans="1:18" ht="15.75">
      <c r="A259" s="35" t="s">
        <v>507</v>
      </c>
      <c r="B259" s="35" t="s">
        <v>645</v>
      </c>
      <c r="C259" s="35"/>
      <c r="D259" s="44" t="s">
        <v>646</v>
      </c>
      <c r="E259" s="35" t="s">
        <v>7</v>
      </c>
      <c r="F259" s="6" t="s">
        <v>647</v>
      </c>
      <c r="G259" s="35">
        <v>1</v>
      </c>
      <c r="H259" s="64">
        <v>5.99</v>
      </c>
      <c r="I259" s="55">
        <f aca="true" t="shared" si="16" ref="I259:I265">H259*G259*P$248*$P$250</f>
        <v>385.6841547896526</v>
      </c>
      <c r="J259" s="56"/>
      <c r="K259" s="35"/>
      <c r="M259" s="35"/>
      <c r="N259" s="35"/>
      <c r="O259" s="35"/>
      <c r="P259" s="35"/>
      <c r="Q259" s="35"/>
      <c r="R259" s="35"/>
    </row>
    <row r="260" spans="1:18" ht="15.75">
      <c r="A260" s="35" t="s">
        <v>507</v>
      </c>
      <c r="B260" s="35" t="s">
        <v>645</v>
      </c>
      <c r="C260" s="35"/>
      <c r="D260" s="44" t="s">
        <v>646</v>
      </c>
      <c r="E260" s="35" t="s">
        <v>7</v>
      </c>
      <c r="F260" s="6" t="s">
        <v>647</v>
      </c>
      <c r="G260" s="35">
        <v>1</v>
      </c>
      <c r="H260" s="64">
        <v>5.99</v>
      </c>
      <c r="I260" s="55">
        <f t="shared" si="16"/>
        <v>385.6841547896526</v>
      </c>
      <c r="J260" s="56"/>
      <c r="K260" s="35"/>
      <c r="M260" s="35"/>
      <c r="N260" s="35"/>
      <c r="O260" s="35"/>
      <c r="P260" s="35"/>
      <c r="Q260" s="35"/>
      <c r="R260" s="35"/>
    </row>
    <row r="261" spans="1:18" ht="15.75">
      <c r="A261" s="35" t="s">
        <v>507</v>
      </c>
      <c r="B261" s="35" t="s">
        <v>648</v>
      </c>
      <c r="C261" s="35"/>
      <c r="D261" s="44" t="s">
        <v>649</v>
      </c>
      <c r="E261" s="35" t="s">
        <v>7</v>
      </c>
      <c r="F261" s="6" t="s">
        <v>644</v>
      </c>
      <c r="G261" s="35">
        <v>1</v>
      </c>
      <c r="H261" s="77">
        <v>3.99</v>
      </c>
      <c r="I261" s="55">
        <f t="shared" si="16"/>
        <v>256.9081431737419</v>
      </c>
      <c r="J261" s="56"/>
      <c r="K261" s="35"/>
      <c r="M261" s="35"/>
      <c r="N261" s="35"/>
      <c r="O261" s="35"/>
      <c r="P261" s="35"/>
      <c r="Q261" s="35"/>
      <c r="R261" s="35"/>
    </row>
    <row r="262" spans="1:18" ht="15.75">
      <c r="A262" s="35" t="s">
        <v>507</v>
      </c>
      <c r="B262" s="35" t="s">
        <v>648</v>
      </c>
      <c r="C262" s="35"/>
      <c r="D262" s="44" t="s">
        <v>649</v>
      </c>
      <c r="E262" s="35" t="s">
        <v>7</v>
      </c>
      <c r="F262" s="6" t="s">
        <v>644</v>
      </c>
      <c r="G262" s="35">
        <v>1</v>
      </c>
      <c r="H262" s="77">
        <v>3.99</v>
      </c>
      <c r="I262" s="55">
        <f t="shared" si="16"/>
        <v>256.9081431737419</v>
      </c>
      <c r="J262" s="56"/>
      <c r="K262" s="35"/>
      <c r="M262" s="35"/>
      <c r="N262" s="35"/>
      <c r="O262" s="35"/>
      <c r="P262" s="35"/>
      <c r="Q262" s="35"/>
      <c r="R262" s="35"/>
    </row>
    <row r="263" spans="1:18" ht="15.75">
      <c r="A263" s="35" t="s">
        <v>507</v>
      </c>
      <c r="B263" s="35" t="s">
        <v>650</v>
      </c>
      <c r="C263" s="35"/>
      <c r="D263" s="44" t="s">
        <v>651</v>
      </c>
      <c r="E263" s="35" t="s">
        <v>7</v>
      </c>
      <c r="F263" s="6" t="s">
        <v>102</v>
      </c>
      <c r="G263" s="35">
        <v>1</v>
      </c>
      <c r="H263" s="77">
        <v>3.99</v>
      </c>
      <c r="I263" s="55">
        <f t="shared" si="16"/>
        <v>256.9081431737419</v>
      </c>
      <c r="J263" s="56"/>
      <c r="K263" s="35"/>
      <c r="M263" s="35"/>
      <c r="N263" s="35"/>
      <c r="O263" s="35"/>
      <c r="P263" s="35"/>
      <c r="Q263" s="35"/>
      <c r="R263" s="35"/>
    </row>
    <row r="264" spans="1:18" ht="15.75">
      <c r="A264" s="35" t="s">
        <v>507</v>
      </c>
      <c r="B264" s="35" t="s">
        <v>650</v>
      </c>
      <c r="C264" s="35"/>
      <c r="D264" s="44" t="s">
        <v>651</v>
      </c>
      <c r="E264" s="35" t="s">
        <v>7</v>
      </c>
      <c r="F264" s="6" t="s">
        <v>102</v>
      </c>
      <c r="G264" s="35">
        <v>1</v>
      </c>
      <c r="H264" s="77">
        <v>3.99</v>
      </c>
      <c r="I264" s="55">
        <f t="shared" si="16"/>
        <v>256.9081431737419</v>
      </c>
      <c r="J264" s="56"/>
      <c r="K264" s="35"/>
      <c r="M264" s="35"/>
      <c r="N264" s="35"/>
      <c r="O264" s="35"/>
      <c r="P264" s="35"/>
      <c r="Q264" s="35"/>
      <c r="R264" s="35"/>
    </row>
    <row r="265" spans="1:18" ht="15.75">
      <c r="A265" s="35" t="s">
        <v>507</v>
      </c>
      <c r="B265" s="35" t="s">
        <v>652</v>
      </c>
      <c r="C265" s="35"/>
      <c r="D265" s="44" t="s">
        <v>653</v>
      </c>
      <c r="E265" s="35" t="s">
        <v>7</v>
      </c>
      <c r="F265" s="6" t="s">
        <v>27</v>
      </c>
      <c r="G265" s="35">
        <v>1</v>
      </c>
      <c r="H265" s="64">
        <v>24.99</v>
      </c>
      <c r="I265" s="55">
        <f t="shared" si="16"/>
        <v>1609.0562651408043</v>
      </c>
      <c r="J265" s="56">
        <f>3408-3650</f>
        <v>-242</v>
      </c>
      <c r="K265" s="35"/>
      <c r="M265" s="35"/>
      <c r="N265" s="35"/>
      <c r="O265" s="35"/>
      <c r="P265" s="35"/>
      <c r="Q265" s="35"/>
      <c r="R265" s="35"/>
    </row>
    <row r="266" spans="1:18" ht="16.5" thickBot="1">
      <c r="A266" s="11">
        <v>1</v>
      </c>
      <c r="B266" s="35"/>
      <c r="C266" s="35"/>
      <c r="D266" s="44"/>
      <c r="E266" s="35"/>
      <c r="F266" s="43"/>
      <c r="G266" s="35"/>
      <c r="H266" s="36"/>
      <c r="I266" s="35"/>
      <c r="J266" s="35"/>
      <c r="K266" s="35"/>
      <c r="M266" s="35"/>
      <c r="N266" s="35"/>
      <c r="O266" s="35"/>
      <c r="P266" s="35"/>
      <c r="Q266" s="35"/>
      <c r="R266" s="35"/>
    </row>
    <row r="267" spans="1:18" ht="16.5" thickBot="1">
      <c r="A267" s="11">
        <v>1</v>
      </c>
      <c r="B267" s="35"/>
      <c r="C267" s="35"/>
      <c r="D267" s="44"/>
      <c r="E267" s="35"/>
      <c r="G267" s="35"/>
      <c r="H267" s="36"/>
      <c r="I267" s="35"/>
      <c r="J267" s="35"/>
      <c r="K267" s="35"/>
      <c r="M267" s="35"/>
      <c r="N267" s="35"/>
      <c r="O267" s="73" t="s">
        <v>42</v>
      </c>
      <c r="P267" s="69">
        <f>SUM(H269:H281)</f>
        <v>259.79</v>
      </c>
      <c r="R267" s="35"/>
    </row>
    <row r="268" spans="1:18" ht="15.75">
      <c r="A268" s="23" t="s">
        <v>589</v>
      </c>
      <c r="B268" s="35"/>
      <c r="C268" s="35"/>
      <c r="D268" s="35"/>
      <c r="E268" s="35"/>
      <c r="F268" s="24" t="s">
        <v>684</v>
      </c>
      <c r="G268" s="8"/>
      <c r="H268" s="36"/>
      <c r="I268" s="35"/>
      <c r="J268" s="35"/>
      <c r="K268" s="35"/>
      <c r="M268" s="35"/>
      <c r="N268" s="35"/>
      <c r="O268" s="16" t="s">
        <v>43</v>
      </c>
      <c r="P268" s="26">
        <f>SUM(H269:H280)</f>
        <v>252.80000000000004</v>
      </c>
      <c r="R268" s="35"/>
    </row>
    <row r="269" spans="1:18" ht="15.75">
      <c r="A269" s="11" t="s">
        <v>654</v>
      </c>
      <c r="B269" s="35" t="s">
        <v>655</v>
      </c>
      <c r="C269" s="35"/>
      <c r="D269" s="44" t="s">
        <v>656</v>
      </c>
      <c r="E269" s="35" t="s">
        <v>13</v>
      </c>
      <c r="F269" s="43" t="s">
        <v>657</v>
      </c>
      <c r="G269" s="35">
        <v>1</v>
      </c>
      <c r="H269" s="61">
        <v>48.5</v>
      </c>
      <c r="I269" s="37">
        <f aca="true" t="shared" si="17" ref="I269:I280">H269*G269*$P$276*$P$281</f>
        <v>2558.248256752749</v>
      </c>
      <c r="J269" s="37">
        <f aca="true" t="shared" si="18" ref="J269:J275">H269*G269*$P$277*$P$281</f>
        <v>2653.1187077021164</v>
      </c>
      <c r="K269" s="35"/>
      <c r="M269" s="35"/>
      <c r="N269" s="35"/>
      <c r="O269" s="16" t="s">
        <v>44</v>
      </c>
      <c r="P269" s="26">
        <f>SUM(H281)</f>
        <v>6.99</v>
      </c>
      <c r="R269" s="35"/>
    </row>
    <row r="270" spans="1:18" ht="15.75">
      <c r="A270" s="11" t="s">
        <v>654</v>
      </c>
      <c r="B270" s="35" t="s">
        <v>658</v>
      </c>
      <c r="C270" s="35"/>
      <c r="D270" s="44" t="s">
        <v>659</v>
      </c>
      <c r="E270" s="35" t="s">
        <v>13</v>
      </c>
      <c r="F270" s="43" t="s">
        <v>35</v>
      </c>
      <c r="G270" s="35">
        <v>1</v>
      </c>
      <c r="H270" s="61">
        <v>34.5</v>
      </c>
      <c r="I270" s="37">
        <f t="shared" si="17"/>
        <v>1819.7848424323681</v>
      </c>
      <c r="J270" s="37">
        <f t="shared" si="18"/>
        <v>1887.2700085716087</v>
      </c>
      <c r="K270" s="35"/>
      <c r="M270" s="35"/>
      <c r="N270" s="35"/>
      <c r="O270" s="16" t="s">
        <v>29</v>
      </c>
      <c r="P270" s="27">
        <v>56.99</v>
      </c>
      <c r="R270" s="35"/>
    </row>
    <row r="271" spans="1:18" ht="15.75">
      <c r="A271" s="11" t="s">
        <v>654</v>
      </c>
      <c r="B271" s="35" t="s">
        <v>660</v>
      </c>
      <c r="C271" s="35"/>
      <c r="D271" s="44" t="s">
        <v>661</v>
      </c>
      <c r="E271" s="35" t="s">
        <v>7</v>
      </c>
      <c r="F271" s="43" t="s">
        <v>35</v>
      </c>
      <c r="G271" s="35">
        <v>1</v>
      </c>
      <c r="H271" s="61">
        <v>69.5</v>
      </c>
      <c r="I271" s="37">
        <f t="shared" si="17"/>
        <v>3665.943378233321</v>
      </c>
      <c r="J271" s="37">
        <f t="shared" si="18"/>
        <v>3801.891756397878</v>
      </c>
      <c r="K271" s="35"/>
      <c r="M271" s="35"/>
      <c r="N271" s="35"/>
      <c r="O271" s="16" t="s">
        <v>32</v>
      </c>
      <c r="P271" s="28">
        <f>P270/(P267-P273)+0.07</f>
        <v>0.3482850725133063</v>
      </c>
      <c r="R271" s="35"/>
    </row>
    <row r="272" spans="1:18" ht="15.75">
      <c r="A272" s="35" t="s">
        <v>662</v>
      </c>
      <c r="B272" s="35" t="s">
        <v>663</v>
      </c>
      <c r="C272" s="35"/>
      <c r="D272" s="44" t="s">
        <v>664</v>
      </c>
      <c r="E272" s="35" t="s">
        <v>13</v>
      </c>
      <c r="F272" s="43" t="s">
        <v>665</v>
      </c>
      <c r="G272" s="35">
        <v>1</v>
      </c>
      <c r="H272" s="61">
        <v>18.5</v>
      </c>
      <c r="I272" s="37">
        <f t="shared" si="17"/>
        <v>975.8266546376467</v>
      </c>
      <c r="J272" s="37">
        <f t="shared" si="18"/>
        <v>1012.0143524224568</v>
      </c>
      <c r="K272" s="35"/>
      <c r="M272" s="35"/>
      <c r="N272" s="35"/>
      <c r="O272" s="16" t="s">
        <v>32</v>
      </c>
      <c r="P272" s="28">
        <f>P270/(P267-P273)+0.12</f>
        <v>0.3982850725133063</v>
      </c>
      <c r="R272" s="35"/>
    </row>
    <row r="273" spans="1:18" ht="15.75">
      <c r="A273" t="s">
        <v>666</v>
      </c>
      <c r="B273" s="35" t="s">
        <v>667</v>
      </c>
      <c r="C273" s="35"/>
      <c r="D273" s="44" t="s">
        <v>668</v>
      </c>
      <c r="E273" s="35" t="s">
        <v>11</v>
      </c>
      <c r="F273" s="43" t="s">
        <v>669</v>
      </c>
      <c r="G273" s="35">
        <v>1</v>
      </c>
      <c r="H273" s="61">
        <v>44</v>
      </c>
      <c r="I273" s="37">
        <f t="shared" si="17"/>
        <v>2320.885016435484</v>
      </c>
      <c r="J273" s="37">
        <f t="shared" si="18"/>
        <v>2406.9530544101676</v>
      </c>
      <c r="K273" s="35"/>
      <c r="M273" s="35"/>
      <c r="N273" s="35"/>
      <c r="O273" s="16" t="s">
        <v>45</v>
      </c>
      <c r="P273" s="27">
        <v>55</v>
      </c>
      <c r="R273" s="35"/>
    </row>
    <row r="274" spans="1:18" ht="15.75">
      <c r="A274" s="11" t="s">
        <v>600</v>
      </c>
      <c r="B274" s="63" t="s">
        <v>601</v>
      </c>
      <c r="C274" s="35"/>
      <c r="D274" s="44" t="s">
        <v>602</v>
      </c>
      <c r="E274" s="35" t="s">
        <v>13</v>
      </c>
      <c r="F274" s="43" t="s">
        <v>22</v>
      </c>
      <c r="G274" s="35">
        <v>1</v>
      </c>
      <c r="H274" s="61">
        <v>5.4</v>
      </c>
      <c r="I274" s="37">
        <f t="shared" si="17"/>
        <v>284.8358883807185</v>
      </c>
      <c r="J274" s="37">
        <f t="shared" si="18"/>
        <v>295.3987839503388</v>
      </c>
      <c r="K274" s="35"/>
      <c r="M274" s="35"/>
      <c r="N274" s="35"/>
      <c r="O274" s="16" t="s">
        <v>46</v>
      </c>
      <c r="P274" s="27">
        <f>P273/P268</f>
        <v>0.21756329113924047</v>
      </c>
      <c r="R274" s="35"/>
    </row>
    <row r="275" spans="1:18" ht="15.75">
      <c r="A275" s="11" t="s">
        <v>600</v>
      </c>
      <c r="B275" s="63" t="s">
        <v>603</v>
      </c>
      <c r="C275" s="35"/>
      <c r="D275" s="44" t="s">
        <v>604</v>
      </c>
      <c r="E275" s="35" t="s">
        <v>13</v>
      </c>
      <c r="F275" s="43" t="s">
        <v>605</v>
      </c>
      <c r="G275" s="35">
        <v>1</v>
      </c>
      <c r="H275" s="61">
        <v>5.4</v>
      </c>
      <c r="I275" s="37">
        <f t="shared" si="17"/>
        <v>284.8358883807185</v>
      </c>
      <c r="J275" s="37">
        <f t="shared" si="18"/>
        <v>295.3987839503388</v>
      </c>
      <c r="K275" s="35"/>
      <c r="M275" s="35"/>
      <c r="N275" s="35"/>
      <c r="O275" s="29" t="s">
        <v>43</v>
      </c>
      <c r="P275" s="28"/>
      <c r="R275" s="35"/>
    </row>
    <row r="276" spans="1:18" ht="15.75">
      <c r="A276" s="11" t="s">
        <v>64</v>
      </c>
      <c r="B276" s="35" t="s">
        <v>670</v>
      </c>
      <c r="C276" s="35"/>
      <c r="D276" s="44" t="s">
        <v>671</v>
      </c>
      <c r="E276" s="35" t="s">
        <v>7</v>
      </c>
      <c r="F276" s="43" t="s">
        <v>84</v>
      </c>
      <c r="G276" s="35">
        <v>1</v>
      </c>
      <c r="H276" s="61">
        <v>5.4</v>
      </c>
      <c r="I276" s="54">
        <f t="shared" si="17"/>
        <v>284.8358883807185</v>
      </c>
      <c r="J276" s="37"/>
      <c r="K276" s="35"/>
      <c r="M276" s="35"/>
      <c r="N276" s="35"/>
      <c r="O276" s="16" t="s">
        <v>30</v>
      </c>
      <c r="P276" s="30">
        <f>(1-P274)*(1+P271)</f>
        <v>1.0549477347434018</v>
      </c>
      <c r="R276" s="35"/>
    </row>
    <row r="277" spans="1:18" ht="15.75">
      <c r="A277" s="11" t="s">
        <v>64</v>
      </c>
      <c r="B277" s="35" t="s">
        <v>672</v>
      </c>
      <c r="C277" s="35"/>
      <c r="D277" s="44" t="s">
        <v>673</v>
      </c>
      <c r="E277" s="35" t="s">
        <v>7</v>
      </c>
      <c r="F277" s="43" t="s">
        <v>674</v>
      </c>
      <c r="G277" s="35">
        <v>1</v>
      </c>
      <c r="H277" s="61">
        <v>5.4</v>
      </c>
      <c r="I277" s="54">
        <f t="shared" si="17"/>
        <v>284.8358883807185</v>
      </c>
      <c r="J277" s="37"/>
      <c r="K277" s="35"/>
      <c r="M277" s="35"/>
      <c r="N277" s="35"/>
      <c r="O277" s="16" t="s">
        <v>31</v>
      </c>
      <c r="P277" s="30">
        <f>(1-P274)*(1+P272)</f>
        <v>1.0940695701864398</v>
      </c>
      <c r="R277" s="35"/>
    </row>
    <row r="278" spans="1:18" ht="15.75">
      <c r="A278" s="11" t="s">
        <v>64</v>
      </c>
      <c r="B278" s="35" t="s">
        <v>675</v>
      </c>
      <c r="C278" s="35"/>
      <c r="D278" s="44" t="s">
        <v>602</v>
      </c>
      <c r="E278" s="35" t="s">
        <v>7</v>
      </c>
      <c r="F278" s="43" t="s">
        <v>25</v>
      </c>
      <c r="G278" s="35">
        <v>1</v>
      </c>
      <c r="H278" s="61">
        <v>5.4</v>
      </c>
      <c r="I278" s="54">
        <f t="shared" si="17"/>
        <v>284.8358883807185</v>
      </c>
      <c r="J278" s="37"/>
      <c r="K278" s="35"/>
      <c r="M278" s="35"/>
      <c r="N278" s="35"/>
      <c r="O278" s="29" t="s">
        <v>44</v>
      </c>
      <c r="P278" s="27"/>
      <c r="R278" s="35"/>
    </row>
    <row r="279" spans="1:18" ht="15.75">
      <c r="A279" s="11" t="s">
        <v>64</v>
      </c>
      <c r="B279" s="35" t="s">
        <v>676</v>
      </c>
      <c r="C279" s="35"/>
      <c r="D279" s="44" t="s">
        <v>677</v>
      </c>
      <c r="E279" s="35" t="s">
        <v>7</v>
      </c>
      <c r="F279" s="43" t="s">
        <v>678</v>
      </c>
      <c r="G279" s="35">
        <v>1</v>
      </c>
      <c r="H279" s="61">
        <v>5.4</v>
      </c>
      <c r="I279" s="54">
        <f t="shared" si="17"/>
        <v>284.8358883807185</v>
      </c>
      <c r="J279" s="37"/>
      <c r="K279" s="35"/>
      <c r="M279" s="35"/>
      <c r="N279" s="35"/>
      <c r="O279" s="16" t="s">
        <v>30</v>
      </c>
      <c r="P279" s="31">
        <f>1+P271</f>
        <v>1.3482850725133062</v>
      </c>
      <c r="R279" s="35"/>
    </row>
    <row r="280" spans="1:18" ht="15.75">
      <c r="A280" s="11" t="s">
        <v>64</v>
      </c>
      <c r="B280" s="35" t="s">
        <v>679</v>
      </c>
      <c r="C280" s="35"/>
      <c r="D280" s="44" t="s">
        <v>680</v>
      </c>
      <c r="E280" s="35" t="s">
        <v>7</v>
      </c>
      <c r="F280" s="43" t="s">
        <v>644</v>
      </c>
      <c r="G280" s="35">
        <v>1</v>
      </c>
      <c r="H280" s="61">
        <v>5.4</v>
      </c>
      <c r="I280" s="54">
        <f t="shared" si="17"/>
        <v>284.8358883807185</v>
      </c>
      <c r="J280" s="37">
        <f>1424-1458</f>
        <v>-34</v>
      </c>
      <c r="K280" s="35"/>
      <c r="M280" s="35"/>
      <c r="N280" s="35"/>
      <c r="O280" s="16" t="s">
        <v>31</v>
      </c>
      <c r="P280" s="31">
        <f>1+P272</f>
        <v>1.3982850725133062</v>
      </c>
      <c r="R280" s="35"/>
    </row>
    <row r="281" spans="1:18" ht="16.5" thickBot="1">
      <c r="A281" s="35" t="s">
        <v>639</v>
      </c>
      <c r="B281" s="63" t="s">
        <v>681</v>
      </c>
      <c r="C281" s="35"/>
      <c r="D281" s="44" t="s">
        <v>682</v>
      </c>
      <c r="E281" s="35" t="s">
        <v>7</v>
      </c>
      <c r="F281" s="6" t="s">
        <v>683</v>
      </c>
      <c r="G281" s="35">
        <v>1</v>
      </c>
      <c r="H281" s="64">
        <v>6.99</v>
      </c>
      <c r="I281" s="55">
        <f>H281*G281*P$279*$P$281</f>
        <v>471.22563284340055</v>
      </c>
      <c r="J281" s="38">
        <f>1114-1192</f>
        <v>-78</v>
      </c>
      <c r="K281" s="35"/>
      <c r="M281" s="35"/>
      <c r="N281" s="35"/>
      <c r="O281" s="32" t="s">
        <v>33</v>
      </c>
      <c r="P281" s="33">
        <v>50</v>
      </c>
      <c r="R281" s="35"/>
    </row>
    <row r="282" ht="15">
      <c r="A282" s="9">
        <v>1</v>
      </c>
    </row>
    <row r="283" ht="15.75" thickBot="1">
      <c r="A283" s="9">
        <v>1</v>
      </c>
    </row>
    <row r="284" spans="1:17" ht="15.75">
      <c r="A284" s="23" t="s">
        <v>706</v>
      </c>
      <c r="B284" s="35"/>
      <c r="C284" s="35"/>
      <c r="D284" s="35"/>
      <c r="E284" s="35"/>
      <c r="F284" s="24" t="s">
        <v>743</v>
      </c>
      <c r="G284" s="8"/>
      <c r="H284" s="36"/>
      <c r="I284" s="36"/>
      <c r="J284" s="35"/>
      <c r="K284" s="35"/>
      <c r="L284" s="35"/>
      <c r="M284" s="35"/>
      <c r="N284" s="35"/>
      <c r="O284" s="35"/>
      <c r="P284" s="35"/>
      <c r="Q284" s="35"/>
    </row>
    <row r="285" spans="1:17" ht="15.75">
      <c r="A285" s="11" t="s">
        <v>600</v>
      </c>
      <c r="B285" s="63" t="s">
        <v>688</v>
      </c>
      <c r="C285" s="35"/>
      <c r="D285" s="44" t="s">
        <v>689</v>
      </c>
      <c r="E285" s="35" t="s">
        <v>13</v>
      </c>
      <c r="F285" s="6" t="s">
        <v>690</v>
      </c>
      <c r="G285" s="35">
        <v>1</v>
      </c>
      <c r="H285" s="61">
        <v>20</v>
      </c>
      <c r="I285" s="37">
        <f aca="true" t="shared" si="19" ref="I285:I297">H285*G285*$P$297*$P$302</f>
        <v>1093.5309552810163</v>
      </c>
      <c r="J285" s="37">
        <f aca="true" t="shared" si="20" ref="J285:J297">H285*G285*$P$298*$P$302</f>
        <v>1134.1023838524447</v>
      </c>
      <c r="K285" s="52" t="s">
        <v>691</v>
      </c>
      <c r="M285" s="35"/>
      <c r="N285" s="35"/>
      <c r="O285" s="35"/>
      <c r="P285" s="35"/>
      <c r="Q285" s="35"/>
    </row>
    <row r="286" spans="1:17" ht="15.75">
      <c r="A286" s="11" t="s">
        <v>600</v>
      </c>
      <c r="B286" s="35" t="s">
        <v>688</v>
      </c>
      <c r="C286" s="35"/>
      <c r="D286" s="44" t="s">
        <v>692</v>
      </c>
      <c r="E286" s="35" t="s">
        <v>13</v>
      </c>
      <c r="F286" s="6" t="s">
        <v>690</v>
      </c>
      <c r="G286" s="35">
        <v>1</v>
      </c>
      <c r="H286" s="61">
        <v>19</v>
      </c>
      <c r="I286" s="37">
        <f t="shared" si="19"/>
        <v>1038.8544075169655</v>
      </c>
      <c r="J286" s="37">
        <f t="shared" si="20"/>
        <v>1077.3972646598224</v>
      </c>
      <c r="K286" s="52" t="s">
        <v>693</v>
      </c>
      <c r="M286" s="35"/>
      <c r="N286" s="35"/>
      <c r="O286" s="35"/>
      <c r="P286" s="35"/>
      <c r="Q286" s="35"/>
    </row>
    <row r="287" spans="1:17" ht="16.5" thickBot="1">
      <c r="A287" s="35" t="s">
        <v>662</v>
      </c>
      <c r="B287" s="63" t="s">
        <v>694</v>
      </c>
      <c r="C287" s="35"/>
      <c r="D287" s="44" t="s">
        <v>695</v>
      </c>
      <c r="E287" s="35" t="s">
        <v>13</v>
      </c>
      <c r="F287" s="6" t="s">
        <v>665</v>
      </c>
      <c r="G287" s="35">
        <v>1</v>
      </c>
      <c r="H287" s="61">
        <v>21</v>
      </c>
      <c r="I287" s="37">
        <f t="shared" si="19"/>
        <v>1148.2075030450671</v>
      </c>
      <c r="J287" s="37">
        <f t="shared" si="20"/>
        <v>1190.8075030450668</v>
      </c>
      <c r="K287" s="35"/>
      <c r="M287" s="35"/>
      <c r="N287" s="35"/>
      <c r="O287" s="35"/>
      <c r="P287" s="35"/>
      <c r="Q287" s="35"/>
    </row>
    <row r="288" spans="1:16" ht="15.75">
      <c r="A288" s="35" t="s">
        <v>696</v>
      </c>
      <c r="B288" s="35" t="s">
        <v>697</v>
      </c>
      <c r="C288" s="35"/>
      <c r="D288" s="44" t="s">
        <v>707</v>
      </c>
      <c r="E288" s="35"/>
      <c r="F288" s="6" t="s">
        <v>708</v>
      </c>
      <c r="G288" s="35">
        <v>1</v>
      </c>
      <c r="H288" s="61">
        <v>10</v>
      </c>
      <c r="I288" s="37">
        <f t="shared" si="19"/>
        <v>546.7654776405082</v>
      </c>
      <c r="J288" s="37">
        <f t="shared" si="20"/>
        <v>567.0511919262224</v>
      </c>
      <c r="K288" s="35"/>
      <c r="M288" s="35"/>
      <c r="N288" s="35"/>
      <c r="O288" s="73" t="s">
        <v>42</v>
      </c>
      <c r="P288" s="69">
        <f>SUM(H285:H297)</f>
        <v>260.25</v>
      </c>
    </row>
    <row r="289" spans="1:16" ht="15.75">
      <c r="A289" s="35" t="s">
        <v>662</v>
      </c>
      <c r="B289" s="35" t="s">
        <v>698</v>
      </c>
      <c r="C289" s="35"/>
      <c r="D289" s="44" t="s">
        <v>709</v>
      </c>
      <c r="E289" s="35"/>
      <c r="F289" s="6" t="s">
        <v>710</v>
      </c>
      <c r="G289" s="35">
        <v>1</v>
      </c>
      <c r="H289" s="61">
        <v>10</v>
      </c>
      <c r="I289" s="37">
        <f t="shared" si="19"/>
        <v>546.7654776405082</v>
      </c>
      <c r="J289" s="37">
        <f t="shared" si="20"/>
        <v>567.0511919262224</v>
      </c>
      <c r="K289" s="35"/>
      <c r="M289" s="35"/>
      <c r="N289" s="35"/>
      <c r="O289" s="16" t="s">
        <v>43</v>
      </c>
      <c r="P289" s="26">
        <f>SUM(H285:H296)</f>
        <v>250.25</v>
      </c>
    </row>
    <row r="290" spans="1:16" ht="15.75">
      <c r="A290" t="s">
        <v>699</v>
      </c>
      <c r="B290" s="35" t="s">
        <v>700</v>
      </c>
      <c r="C290" s="35"/>
      <c r="D290" s="44" t="s">
        <v>711</v>
      </c>
      <c r="E290" s="35"/>
      <c r="F290" s="6" t="s">
        <v>430</v>
      </c>
      <c r="G290" s="35">
        <v>1</v>
      </c>
      <c r="H290" s="61">
        <v>10</v>
      </c>
      <c r="I290" s="37">
        <f t="shared" si="19"/>
        <v>546.7654776405082</v>
      </c>
      <c r="J290" s="37">
        <f t="shared" si="20"/>
        <v>567.0511919262224</v>
      </c>
      <c r="K290" s="35"/>
      <c r="M290" s="35"/>
      <c r="N290" s="35"/>
      <c r="O290" s="16" t="s">
        <v>44</v>
      </c>
      <c r="P290" s="26">
        <f>SUM(H297)</f>
        <v>10</v>
      </c>
    </row>
    <row r="291" spans="1:16" ht="15.75">
      <c r="A291" t="s">
        <v>55</v>
      </c>
      <c r="B291" s="35" t="s">
        <v>712</v>
      </c>
      <c r="C291" s="35"/>
      <c r="D291" s="44" t="s">
        <v>713</v>
      </c>
      <c r="E291" s="35" t="s">
        <v>13</v>
      </c>
      <c r="F291" s="6" t="s">
        <v>714</v>
      </c>
      <c r="G291" s="35">
        <v>1</v>
      </c>
      <c r="H291" s="61">
        <f>49.5/2</f>
        <v>24.75</v>
      </c>
      <c r="I291" s="37">
        <f t="shared" si="19"/>
        <v>1353.2445571602577</v>
      </c>
      <c r="J291" s="37">
        <f t="shared" si="20"/>
        <v>1403.4517000174003</v>
      </c>
      <c r="K291" s="35"/>
      <c r="M291" s="35"/>
      <c r="N291" s="35"/>
      <c r="O291" s="16" t="s">
        <v>29</v>
      </c>
      <c r="P291" s="27">
        <v>56.99</v>
      </c>
    </row>
    <row r="292" spans="1:16" ht="15.75">
      <c r="A292" t="s">
        <v>55</v>
      </c>
      <c r="B292" s="35" t="s">
        <v>715</v>
      </c>
      <c r="C292" s="35"/>
      <c r="D292" s="44" t="s">
        <v>716</v>
      </c>
      <c r="E292" s="35" t="s">
        <v>71</v>
      </c>
      <c r="F292" s="6" t="s">
        <v>25</v>
      </c>
      <c r="G292" s="35">
        <v>1</v>
      </c>
      <c r="H292" s="61">
        <f>49.5/2</f>
        <v>24.75</v>
      </c>
      <c r="I292" s="37">
        <f t="shared" si="19"/>
        <v>1353.2445571602577</v>
      </c>
      <c r="J292" s="37">
        <f t="shared" si="20"/>
        <v>1403.4517000174003</v>
      </c>
      <c r="K292" s="35"/>
      <c r="M292" s="35"/>
      <c r="N292" s="35"/>
      <c r="O292" s="16" t="s">
        <v>32</v>
      </c>
      <c r="P292" s="28">
        <f>P291/(P288-P294)+0.07</f>
        <v>0.3476613885505481</v>
      </c>
    </row>
    <row r="293" spans="1:16" ht="15.75">
      <c r="A293" t="s">
        <v>58</v>
      </c>
      <c r="B293" s="35" t="s">
        <v>717</v>
      </c>
      <c r="C293" s="35"/>
      <c r="D293" s="44" t="s">
        <v>718</v>
      </c>
      <c r="E293" s="74" t="s">
        <v>11</v>
      </c>
      <c r="F293" s="6" t="s">
        <v>719</v>
      </c>
      <c r="G293" s="35">
        <v>1</v>
      </c>
      <c r="H293" s="61">
        <f>49.5/2</f>
        <v>24.75</v>
      </c>
      <c r="I293" s="37">
        <f t="shared" si="19"/>
        <v>1353.2445571602577</v>
      </c>
      <c r="J293" s="37">
        <f t="shared" si="20"/>
        <v>1403.4517000174003</v>
      </c>
      <c r="K293" s="35"/>
      <c r="M293" s="35"/>
      <c r="N293" s="35"/>
      <c r="O293" s="16" t="s">
        <v>32</v>
      </c>
      <c r="P293" s="28">
        <f>P291/(P288-P294)+0.12</f>
        <v>0.3976613885505481</v>
      </c>
    </row>
    <row r="294" spans="1:16" ht="15.75">
      <c r="A294" t="s">
        <v>666</v>
      </c>
      <c r="B294" s="35" t="s">
        <v>720</v>
      </c>
      <c r="C294" s="35"/>
      <c r="D294" s="44" t="s">
        <v>721</v>
      </c>
      <c r="E294" s="74" t="s">
        <v>16</v>
      </c>
      <c r="F294" s="6" t="s">
        <v>722</v>
      </c>
      <c r="G294" s="35">
        <v>1</v>
      </c>
      <c r="H294" s="61">
        <v>36.5</v>
      </c>
      <c r="I294" s="37">
        <f t="shared" si="19"/>
        <v>1995.6939933878548</v>
      </c>
      <c r="J294" s="37">
        <f t="shared" si="20"/>
        <v>2069.7368505307118</v>
      </c>
      <c r="K294" s="35"/>
      <c r="M294" s="35"/>
      <c r="N294" s="35"/>
      <c r="O294" s="16" t="s">
        <v>45</v>
      </c>
      <c r="P294" s="27">
        <v>55</v>
      </c>
    </row>
    <row r="295" spans="1:16" ht="15.75">
      <c r="A295" t="s">
        <v>110</v>
      </c>
      <c r="B295" s="35"/>
      <c r="C295" s="35"/>
      <c r="D295" s="44" t="s">
        <v>723</v>
      </c>
      <c r="E295" s="35"/>
      <c r="F295" s="6" t="s">
        <v>724</v>
      </c>
      <c r="G295" s="35">
        <v>1</v>
      </c>
      <c r="H295" s="61">
        <f>49.5/2</f>
        <v>24.75</v>
      </c>
      <c r="I295" s="37">
        <f t="shared" si="19"/>
        <v>1353.2445571602577</v>
      </c>
      <c r="J295" s="37">
        <f t="shared" si="20"/>
        <v>1403.4517000174003</v>
      </c>
      <c r="K295" s="35"/>
      <c r="M295" s="35"/>
      <c r="N295" s="35"/>
      <c r="O295" s="16" t="s">
        <v>46</v>
      </c>
      <c r="P295" s="27">
        <f>P294/P289</f>
        <v>0.21978021978021978</v>
      </c>
    </row>
    <row r="296" spans="1:16" ht="15.75">
      <c r="A296" t="s">
        <v>110</v>
      </c>
      <c r="B296" s="35"/>
      <c r="C296" s="35"/>
      <c r="D296" s="44" t="s">
        <v>718</v>
      </c>
      <c r="E296" s="35"/>
      <c r="F296" s="6" t="s">
        <v>725</v>
      </c>
      <c r="G296" s="35">
        <v>1</v>
      </c>
      <c r="H296" s="61">
        <f>49.5/2</f>
        <v>24.75</v>
      </c>
      <c r="I296" s="37">
        <f t="shared" si="19"/>
        <v>1353.2445571602577</v>
      </c>
      <c r="J296" s="37">
        <f t="shared" si="20"/>
        <v>1403.4517000174003</v>
      </c>
      <c r="K296" s="35"/>
      <c r="M296" s="35"/>
      <c r="N296" s="35"/>
      <c r="O296" s="29" t="s">
        <v>43</v>
      </c>
      <c r="P296" s="28"/>
    </row>
    <row r="297" spans="1:16" ht="15.75">
      <c r="A297" t="s">
        <v>726</v>
      </c>
      <c r="B297" s="35"/>
      <c r="C297" s="35"/>
      <c r="D297" s="44" t="s">
        <v>727</v>
      </c>
      <c r="E297" s="35"/>
      <c r="F297" s="6" t="s">
        <v>728</v>
      </c>
      <c r="G297" s="35">
        <v>1</v>
      </c>
      <c r="H297" s="61">
        <v>10</v>
      </c>
      <c r="I297" s="37">
        <f t="shared" si="19"/>
        <v>546.7654776405082</v>
      </c>
      <c r="J297" s="37">
        <f t="shared" si="20"/>
        <v>567.0511919262224</v>
      </c>
      <c r="K297" s="35"/>
      <c r="M297" s="35"/>
      <c r="N297" s="35"/>
      <c r="O297" s="16" t="s">
        <v>30</v>
      </c>
      <c r="P297" s="30">
        <f>(1-P295)*(1+P292)</f>
        <v>1.0514720723855926</v>
      </c>
    </row>
    <row r="298" spans="1:16" ht="15.75">
      <c r="A298" s="35" t="s">
        <v>701</v>
      </c>
      <c r="B298" s="63" t="s">
        <v>702</v>
      </c>
      <c r="C298" s="35"/>
      <c r="D298" s="44" t="s">
        <v>729</v>
      </c>
      <c r="E298" s="35" t="s">
        <v>12</v>
      </c>
      <c r="F298" s="6" t="s">
        <v>730</v>
      </c>
      <c r="G298" s="35">
        <v>1</v>
      </c>
      <c r="H298" s="64">
        <v>19.99</v>
      </c>
      <c r="I298" s="38">
        <f aca="true" t="shared" si="21" ref="I298:I306">H298*G298*P$300*$P$302</f>
        <v>1400.8670601705237</v>
      </c>
      <c r="J298" s="38">
        <f aca="true" t="shared" si="22" ref="J298:J306">H298*G298*$P$301*$P$302</f>
        <v>1452.8410601705234</v>
      </c>
      <c r="K298" s="35"/>
      <c r="M298" s="35"/>
      <c r="N298" s="35"/>
      <c r="O298" s="16" t="s">
        <v>31</v>
      </c>
      <c r="P298" s="30">
        <f>(1-P295)*(1+P293)</f>
        <v>1.0904830613965815</v>
      </c>
    </row>
    <row r="299" spans="1:16" ht="15.75">
      <c r="A299" s="35" t="s">
        <v>701</v>
      </c>
      <c r="B299" s="35" t="s">
        <v>703</v>
      </c>
      <c r="C299" s="35"/>
      <c r="D299" s="44" t="s">
        <v>731</v>
      </c>
      <c r="E299" s="35" t="s">
        <v>20</v>
      </c>
      <c r="F299" s="6" t="s">
        <v>730</v>
      </c>
      <c r="G299" s="35">
        <v>1</v>
      </c>
      <c r="H299" s="64">
        <v>14.99</v>
      </c>
      <c r="I299" s="38">
        <f t="shared" si="21"/>
        <v>1050.4750991473813</v>
      </c>
      <c r="J299" s="38">
        <f t="shared" si="22"/>
        <v>1089.4490991473813</v>
      </c>
      <c r="K299" s="35"/>
      <c r="M299" s="35"/>
      <c r="N299" s="35"/>
      <c r="O299" s="29" t="s">
        <v>44</v>
      </c>
      <c r="P299" s="27"/>
    </row>
    <row r="300" spans="1:16" ht="15.75">
      <c r="A300" s="35" t="s">
        <v>704</v>
      </c>
      <c r="B300" s="35" t="s">
        <v>702</v>
      </c>
      <c r="C300" s="35"/>
      <c r="D300" s="44" t="s">
        <v>729</v>
      </c>
      <c r="E300" s="35" t="s">
        <v>68</v>
      </c>
      <c r="F300" s="6" t="s">
        <v>732</v>
      </c>
      <c r="G300" s="35">
        <v>1</v>
      </c>
      <c r="H300" s="64">
        <v>19.99</v>
      </c>
      <c r="I300" s="38">
        <f t="shared" si="21"/>
        <v>1400.8670601705237</v>
      </c>
      <c r="J300" s="38">
        <f t="shared" si="22"/>
        <v>1452.8410601705234</v>
      </c>
      <c r="K300" s="35"/>
      <c r="M300" s="35"/>
      <c r="N300" s="35"/>
      <c r="O300" s="16" t="s">
        <v>30</v>
      </c>
      <c r="P300" s="31">
        <f>1+P292</f>
        <v>1.3476613885505482</v>
      </c>
    </row>
    <row r="301" spans="1:16" ht="15.75">
      <c r="A301" s="35" t="s">
        <v>704</v>
      </c>
      <c r="B301" s="35" t="s">
        <v>705</v>
      </c>
      <c r="C301" s="35"/>
      <c r="D301" s="44" t="s">
        <v>733</v>
      </c>
      <c r="E301" s="35" t="s">
        <v>13</v>
      </c>
      <c r="F301" s="6" t="s">
        <v>734</v>
      </c>
      <c r="G301" s="35">
        <v>1</v>
      </c>
      <c r="H301" s="64">
        <v>14.99</v>
      </c>
      <c r="I301" s="38">
        <f t="shared" si="21"/>
        <v>1050.4750991473813</v>
      </c>
      <c r="J301" s="38">
        <f t="shared" si="22"/>
        <v>1089.4490991473813</v>
      </c>
      <c r="K301" s="35"/>
      <c r="M301" s="35"/>
      <c r="N301" s="35"/>
      <c r="O301" s="16" t="s">
        <v>31</v>
      </c>
      <c r="P301" s="31">
        <f>1+P293</f>
        <v>1.397661388550548</v>
      </c>
    </row>
    <row r="302" spans="1:16" ht="16.5" thickBot="1">
      <c r="A302" s="35" t="s">
        <v>701</v>
      </c>
      <c r="B302" s="35" t="s">
        <v>735</v>
      </c>
      <c r="C302" s="35"/>
      <c r="D302" s="44" t="s">
        <v>736</v>
      </c>
      <c r="E302" s="35" t="s">
        <v>12</v>
      </c>
      <c r="F302" s="6" t="s">
        <v>737</v>
      </c>
      <c r="G302" s="35">
        <v>1</v>
      </c>
      <c r="H302" s="64">
        <v>11.99</v>
      </c>
      <c r="I302" s="38">
        <f t="shared" si="21"/>
        <v>840.2399225334957</v>
      </c>
      <c r="J302" s="38">
        <f t="shared" si="22"/>
        <v>871.4139225334957</v>
      </c>
      <c r="K302" s="35"/>
      <c r="M302" s="35"/>
      <c r="N302" s="35"/>
      <c r="O302" s="32" t="s">
        <v>33</v>
      </c>
      <c r="P302" s="33">
        <v>52</v>
      </c>
    </row>
    <row r="303" spans="1:17" ht="15.75">
      <c r="A303" s="35" t="s">
        <v>701</v>
      </c>
      <c r="B303" s="35" t="s">
        <v>738</v>
      </c>
      <c r="C303" s="35"/>
      <c r="D303" s="44" t="s">
        <v>739</v>
      </c>
      <c r="E303" s="35" t="s">
        <v>20</v>
      </c>
      <c r="F303" s="6" t="s">
        <v>737</v>
      </c>
      <c r="G303" s="35">
        <v>1</v>
      </c>
      <c r="H303" s="64">
        <v>11.99</v>
      </c>
      <c r="I303" s="38">
        <f t="shared" si="21"/>
        <v>840.2399225334957</v>
      </c>
      <c r="J303" s="38">
        <f t="shared" si="22"/>
        <v>871.4139225334957</v>
      </c>
      <c r="K303" s="35"/>
      <c r="M303" s="35"/>
      <c r="N303" s="35"/>
      <c r="O303" s="35"/>
      <c r="P303" s="35"/>
      <c r="Q303" s="35"/>
    </row>
    <row r="304" spans="1:17" ht="15.75">
      <c r="A304" s="35" t="s">
        <v>740</v>
      </c>
      <c r="B304" s="35"/>
      <c r="C304" s="35"/>
      <c r="D304" s="44" t="s">
        <v>741</v>
      </c>
      <c r="E304" s="35"/>
      <c r="F304" s="6" t="s">
        <v>742</v>
      </c>
      <c r="G304" s="35">
        <v>1</v>
      </c>
      <c r="H304" s="64">
        <v>5.99</v>
      </c>
      <c r="I304" s="38">
        <f t="shared" si="21"/>
        <v>419.76956930572476</v>
      </c>
      <c r="J304" s="38">
        <f t="shared" si="22"/>
        <v>435.3435693057247</v>
      </c>
      <c r="K304" s="35"/>
      <c r="M304" s="35"/>
      <c r="N304" s="35"/>
      <c r="O304" s="35"/>
      <c r="P304" s="35"/>
      <c r="Q304" s="35"/>
    </row>
    <row r="305" spans="1:17" ht="15.75">
      <c r="A305" s="35" t="s">
        <v>740</v>
      </c>
      <c r="B305" s="35"/>
      <c r="C305" s="35"/>
      <c r="D305" s="44" t="s">
        <v>741</v>
      </c>
      <c r="E305" s="35"/>
      <c r="F305" s="6" t="s">
        <v>742</v>
      </c>
      <c r="G305" s="35">
        <v>1</v>
      </c>
      <c r="H305" s="64">
        <v>5.99</v>
      </c>
      <c r="I305" s="38">
        <f t="shared" si="21"/>
        <v>419.76956930572476</v>
      </c>
      <c r="J305" s="38">
        <f t="shared" si="22"/>
        <v>435.3435693057247</v>
      </c>
      <c r="K305" s="35"/>
      <c r="M305" s="35"/>
      <c r="N305" s="35"/>
      <c r="O305" s="35"/>
      <c r="P305" s="35"/>
      <c r="Q305" s="35"/>
    </row>
    <row r="306" spans="1:17" ht="16.5" thickBot="1">
      <c r="A306" s="35" t="s">
        <v>740</v>
      </c>
      <c r="B306" s="35"/>
      <c r="C306" s="35"/>
      <c r="D306" s="44" t="s">
        <v>741</v>
      </c>
      <c r="E306" s="35"/>
      <c r="F306" s="6" t="s">
        <v>742</v>
      </c>
      <c r="G306" s="35">
        <v>1</v>
      </c>
      <c r="H306" s="64">
        <v>5.99</v>
      </c>
      <c r="I306" s="38">
        <f t="shared" si="21"/>
        <v>419.76956930572476</v>
      </c>
      <c r="J306" s="38">
        <f t="shared" si="22"/>
        <v>435.3435693057247</v>
      </c>
      <c r="K306" s="35"/>
      <c r="M306" s="35"/>
      <c r="N306" s="35"/>
      <c r="O306" s="35"/>
      <c r="P306" s="35"/>
      <c r="Q306" s="35"/>
    </row>
    <row r="307" ht="16.5" thickBot="1">
      <c r="A307" s="23">
        <v>1</v>
      </c>
    </row>
    <row r="308" spans="1:19" ht="15.75">
      <c r="A308" s="23" t="s">
        <v>745</v>
      </c>
      <c r="B308" s="35"/>
      <c r="C308" s="35"/>
      <c r="D308" s="35"/>
      <c r="E308" s="35"/>
      <c r="F308" s="24" t="s">
        <v>875</v>
      </c>
      <c r="G308" s="8"/>
      <c r="H308" s="36"/>
      <c r="I308" s="36"/>
      <c r="J308" s="35"/>
      <c r="K308" s="35"/>
      <c r="L308" s="35"/>
      <c r="M308" s="35"/>
      <c r="N308" s="35"/>
      <c r="O308" s="35"/>
      <c r="P308" s="35"/>
      <c r="Q308" s="35"/>
      <c r="R308" s="35"/>
      <c r="S308" s="35"/>
    </row>
    <row r="309" spans="1:19" ht="16.5" thickBot="1">
      <c r="A309" s="35" t="s">
        <v>666</v>
      </c>
      <c r="B309" s="35" t="s">
        <v>685</v>
      </c>
      <c r="C309" s="35"/>
      <c r="D309" s="83" t="s">
        <v>686</v>
      </c>
      <c r="E309" s="35" t="s">
        <v>11</v>
      </c>
      <c r="F309" s="7" t="s">
        <v>687</v>
      </c>
      <c r="G309" s="35">
        <v>1</v>
      </c>
      <c r="H309" s="61">
        <v>45</v>
      </c>
      <c r="I309" s="37">
        <f aca="true" t="shared" si="23" ref="I309:I332">H309*G309*$P$319*$P$324</f>
        <v>2343.1041161659427</v>
      </c>
      <c r="J309" s="37">
        <f aca="true" t="shared" si="24" ref="J309:J332">H309*G309*$P$320*$P$324</f>
        <v>2436.4457222205915</v>
      </c>
      <c r="L309" s="35"/>
      <c r="M309" s="35"/>
      <c r="N309" s="35"/>
      <c r="O309" s="35"/>
      <c r="P309" s="35"/>
      <c r="Q309" s="35"/>
      <c r="R309" s="35"/>
      <c r="S309" s="35"/>
    </row>
    <row r="310" spans="1:19" ht="15.75">
      <c r="A310" s="35" t="s">
        <v>118</v>
      </c>
      <c r="B310" s="35" t="s">
        <v>582</v>
      </c>
      <c r="C310" s="35"/>
      <c r="D310" s="44" t="s">
        <v>746</v>
      </c>
      <c r="E310" s="35" t="s">
        <v>747</v>
      </c>
      <c r="F310" s="6" t="s">
        <v>98</v>
      </c>
      <c r="G310" s="8">
        <v>1</v>
      </c>
      <c r="H310" s="61">
        <v>30</v>
      </c>
      <c r="I310" s="37">
        <f t="shared" si="23"/>
        <v>1562.0694107772952</v>
      </c>
      <c r="J310" s="37">
        <f t="shared" si="24"/>
        <v>1624.2971481470609</v>
      </c>
      <c r="L310" s="35"/>
      <c r="M310" s="35"/>
      <c r="N310" s="35"/>
      <c r="O310" s="73" t="s">
        <v>42</v>
      </c>
      <c r="P310" s="69">
        <f>SUM(H309:H334)</f>
        <v>524.6800000000001</v>
      </c>
      <c r="R310" s="35"/>
      <c r="S310" s="35"/>
    </row>
    <row r="311" spans="1:19" ht="15.75">
      <c r="A311" s="11" t="s">
        <v>584</v>
      </c>
      <c r="B311" s="35" t="s">
        <v>748</v>
      </c>
      <c r="C311" s="35"/>
      <c r="D311" s="44" t="s">
        <v>746</v>
      </c>
      <c r="E311" s="35" t="s">
        <v>749</v>
      </c>
      <c r="F311" s="6" t="s">
        <v>98</v>
      </c>
      <c r="G311" s="8">
        <v>1</v>
      </c>
      <c r="H311" s="61">
        <v>30</v>
      </c>
      <c r="I311" s="37">
        <f t="shared" si="23"/>
        <v>1562.0694107772952</v>
      </c>
      <c r="J311" s="37">
        <f t="shared" si="24"/>
        <v>1624.2971481470609</v>
      </c>
      <c r="L311" s="35"/>
      <c r="M311" s="35"/>
      <c r="N311" s="35"/>
      <c r="O311" s="16" t="s">
        <v>43</v>
      </c>
      <c r="P311" s="26">
        <f>SUM(H309:H332)</f>
        <v>508.70000000000005</v>
      </c>
      <c r="R311" s="35"/>
      <c r="S311" s="35"/>
    </row>
    <row r="312" spans="1:19" ht="15.75">
      <c r="A312" s="11" t="s">
        <v>750</v>
      </c>
      <c r="B312" s="35" t="s">
        <v>751</v>
      </c>
      <c r="C312" s="35"/>
      <c r="D312" s="44" t="s">
        <v>752</v>
      </c>
      <c r="E312" s="35" t="s">
        <v>20</v>
      </c>
      <c r="F312" s="6" t="s">
        <v>753</v>
      </c>
      <c r="G312" s="8">
        <v>1</v>
      </c>
      <c r="H312" s="61">
        <v>50.5</v>
      </c>
      <c r="I312" s="37">
        <f t="shared" si="23"/>
        <v>2629.4835081417805</v>
      </c>
      <c r="J312" s="37">
        <f t="shared" si="24"/>
        <v>2734.233532714219</v>
      </c>
      <c r="L312" s="35"/>
      <c r="M312" s="35"/>
      <c r="N312" s="35"/>
      <c r="O312" s="16" t="s">
        <v>44</v>
      </c>
      <c r="P312" s="26">
        <f>SUM(H333:H334)</f>
        <v>15.98</v>
      </c>
      <c r="R312" s="35"/>
      <c r="S312" s="35"/>
    </row>
    <row r="313" spans="1:19" ht="15.75">
      <c r="A313" s="35" t="s">
        <v>754</v>
      </c>
      <c r="B313" s="35" t="s">
        <v>166</v>
      </c>
      <c r="C313" s="35"/>
      <c r="D313" s="44" t="s">
        <v>755</v>
      </c>
      <c r="E313" s="35" t="s">
        <v>20</v>
      </c>
      <c r="F313" s="6" t="s">
        <v>35</v>
      </c>
      <c r="G313" s="8">
        <v>1</v>
      </c>
      <c r="H313" s="61">
        <v>39.5</v>
      </c>
      <c r="I313" s="37">
        <f t="shared" si="23"/>
        <v>2056.7247241901055</v>
      </c>
      <c r="J313" s="37">
        <f t="shared" si="24"/>
        <v>2138.6579117269634</v>
      </c>
      <c r="L313" s="35"/>
      <c r="M313" s="35"/>
      <c r="N313" s="35"/>
      <c r="O313" s="16" t="s">
        <v>29</v>
      </c>
      <c r="P313" s="27">
        <v>73.99</v>
      </c>
      <c r="R313" s="35"/>
      <c r="S313" s="35"/>
    </row>
    <row r="314" spans="1:19" ht="15.75">
      <c r="A314" s="35" t="s">
        <v>754</v>
      </c>
      <c r="B314" s="35" t="s">
        <v>756</v>
      </c>
      <c r="C314" s="35"/>
      <c r="D314" s="44" t="s">
        <v>757</v>
      </c>
      <c r="E314" s="35" t="s">
        <v>16</v>
      </c>
      <c r="F314" s="6" t="s">
        <v>35</v>
      </c>
      <c r="G314" s="8">
        <v>1</v>
      </c>
      <c r="H314" s="61">
        <v>19.5</v>
      </c>
      <c r="I314" s="37">
        <f t="shared" si="23"/>
        <v>1015.3451170052418</v>
      </c>
      <c r="J314" s="37">
        <f t="shared" si="24"/>
        <v>1055.7931462955896</v>
      </c>
      <c r="L314" s="35"/>
      <c r="M314" s="35"/>
      <c r="N314" s="35"/>
      <c r="O314" s="16" t="s">
        <v>32</v>
      </c>
      <c r="P314" s="28">
        <f>P313/(P310-P316)+0.07</f>
        <v>0.255123098478783</v>
      </c>
      <c r="R314" s="35"/>
      <c r="S314" s="35"/>
    </row>
    <row r="315" spans="1:19" ht="15.75">
      <c r="A315" s="35" t="s">
        <v>55</v>
      </c>
      <c r="B315" s="35" t="s">
        <v>377</v>
      </c>
      <c r="C315" s="35"/>
      <c r="D315" s="83" t="s">
        <v>758</v>
      </c>
      <c r="E315" s="35" t="s">
        <v>7</v>
      </c>
      <c r="F315" s="7" t="s">
        <v>443</v>
      </c>
      <c r="G315" s="8">
        <v>1</v>
      </c>
      <c r="H315" s="61">
        <v>5.4</v>
      </c>
      <c r="I315" s="37">
        <f t="shared" si="23"/>
        <v>281.1724939399131</v>
      </c>
      <c r="J315" s="37">
        <f t="shared" si="24"/>
        <v>292.37348666647097</v>
      </c>
      <c r="L315" s="35"/>
      <c r="M315" s="35"/>
      <c r="N315" s="35"/>
      <c r="O315" s="16" t="s">
        <v>32</v>
      </c>
      <c r="P315" s="28">
        <f>P313/(P310-P316)+0.12</f>
        <v>0.30512309847878294</v>
      </c>
      <c r="R315" s="35"/>
      <c r="S315" s="35"/>
    </row>
    <row r="316" spans="1:19" ht="15.75">
      <c r="A316" s="35" t="s">
        <v>55</v>
      </c>
      <c r="B316" s="35" t="s">
        <v>744</v>
      </c>
      <c r="C316" s="35"/>
      <c r="D316" s="83" t="s">
        <v>598</v>
      </c>
      <c r="E316" s="35" t="s">
        <v>13</v>
      </c>
      <c r="F316" s="7" t="s">
        <v>35</v>
      </c>
      <c r="G316" s="8">
        <v>1</v>
      </c>
      <c r="H316" s="61">
        <v>5.4</v>
      </c>
      <c r="I316" s="37">
        <f t="shared" si="23"/>
        <v>281.1724939399131</v>
      </c>
      <c r="J316" s="37">
        <f t="shared" si="24"/>
        <v>292.37348666647097</v>
      </c>
      <c r="L316" s="35"/>
      <c r="M316" s="35"/>
      <c r="N316" s="35"/>
      <c r="O316" s="16" t="s">
        <v>45</v>
      </c>
      <c r="P316" s="40">
        <v>125</v>
      </c>
      <c r="R316" s="35"/>
      <c r="S316" s="35"/>
    </row>
    <row r="317" spans="1:19" ht="15.75">
      <c r="A317" s="35" t="s">
        <v>55</v>
      </c>
      <c r="B317" s="35" t="s">
        <v>759</v>
      </c>
      <c r="C317" s="35"/>
      <c r="D317" s="44" t="s">
        <v>599</v>
      </c>
      <c r="E317" s="35" t="s">
        <v>13</v>
      </c>
      <c r="F317" s="7" t="s">
        <v>760</v>
      </c>
      <c r="G317" s="8">
        <v>1</v>
      </c>
      <c r="H317" s="61">
        <v>5.4</v>
      </c>
      <c r="I317" s="37">
        <f t="shared" si="23"/>
        <v>281.1724939399131</v>
      </c>
      <c r="J317" s="37">
        <f t="shared" si="24"/>
        <v>292.37348666647097</v>
      </c>
      <c r="L317" s="35"/>
      <c r="M317" s="35"/>
      <c r="N317" s="35"/>
      <c r="O317" s="16" t="s">
        <v>46</v>
      </c>
      <c r="P317" s="27">
        <f>P316/P311</f>
        <v>0.245724395517987</v>
      </c>
      <c r="R317" s="35"/>
      <c r="S317" s="35"/>
    </row>
    <row r="318" spans="1:19" ht="15.75">
      <c r="A318" s="35" t="s">
        <v>761</v>
      </c>
      <c r="B318" s="35" t="s">
        <v>762</v>
      </c>
      <c r="C318" s="35"/>
      <c r="D318" s="44" t="s">
        <v>763</v>
      </c>
      <c r="E318" s="35" t="s">
        <v>20</v>
      </c>
      <c r="F318" s="6" t="s">
        <v>28</v>
      </c>
      <c r="G318" s="8">
        <v>1</v>
      </c>
      <c r="H318" s="61">
        <v>5.4</v>
      </c>
      <c r="I318" s="37">
        <f t="shared" si="23"/>
        <v>281.1724939399131</v>
      </c>
      <c r="J318" s="37">
        <f t="shared" si="24"/>
        <v>292.37348666647097</v>
      </c>
      <c r="L318" s="35"/>
      <c r="M318" s="35"/>
      <c r="N318" s="35"/>
      <c r="O318" s="29" t="s">
        <v>43</v>
      </c>
      <c r="P318" s="28"/>
      <c r="R318" s="35"/>
      <c r="S318" s="35"/>
    </row>
    <row r="319" spans="1:19" ht="15.75">
      <c r="A319" s="35" t="s">
        <v>761</v>
      </c>
      <c r="B319" s="35" t="s">
        <v>764</v>
      </c>
      <c r="C319" s="35"/>
      <c r="D319" s="44" t="s">
        <v>765</v>
      </c>
      <c r="E319" s="35" t="s">
        <v>20</v>
      </c>
      <c r="F319" s="6" t="s">
        <v>342</v>
      </c>
      <c r="G319" s="8">
        <v>1</v>
      </c>
      <c r="H319" s="61">
        <v>5.4</v>
      </c>
      <c r="I319" s="37">
        <f t="shared" si="23"/>
        <v>281.1724939399131</v>
      </c>
      <c r="J319" s="37">
        <f t="shared" si="24"/>
        <v>292.37348666647097</v>
      </c>
      <c r="L319" s="35"/>
      <c r="M319" s="35"/>
      <c r="N319" s="35"/>
      <c r="O319" s="16" t="s">
        <v>30</v>
      </c>
      <c r="P319" s="30">
        <f>(1-P317)*(1+P314)</f>
        <v>0.9467087338044213</v>
      </c>
      <c r="R319" s="35"/>
      <c r="S319" s="35"/>
    </row>
    <row r="320" spans="1:19" ht="15.75">
      <c r="A320" s="35" t="s">
        <v>766</v>
      </c>
      <c r="B320" s="35" t="s">
        <v>767</v>
      </c>
      <c r="C320" s="35"/>
      <c r="D320" s="44" t="s">
        <v>671</v>
      </c>
      <c r="E320" s="35" t="s">
        <v>7</v>
      </c>
      <c r="F320" s="6" t="s">
        <v>84</v>
      </c>
      <c r="G320" s="8">
        <v>1</v>
      </c>
      <c r="H320" s="61">
        <v>5.4</v>
      </c>
      <c r="I320" s="37">
        <f t="shared" si="23"/>
        <v>281.1724939399131</v>
      </c>
      <c r="J320" s="37">
        <f t="shared" si="24"/>
        <v>292.37348666647097</v>
      </c>
      <c r="L320" s="35"/>
      <c r="M320" s="35"/>
      <c r="N320" s="35"/>
      <c r="O320" s="16" t="s">
        <v>31</v>
      </c>
      <c r="P320" s="30">
        <f>(1-P317)*(1+P315)</f>
        <v>0.9844225140285218</v>
      </c>
      <c r="R320" s="35"/>
      <c r="S320" s="35"/>
    </row>
    <row r="321" spans="1:19" ht="15.75">
      <c r="A321" s="35" t="s">
        <v>768</v>
      </c>
      <c r="B321" s="35" t="s">
        <v>106</v>
      </c>
      <c r="C321" s="35"/>
      <c r="D321" s="44" t="s">
        <v>599</v>
      </c>
      <c r="E321" s="35" t="s">
        <v>13</v>
      </c>
      <c r="F321" s="6" t="s">
        <v>499</v>
      </c>
      <c r="G321" s="8">
        <v>1</v>
      </c>
      <c r="H321" s="61">
        <v>5.4</v>
      </c>
      <c r="I321" s="37">
        <f t="shared" si="23"/>
        <v>281.1724939399131</v>
      </c>
      <c r="J321" s="37">
        <f t="shared" si="24"/>
        <v>292.37348666647097</v>
      </c>
      <c r="L321" s="35"/>
      <c r="M321" s="35"/>
      <c r="N321" s="35"/>
      <c r="O321" s="29" t="s">
        <v>44</v>
      </c>
      <c r="P321" s="27"/>
      <c r="R321" s="35"/>
      <c r="S321" s="35"/>
    </row>
    <row r="322" spans="1:19" ht="15.75">
      <c r="A322" s="35" t="s">
        <v>768</v>
      </c>
      <c r="B322" s="35" t="s">
        <v>106</v>
      </c>
      <c r="C322" s="35"/>
      <c r="D322" s="44" t="s">
        <v>599</v>
      </c>
      <c r="E322" s="35" t="s">
        <v>13</v>
      </c>
      <c r="F322" s="6" t="s">
        <v>769</v>
      </c>
      <c r="G322" s="8">
        <v>1</v>
      </c>
      <c r="H322" s="61">
        <v>5.4</v>
      </c>
      <c r="I322" s="37">
        <f t="shared" si="23"/>
        <v>281.1724939399131</v>
      </c>
      <c r="J322" s="37">
        <f t="shared" si="24"/>
        <v>292.37348666647097</v>
      </c>
      <c r="L322" s="35"/>
      <c r="M322" s="35"/>
      <c r="N322" s="35"/>
      <c r="O322" s="16" t="s">
        <v>30</v>
      </c>
      <c r="P322" s="31">
        <f>1+P314</f>
        <v>1.2551230984787831</v>
      </c>
      <c r="R322" s="35"/>
      <c r="S322" s="35"/>
    </row>
    <row r="323" spans="1:19" ht="15.75">
      <c r="A323" s="35" t="s">
        <v>770</v>
      </c>
      <c r="B323" s="35" t="s">
        <v>771</v>
      </c>
      <c r="C323" s="35"/>
      <c r="D323" s="44" t="s">
        <v>772</v>
      </c>
      <c r="E323" s="35" t="s">
        <v>78</v>
      </c>
      <c r="F323" s="6" t="s">
        <v>773</v>
      </c>
      <c r="G323" s="8">
        <v>1</v>
      </c>
      <c r="H323" s="61">
        <v>33</v>
      </c>
      <c r="I323" s="37">
        <f t="shared" si="23"/>
        <v>1718.2763518550246</v>
      </c>
      <c r="J323" s="37">
        <f t="shared" si="24"/>
        <v>1786.726862961767</v>
      </c>
      <c r="L323" s="35"/>
      <c r="M323" s="35"/>
      <c r="N323" s="35"/>
      <c r="O323" s="16" t="s">
        <v>31</v>
      </c>
      <c r="P323" s="31">
        <f>1+P315</f>
        <v>1.305123098478783</v>
      </c>
      <c r="R323" s="35"/>
      <c r="S323" s="35"/>
    </row>
    <row r="324" spans="1:19" ht="16.5" thickBot="1">
      <c r="A324" s="35" t="s">
        <v>770</v>
      </c>
      <c r="B324" s="35" t="s">
        <v>774</v>
      </c>
      <c r="C324" s="35"/>
      <c r="D324" s="44" t="s">
        <v>775</v>
      </c>
      <c r="E324" s="35" t="s">
        <v>7</v>
      </c>
      <c r="F324" s="6" t="s">
        <v>35</v>
      </c>
      <c r="G324" s="8">
        <v>1</v>
      </c>
      <c r="H324" s="61">
        <v>13</v>
      </c>
      <c r="I324" s="37">
        <f t="shared" si="23"/>
        <v>676.8967446701612</v>
      </c>
      <c r="J324" s="37">
        <f t="shared" si="24"/>
        <v>703.862097530393</v>
      </c>
      <c r="L324" s="35"/>
      <c r="M324" s="35"/>
      <c r="N324" s="35"/>
      <c r="O324" s="32" t="s">
        <v>33</v>
      </c>
      <c r="P324" s="33">
        <v>55</v>
      </c>
      <c r="R324" s="35"/>
      <c r="S324" s="35"/>
    </row>
    <row r="325" spans="1:19" ht="15.75">
      <c r="A325" s="35" t="s">
        <v>162</v>
      </c>
      <c r="B325" s="35" t="s">
        <v>776</v>
      </c>
      <c r="C325" s="35"/>
      <c r="D325" s="44" t="s">
        <v>777</v>
      </c>
      <c r="E325" s="35" t="s">
        <v>20</v>
      </c>
      <c r="F325" s="6" t="s">
        <v>778</v>
      </c>
      <c r="G325" s="8">
        <v>1</v>
      </c>
      <c r="H325" s="61">
        <v>18</v>
      </c>
      <c r="I325" s="37">
        <f t="shared" si="23"/>
        <v>937.2416464663771</v>
      </c>
      <c r="J325" s="37">
        <f t="shared" si="24"/>
        <v>974.5782888882366</v>
      </c>
      <c r="L325" s="35"/>
      <c r="M325" s="35"/>
      <c r="N325" s="35"/>
      <c r="O325" s="35"/>
      <c r="P325" s="35"/>
      <c r="Q325" s="35"/>
      <c r="R325" s="35"/>
      <c r="S325" s="35"/>
    </row>
    <row r="326" spans="1:19" ht="15.75">
      <c r="A326" s="35" t="s">
        <v>162</v>
      </c>
      <c r="B326" s="35" t="s">
        <v>776</v>
      </c>
      <c r="C326" s="35"/>
      <c r="D326" s="44" t="s">
        <v>779</v>
      </c>
      <c r="E326" s="35" t="s">
        <v>20</v>
      </c>
      <c r="F326" s="6" t="s">
        <v>778</v>
      </c>
      <c r="G326" s="8">
        <v>1</v>
      </c>
      <c r="H326" s="61">
        <v>16</v>
      </c>
      <c r="I326" s="37">
        <f t="shared" si="23"/>
        <v>833.1036857478907</v>
      </c>
      <c r="J326" s="37">
        <f t="shared" si="24"/>
        <v>866.2918123450992</v>
      </c>
      <c r="L326" s="35"/>
      <c r="M326" s="35"/>
      <c r="N326" s="35"/>
      <c r="O326" s="35"/>
      <c r="P326" s="35"/>
      <c r="Q326" s="35"/>
      <c r="R326" s="35"/>
      <c r="S326" s="35"/>
    </row>
    <row r="327" spans="1:19" ht="15.75">
      <c r="A327" s="35" t="s">
        <v>39</v>
      </c>
      <c r="B327" s="35" t="s">
        <v>780</v>
      </c>
      <c r="C327" s="35"/>
      <c r="D327" s="44" t="s">
        <v>781</v>
      </c>
      <c r="E327" s="35" t="s">
        <v>12</v>
      </c>
      <c r="F327" s="6" t="s">
        <v>782</v>
      </c>
      <c r="G327" s="8">
        <v>1</v>
      </c>
      <c r="H327" s="61">
        <v>58.5</v>
      </c>
      <c r="I327" s="37">
        <f t="shared" si="23"/>
        <v>3046.0353510157256</v>
      </c>
      <c r="J327" s="37">
        <f t="shared" si="24"/>
        <v>3167.3794388867686</v>
      </c>
      <c r="L327" s="35"/>
      <c r="M327" s="35"/>
      <c r="N327" s="35"/>
      <c r="O327" s="35"/>
      <c r="P327" s="35"/>
      <c r="Q327" s="35"/>
      <c r="R327" s="35"/>
      <c r="S327" s="35"/>
    </row>
    <row r="328" spans="1:19" ht="15.75">
      <c r="A328" s="35" t="s">
        <v>39</v>
      </c>
      <c r="B328" s="35" t="s">
        <v>780</v>
      </c>
      <c r="C328" s="35"/>
      <c r="D328" s="44" t="s">
        <v>783</v>
      </c>
      <c r="E328" s="35" t="s">
        <v>7</v>
      </c>
      <c r="F328" s="6" t="s">
        <v>35</v>
      </c>
      <c r="G328" s="8">
        <v>1</v>
      </c>
      <c r="H328" s="61">
        <v>34.5</v>
      </c>
      <c r="I328" s="37">
        <f t="shared" si="23"/>
        <v>1796.3798223938895</v>
      </c>
      <c r="J328" s="37">
        <f t="shared" si="24"/>
        <v>1867.94172036912</v>
      </c>
      <c r="L328" s="35"/>
      <c r="M328" s="35"/>
      <c r="N328" s="35"/>
      <c r="O328" s="35"/>
      <c r="P328" s="35"/>
      <c r="Q328" s="35"/>
      <c r="R328" s="35"/>
      <c r="S328" s="35"/>
    </row>
    <row r="329" spans="1:19" ht="15.75">
      <c r="A329" s="35" t="s">
        <v>768</v>
      </c>
      <c r="B329" s="35" t="s">
        <v>784</v>
      </c>
      <c r="C329" s="35"/>
      <c r="D329" s="44" t="s">
        <v>785</v>
      </c>
      <c r="E329" s="41" t="s">
        <v>786</v>
      </c>
      <c r="F329" s="6" t="s">
        <v>26</v>
      </c>
      <c r="G329" s="8">
        <v>1</v>
      </c>
      <c r="H329" s="61">
        <v>19.5</v>
      </c>
      <c r="I329" s="37">
        <f t="shared" si="23"/>
        <v>1015.3451170052418</v>
      </c>
      <c r="J329" s="37">
        <f t="shared" si="24"/>
        <v>1055.7931462955896</v>
      </c>
      <c r="L329" s="35"/>
      <c r="M329" s="35"/>
      <c r="N329" s="35"/>
      <c r="O329" s="35"/>
      <c r="P329" s="35"/>
      <c r="Q329" s="35"/>
      <c r="R329" s="35"/>
      <c r="S329" s="35"/>
    </row>
    <row r="330" spans="1:19" ht="30">
      <c r="A330" s="35" t="s">
        <v>768</v>
      </c>
      <c r="B330" s="35" t="s">
        <v>787</v>
      </c>
      <c r="C330" s="35"/>
      <c r="D330" s="44" t="s">
        <v>788</v>
      </c>
      <c r="E330" s="41" t="s">
        <v>786</v>
      </c>
      <c r="F330" s="6" t="s">
        <v>789</v>
      </c>
      <c r="G330" s="8">
        <v>1</v>
      </c>
      <c r="H330" s="61">
        <v>19.5</v>
      </c>
      <c r="I330" s="37">
        <f t="shared" si="23"/>
        <v>1015.3451170052418</v>
      </c>
      <c r="J330" s="37">
        <f t="shared" si="24"/>
        <v>1055.7931462955896</v>
      </c>
      <c r="L330" s="35"/>
      <c r="M330" s="35"/>
      <c r="N330" s="35"/>
      <c r="O330" s="35"/>
      <c r="P330" s="35"/>
      <c r="Q330" s="35"/>
      <c r="R330" s="35"/>
      <c r="S330" s="35"/>
    </row>
    <row r="331" spans="1:19" ht="15.75">
      <c r="A331" s="35" t="s">
        <v>768</v>
      </c>
      <c r="B331" s="35" t="s">
        <v>790</v>
      </c>
      <c r="C331" s="35"/>
      <c r="D331" s="44" t="s">
        <v>791</v>
      </c>
      <c r="E331" s="41" t="s">
        <v>786</v>
      </c>
      <c r="F331" s="6" t="s">
        <v>101</v>
      </c>
      <c r="G331" s="8">
        <v>1</v>
      </c>
      <c r="H331" s="61">
        <v>19.5</v>
      </c>
      <c r="I331" s="37">
        <f t="shared" si="23"/>
        <v>1015.3451170052418</v>
      </c>
      <c r="J331" s="37">
        <f t="shared" si="24"/>
        <v>1055.7931462955896</v>
      </c>
      <c r="L331" s="35"/>
      <c r="M331" s="35"/>
      <c r="N331" s="35"/>
      <c r="O331" s="35"/>
      <c r="P331" s="35"/>
      <c r="Q331" s="35"/>
      <c r="R331" s="35"/>
      <c r="S331" s="35"/>
    </row>
    <row r="332" spans="1:19" ht="15.75">
      <c r="A332" s="35" t="s">
        <v>110</v>
      </c>
      <c r="B332" s="35" t="s">
        <v>792</v>
      </c>
      <c r="C332" s="35"/>
      <c r="D332" s="44" t="s">
        <v>793</v>
      </c>
      <c r="E332" s="35" t="s">
        <v>213</v>
      </c>
      <c r="F332" s="6" t="s">
        <v>25</v>
      </c>
      <c r="G332" s="8">
        <v>1</v>
      </c>
      <c r="H332" s="61">
        <v>19.5</v>
      </c>
      <c r="I332" s="37">
        <f t="shared" si="23"/>
        <v>1015.3451170052418</v>
      </c>
      <c r="J332" s="37">
        <f t="shared" si="24"/>
        <v>1055.7931462955896</v>
      </c>
      <c r="L332" s="35"/>
      <c r="M332" s="35"/>
      <c r="N332" s="35"/>
      <c r="O332" s="35"/>
      <c r="P332" s="35"/>
      <c r="Q332" s="35"/>
      <c r="R332" s="35"/>
      <c r="S332" s="35"/>
    </row>
    <row r="333" spans="1:19" ht="15.75">
      <c r="A333" s="35" t="s">
        <v>24</v>
      </c>
      <c r="B333" s="35" t="s">
        <v>794</v>
      </c>
      <c r="C333" s="35"/>
      <c r="D333" s="44" t="s">
        <v>795</v>
      </c>
      <c r="E333" s="35" t="s">
        <v>7</v>
      </c>
      <c r="F333" s="6" t="s">
        <v>75</v>
      </c>
      <c r="G333" s="8">
        <v>1</v>
      </c>
      <c r="H333" s="64">
        <v>6.99</v>
      </c>
      <c r="I333" s="38">
        <f>H333*G333*P$322*$P$324</f>
        <v>482.53207521016816</v>
      </c>
      <c r="J333" s="38">
        <f>H333*G333*$P$323*$P$324</f>
        <v>501.7545752101681</v>
      </c>
      <c r="L333" s="35"/>
      <c r="M333" s="35"/>
      <c r="N333" s="35"/>
      <c r="O333" s="35"/>
      <c r="P333" s="35"/>
      <c r="Q333" s="35"/>
      <c r="R333" s="35"/>
      <c r="S333" s="35"/>
    </row>
    <row r="334" spans="1:19" ht="16.5" thickBot="1">
      <c r="A334" s="35" t="s">
        <v>796</v>
      </c>
      <c r="B334" s="35" t="s">
        <v>797</v>
      </c>
      <c r="C334" s="35"/>
      <c r="D334" s="44" t="s">
        <v>798</v>
      </c>
      <c r="E334" s="35" t="s">
        <v>13</v>
      </c>
      <c r="F334" s="6" t="s">
        <v>799</v>
      </c>
      <c r="G334" s="8">
        <v>1</v>
      </c>
      <c r="H334" s="64">
        <v>8.99</v>
      </c>
      <c r="I334" s="38">
        <f>H334*G334*P$322*$P$324</f>
        <v>620.5956160428343</v>
      </c>
      <c r="J334" s="38">
        <f>H334*G334*$P$323*$P$324</f>
        <v>645.3181160428342</v>
      </c>
      <c r="L334" s="35"/>
      <c r="M334" s="35"/>
      <c r="N334" s="35"/>
      <c r="O334" s="35"/>
      <c r="P334" s="35"/>
      <c r="Q334" s="35"/>
      <c r="R334" s="35"/>
      <c r="S334" s="35"/>
    </row>
    <row r="335" spans="1:19" ht="15.75">
      <c r="A335" s="23" t="s">
        <v>800</v>
      </c>
      <c r="B335" s="35"/>
      <c r="C335" s="35"/>
      <c r="D335" s="35"/>
      <c r="E335" s="35"/>
      <c r="F335" s="24" t="s">
        <v>876</v>
      </c>
      <c r="G335" s="8"/>
      <c r="H335" s="36"/>
      <c r="I335" s="36"/>
      <c r="J335" s="35"/>
      <c r="K335" s="35"/>
      <c r="L335" s="35"/>
      <c r="M335" s="35"/>
      <c r="N335" s="35"/>
      <c r="O335" s="35"/>
      <c r="P335" s="35"/>
      <c r="Q335" s="35"/>
      <c r="R335" s="35"/>
      <c r="S335" s="35"/>
    </row>
    <row r="336" spans="1:19" ht="15.75">
      <c r="A336" s="35" t="s">
        <v>76</v>
      </c>
      <c r="B336" s="35" t="s">
        <v>801</v>
      </c>
      <c r="C336" s="35"/>
      <c r="D336" s="44" t="s">
        <v>802</v>
      </c>
      <c r="E336" s="35" t="s">
        <v>7</v>
      </c>
      <c r="F336" s="6" t="s">
        <v>35</v>
      </c>
      <c r="G336" s="8">
        <v>1</v>
      </c>
      <c r="H336" s="61">
        <v>29.5</v>
      </c>
      <c r="I336" s="37">
        <f aca="true" t="shared" si="25" ref="I336:I363">H336*G336*$P$348*$P$353</f>
        <v>1483.425223788653</v>
      </c>
      <c r="J336" s="37">
        <f aca="true" t="shared" si="26" ref="J336:J363">H336*G336*$P$349*$P$353</f>
        <v>1544.305414445471</v>
      </c>
      <c r="K336" s="35"/>
      <c r="L336" s="35"/>
      <c r="N336" s="35"/>
      <c r="O336" s="35"/>
      <c r="P336" s="35"/>
      <c r="Q336" s="35"/>
      <c r="R336" s="35"/>
      <c r="S336" s="35"/>
    </row>
    <row r="337" spans="1:19" ht="15.75">
      <c r="A337" s="45" t="s">
        <v>55</v>
      </c>
      <c r="B337" s="45" t="s">
        <v>803</v>
      </c>
      <c r="C337" s="45"/>
      <c r="D337" s="84" t="s">
        <v>804</v>
      </c>
      <c r="E337" s="45" t="s">
        <v>7</v>
      </c>
      <c r="F337" s="10" t="s">
        <v>805</v>
      </c>
      <c r="G337" s="8">
        <v>1</v>
      </c>
      <c r="H337" s="72">
        <v>5.4</v>
      </c>
      <c r="I337" s="37">
        <f t="shared" si="25"/>
        <v>271.5422443545331</v>
      </c>
      <c r="J337" s="37">
        <f t="shared" si="26"/>
        <v>282.68641484764555</v>
      </c>
      <c r="K337" s="45"/>
      <c r="L337" s="45"/>
      <c r="N337" s="45"/>
      <c r="O337" s="45"/>
      <c r="P337" s="45"/>
      <c r="Q337" s="45"/>
      <c r="R337" s="45"/>
      <c r="S337" s="45"/>
    </row>
    <row r="338" spans="1:19" ht="16.5" thickBot="1">
      <c r="A338" s="35" t="s">
        <v>39</v>
      </c>
      <c r="B338" s="35" t="s">
        <v>806</v>
      </c>
      <c r="C338" s="35"/>
      <c r="D338" s="44" t="s">
        <v>807</v>
      </c>
      <c r="E338" s="35" t="s">
        <v>12</v>
      </c>
      <c r="F338" s="6" t="s">
        <v>808</v>
      </c>
      <c r="G338" s="8">
        <v>1</v>
      </c>
      <c r="H338" s="61">
        <v>78</v>
      </c>
      <c r="I338" s="37">
        <f t="shared" si="25"/>
        <v>3922.276862898812</v>
      </c>
      <c r="J338" s="37">
        <f t="shared" si="26"/>
        <v>4083.2482144659903</v>
      </c>
      <c r="K338" s="35"/>
      <c r="L338" s="35"/>
      <c r="N338" s="35"/>
      <c r="O338" s="35"/>
      <c r="P338" s="35"/>
      <c r="Q338" s="35"/>
      <c r="R338" s="35"/>
      <c r="S338" s="35"/>
    </row>
    <row r="339" spans="1:19" ht="15.75">
      <c r="A339" s="35" t="s">
        <v>39</v>
      </c>
      <c r="B339" s="35" t="s">
        <v>806</v>
      </c>
      <c r="C339" s="35"/>
      <c r="D339" s="44" t="s">
        <v>809</v>
      </c>
      <c r="E339" s="35" t="s">
        <v>7</v>
      </c>
      <c r="F339" s="6" t="s">
        <v>810</v>
      </c>
      <c r="G339" s="8">
        <v>1</v>
      </c>
      <c r="H339" s="61">
        <v>38</v>
      </c>
      <c r="I339" s="37">
        <f t="shared" si="25"/>
        <v>1910.852830643011</v>
      </c>
      <c r="J339" s="37">
        <f t="shared" si="26"/>
        <v>1989.274771150098</v>
      </c>
      <c r="K339" s="35"/>
      <c r="L339" s="35"/>
      <c r="N339" s="35"/>
      <c r="O339" s="73" t="s">
        <v>42</v>
      </c>
      <c r="P339" s="69">
        <f>SUM(H336:H367)</f>
        <v>623.8699999999999</v>
      </c>
      <c r="R339" s="35"/>
      <c r="S339" s="35"/>
    </row>
    <row r="340" spans="1:19" ht="15.75">
      <c r="A340" s="35" t="s">
        <v>39</v>
      </c>
      <c r="B340" s="35" t="s">
        <v>811</v>
      </c>
      <c r="C340" s="35"/>
      <c r="D340" s="44" t="s">
        <v>812</v>
      </c>
      <c r="E340" s="35" t="s">
        <v>7</v>
      </c>
      <c r="F340" s="6" t="s">
        <v>813</v>
      </c>
      <c r="G340" s="8">
        <v>1</v>
      </c>
      <c r="H340" s="61">
        <v>22.5</v>
      </c>
      <c r="I340" s="37">
        <f t="shared" si="25"/>
        <v>1131.4260181438879</v>
      </c>
      <c r="J340" s="37">
        <f t="shared" si="26"/>
        <v>1177.8600618651897</v>
      </c>
      <c r="K340" s="52" t="s">
        <v>814</v>
      </c>
      <c r="L340" s="35"/>
      <c r="N340" s="35"/>
      <c r="O340" s="16" t="s">
        <v>43</v>
      </c>
      <c r="P340" s="26">
        <f>SUM(H336:H363)</f>
        <v>500.8999999999998</v>
      </c>
      <c r="R340" s="35"/>
      <c r="S340" s="35"/>
    </row>
    <row r="341" spans="1:19" ht="15.75">
      <c r="A341" s="35" t="s">
        <v>39</v>
      </c>
      <c r="B341" s="35" t="s">
        <v>811</v>
      </c>
      <c r="C341" s="35"/>
      <c r="D341" s="44" t="s">
        <v>815</v>
      </c>
      <c r="E341" s="35" t="s">
        <v>13</v>
      </c>
      <c r="F341" s="6" t="s">
        <v>813</v>
      </c>
      <c r="G341" s="8">
        <v>1</v>
      </c>
      <c r="H341" s="61">
        <v>36.5</v>
      </c>
      <c r="I341" s="37">
        <f t="shared" si="25"/>
        <v>1835.4244294334183</v>
      </c>
      <c r="J341" s="37">
        <f t="shared" si="26"/>
        <v>1910.7507670257523</v>
      </c>
      <c r="K341" s="52" t="s">
        <v>816</v>
      </c>
      <c r="L341" s="35"/>
      <c r="N341" s="35"/>
      <c r="O341" s="16" t="s">
        <v>44</v>
      </c>
      <c r="P341" s="26">
        <f>SUM(H364:H367)</f>
        <v>122.96999999999998</v>
      </c>
      <c r="R341" s="35"/>
      <c r="S341" s="35"/>
    </row>
    <row r="342" spans="1:19" ht="15.75">
      <c r="A342" s="35" t="s">
        <v>40</v>
      </c>
      <c r="B342" s="35" t="s">
        <v>817</v>
      </c>
      <c r="C342" s="35"/>
      <c r="D342" s="44" t="s">
        <v>818</v>
      </c>
      <c r="E342" s="35" t="s">
        <v>13</v>
      </c>
      <c r="F342" s="6" t="s">
        <v>819</v>
      </c>
      <c r="G342" s="8">
        <v>1</v>
      </c>
      <c r="H342" s="61">
        <v>5.4</v>
      </c>
      <c r="I342" s="37">
        <f t="shared" si="25"/>
        <v>271.5422443545331</v>
      </c>
      <c r="J342" s="37">
        <f t="shared" si="26"/>
        <v>282.68641484764555</v>
      </c>
      <c r="K342" s="35"/>
      <c r="L342" s="35"/>
      <c r="N342" s="35"/>
      <c r="O342" s="16" t="s">
        <v>29</v>
      </c>
      <c r="P342" s="27">
        <v>73.99</v>
      </c>
      <c r="R342" s="35"/>
      <c r="S342" s="35"/>
    </row>
    <row r="343" spans="1:19" ht="15.75">
      <c r="A343" s="35" t="s">
        <v>40</v>
      </c>
      <c r="B343" s="35" t="s">
        <v>817</v>
      </c>
      <c r="C343" s="35"/>
      <c r="D343" s="44" t="s">
        <v>818</v>
      </c>
      <c r="E343" s="35" t="s">
        <v>13</v>
      </c>
      <c r="F343" s="6" t="s">
        <v>819</v>
      </c>
      <c r="G343" s="8">
        <v>1</v>
      </c>
      <c r="H343" s="61">
        <v>5.4</v>
      </c>
      <c r="I343" s="37">
        <f t="shared" si="25"/>
        <v>271.5422443545331</v>
      </c>
      <c r="J343" s="37">
        <f t="shared" si="26"/>
        <v>282.68641484764555</v>
      </c>
      <c r="K343" s="35"/>
      <c r="L343" s="35"/>
      <c r="N343" s="35"/>
      <c r="O343" s="16" t="s">
        <v>32</v>
      </c>
      <c r="P343" s="28">
        <f>P342/(P339-P345)+0.07</f>
        <v>0.2183151923346764</v>
      </c>
      <c r="R343" s="35"/>
      <c r="S343" s="35"/>
    </row>
    <row r="344" spans="1:19" ht="15.75">
      <c r="A344" s="35" t="s">
        <v>76</v>
      </c>
      <c r="B344" s="35" t="s">
        <v>820</v>
      </c>
      <c r="C344" s="35"/>
      <c r="D344" s="44" t="s">
        <v>821</v>
      </c>
      <c r="E344" s="35" t="s">
        <v>7</v>
      </c>
      <c r="F344" s="6" t="s">
        <v>822</v>
      </c>
      <c r="G344" s="8">
        <v>1</v>
      </c>
      <c r="H344" s="61">
        <v>5.4</v>
      </c>
      <c r="I344" s="37">
        <f t="shared" si="25"/>
        <v>271.5422443545331</v>
      </c>
      <c r="J344" s="37">
        <f t="shared" si="26"/>
        <v>282.68641484764555</v>
      </c>
      <c r="K344" s="35"/>
      <c r="L344" s="35"/>
      <c r="N344" s="35"/>
      <c r="O344" s="16" t="s">
        <v>32</v>
      </c>
      <c r="P344" s="28">
        <f>P342/(P339-P345)+0.12</f>
        <v>0.2683151923346764</v>
      </c>
      <c r="R344" s="35"/>
      <c r="S344" s="35"/>
    </row>
    <row r="345" spans="1:19" ht="15.75">
      <c r="A345" s="35" t="s">
        <v>76</v>
      </c>
      <c r="B345" s="35" t="s">
        <v>823</v>
      </c>
      <c r="C345" s="35"/>
      <c r="D345" s="44" t="s">
        <v>824</v>
      </c>
      <c r="E345" s="35" t="s">
        <v>7</v>
      </c>
      <c r="F345" s="6" t="s">
        <v>825</v>
      </c>
      <c r="G345" s="8">
        <v>1</v>
      </c>
      <c r="H345" s="61">
        <v>5.4</v>
      </c>
      <c r="I345" s="37">
        <f t="shared" si="25"/>
        <v>271.5422443545331</v>
      </c>
      <c r="J345" s="37">
        <f t="shared" si="26"/>
        <v>282.68641484764555</v>
      </c>
      <c r="K345" s="35"/>
      <c r="L345" s="35"/>
      <c r="N345" s="35"/>
      <c r="O345" s="16" t="s">
        <v>45</v>
      </c>
      <c r="P345" s="40">
        <v>125</v>
      </c>
      <c r="R345" s="35"/>
      <c r="S345" s="35"/>
    </row>
    <row r="346" spans="1:19" ht="15.75">
      <c r="A346" s="35" t="s">
        <v>76</v>
      </c>
      <c r="B346" s="35" t="s">
        <v>377</v>
      </c>
      <c r="C346" s="35"/>
      <c r="D346" s="44" t="s">
        <v>758</v>
      </c>
      <c r="E346" s="35" t="s">
        <v>7</v>
      </c>
      <c r="F346" s="6" t="s">
        <v>443</v>
      </c>
      <c r="G346" s="8">
        <v>1</v>
      </c>
      <c r="H346" s="61">
        <v>5.4</v>
      </c>
      <c r="I346" s="37">
        <f t="shared" si="25"/>
        <v>271.5422443545331</v>
      </c>
      <c r="J346" s="37">
        <f t="shared" si="26"/>
        <v>282.68641484764555</v>
      </c>
      <c r="K346" s="35"/>
      <c r="L346" s="35"/>
      <c r="N346" s="35"/>
      <c r="O346" s="16" t="s">
        <v>46</v>
      </c>
      <c r="P346" s="27">
        <f>P345/P340</f>
        <v>0.24955080854461978</v>
      </c>
      <c r="R346" s="35"/>
      <c r="S346" s="35"/>
    </row>
    <row r="347" spans="1:19" ht="15.75">
      <c r="A347" s="35" t="s">
        <v>40</v>
      </c>
      <c r="B347" s="35" t="s">
        <v>826</v>
      </c>
      <c r="C347" s="35"/>
      <c r="D347" s="44" t="s">
        <v>827</v>
      </c>
      <c r="E347" s="35" t="s">
        <v>68</v>
      </c>
      <c r="F347" s="6" t="s">
        <v>494</v>
      </c>
      <c r="G347" s="8">
        <v>1</v>
      </c>
      <c r="H347" s="61">
        <v>21.25</v>
      </c>
      <c r="I347" s="37">
        <f t="shared" si="25"/>
        <v>1068.5690171358942</v>
      </c>
      <c r="J347" s="37">
        <f t="shared" si="26"/>
        <v>1112.423391761568</v>
      </c>
      <c r="K347" s="35"/>
      <c r="L347" s="35"/>
      <c r="N347" s="35"/>
      <c r="O347" s="29" t="s">
        <v>43</v>
      </c>
      <c r="P347" s="28"/>
      <c r="R347" s="35"/>
      <c r="S347" s="35"/>
    </row>
    <row r="348" spans="1:19" ht="15.75">
      <c r="A348" s="35" t="s">
        <v>584</v>
      </c>
      <c r="B348" s="35" t="s">
        <v>826</v>
      </c>
      <c r="C348" s="44"/>
      <c r="D348" s="44" t="s">
        <v>828</v>
      </c>
      <c r="E348" s="35" t="s">
        <v>68</v>
      </c>
      <c r="F348" s="6" t="s">
        <v>829</v>
      </c>
      <c r="G348" s="8">
        <v>1</v>
      </c>
      <c r="H348" s="61">
        <v>21.25</v>
      </c>
      <c r="I348" s="37">
        <f t="shared" si="25"/>
        <v>1068.5690171358942</v>
      </c>
      <c r="J348" s="37">
        <f t="shared" si="26"/>
        <v>1112.423391761568</v>
      </c>
      <c r="K348" s="35"/>
      <c r="L348" s="35"/>
      <c r="N348" s="35"/>
      <c r="O348" s="16" t="s">
        <v>30</v>
      </c>
      <c r="P348" s="30">
        <f>(1-P346)*(1+P343)</f>
        <v>0.914283651025364</v>
      </c>
      <c r="R348" s="35"/>
      <c r="S348" s="35"/>
    </row>
    <row r="349" spans="1:19" ht="15.75">
      <c r="A349" s="35" t="s">
        <v>584</v>
      </c>
      <c r="B349" s="35" t="s">
        <v>830</v>
      </c>
      <c r="C349" s="35"/>
      <c r="D349" s="44" t="s">
        <v>831</v>
      </c>
      <c r="E349" s="35" t="s">
        <v>16</v>
      </c>
      <c r="F349" s="6" t="s">
        <v>832</v>
      </c>
      <c r="G349" s="8">
        <v>1</v>
      </c>
      <c r="H349" s="61">
        <v>5.4</v>
      </c>
      <c r="I349" s="37">
        <f t="shared" si="25"/>
        <v>271.5422443545331</v>
      </c>
      <c r="J349" s="37">
        <f t="shared" si="26"/>
        <v>282.68641484764555</v>
      </c>
      <c r="K349" s="35"/>
      <c r="L349" s="35"/>
      <c r="N349" s="35"/>
      <c r="O349" s="16" t="s">
        <v>31</v>
      </c>
      <c r="P349" s="30">
        <f>(1-P346)*(1+P344)</f>
        <v>0.951806110598133</v>
      </c>
      <c r="R349" s="35"/>
      <c r="S349" s="35"/>
    </row>
    <row r="350" spans="1:19" ht="15.75">
      <c r="A350" s="35" t="s">
        <v>64</v>
      </c>
      <c r="B350" s="35" t="s">
        <v>833</v>
      </c>
      <c r="C350" s="35"/>
      <c r="D350" s="44" t="s">
        <v>834</v>
      </c>
      <c r="E350" s="35" t="s">
        <v>41</v>
      </c>
      <c r="F350" s="6" t="s">
        <v>25</v>
      </c>
      <c r="G350" s="8">
        <v>1</v>
      </c>
      <c r="H350" s="61">
        <v>19.5</v>
      </c>
      <c r="I350" s="54">
        <f t="shared" si="25"/>
        <v>980.569215724703</v>
      </c>
      <c r="J350" s="37"/>
      <c r="K350" s="35"/>
      <c r="L350" s="35"/>
      <c r="N350" s="35"/>
      <c r="O350" s="29" t="s">
        <v>44</v>
      </c>
      <c r="P350" s="27"/>
      <c r="R350" s="35"/>
      <c r="S350" s="35"/>
    </row>
    <row r="351" spans="1:19" ht="15.75">
      <c r="A351" s="35" t="s">
        <v>64</v>
      </c>
      <c r="B351" s="35" t="s">
        <v>833</v>
      </c>
      <c r="C351" s="35"/>
      <c r="D351" s="44" t="s">
        <v>835</v>
      </c>
      <c r="E351" s="35" t="s">
        <v>71</v>
      </c>
      <c r="F351" s="6" t="s">
        <v>836</v>
      </c>
      <c r="G351" s="8">
        <v>1</v>
      </c>
      <c r="H351" s="61">
        <v>19.5</v>
      </c>
      <c r="I351" s="54">
        <f t="shared" si="25"/>
        <v>980.569215724703</v>
      </c>
      <c r="J351" s="37"/>
      <c r="K351" s="35"/>
      <c r="L351" s="35"/>
      <c r="N351" s="35"/>
      <c r="O351" s="16" t="s">
        <v>30</v>
      </c>
      <c r="P351" s="31">
        <f>1+P343</f>
        <v>1.2183151923346764</v>
      </c>
      <c r="R351" s="35"/>
      <c r="S351" s="35"/>
    </row>
    <row r="352" spans="1:19" ht="15.75">
      <c r="A352" s="35" t="s">
        <v>64</v>
      </c>
      <c r="B352" s="35" t="s">
        <v>837</v>
      </c>
      <c r="C352" s="35"/>
      <c r="D352" s="44" t="s">
        <v>838</v>
      </c>
      <c r="E352" s="35" t="s">
        <v>7</v>
      </c>
      <c r="F352" s="6" t="s">
        <v>839</v>
      </c>
      <c r="G352" s="8">
        <v>1</v>
      </c>
      <c r="H352" s="61">
        <v>5.4</v>
      </c>
      <c r="I352" s="54">
        <f t="shared" si="25"/>
        <v>271.5422443545331</v>
      </c>
      <c r="J352" s="37">
        <f>2233-2309</f>
        <v>-76</v>
      </c>
      <c r="K352" s="35"/>
      <c r="L352" s="35"/>
      <c r="N352" s="35"/>
      <c r="O352" s="16" t="s">
        <v>31</v>
      </c>
      <c r="P352" s="31">
        <f>1+P344</f>
        <v>1.2683151923346765</v>
      </c>
      <c r="R352" s="35"/>
      <c r="S352" s="35"/>
    </row>
    <row r="353" spans="1:19" ht="16.5" thickBot="1">
      <c r="A353" s="35" t="s">
        <v>39</v>
      </c>
      <c r="B353" s="35" t="s">
        <v>840</v>
      </c>
      <c r="C353" s="35"/>
      <c r="D353" s="44" t="s">
        <v>841</v>
      </c>
      <c r="E353" s="35" t="s">
        <v>7</v>
      </c>
      <c r="F353" s="6" t="s">
        <v>842</v>
      </c>
      <c r="G353" s="8">
        <v>1</v>
      </c>
      <c r="H353" s="61">
        <v>34.5</v>
      </c>
      <c r="I353" s="37">
        <f t="shared" si="25"/>
        <v>1734.8532278206283</v>
      </c>
      <c r="J353" s="37">
        <f t="shared" si="26"/>
        <v>1806.0520948599574</v>
      </c>
      <c r="K353" s="35"/>
      <c r="L353" s="35"/>
      <c r="N353" s="35"/>
      <c r="O353" s="32" t="s">
        <v>33</v>
      </c>
      <c r="P353" s="33">
        <v>55</v>
      </c>
      <c r="R353" s="35"/>
      <c r="S353" s="35"/>
    </row>
    <row r="354" spans="1:19" ht="15.75">
      <c r="A354" s="35" t="s">
        <v>39</v>
      </c>
      <c r="B354" s="35" t="s">
        <v>843</v>
      </c>
      <c r="C354" s="35"/>
      <c r="D354" s="44" t="s">
        <v>844</v>
      </c>
      <c r="E354" s="35" t="s">
        <v>7</v>
      </c>
      <c r="F354" s="6" t="s">
        <v>845</v>
      </c>
      <c r="G354" s="8">
        <v>1</v>
      </c>
      <c r="H354" s="61">
        <v>42</v>
      </c>
      <c r="I354" s="37">
        <f t="shared" si="25"/>
        <v>2111.9952338685907</v>
      </c>
      <c r="J354" s="37">
        <f t="shared" si="26"/>
        <v>2198.6721154816873</v>
      </c>
      <c r="K354" s="52" t="s">
        <v>846</v>
      </c>
      <c r="L354" s="35"/>
      <c r="N354" s="35"/>
      <c r="O354" s="35"/>
      <c r="P354" s="35"/>
      <c r="Q354" s="35"/>
      <c r="R354" s="35"/>
      <c r="S354" s="35"/>
    </row>
    <row r="355" spans="1:19" ht="15.75">
      <c r="A355" s="35" t="s">
        <v>39</v>
      </c>
      <c r="B355" s="35" t="s">
        <v>847</v>
      </c>
      <c r="C355" s="35"/>
      <c r="D355" s="44" t="s">
        <v>848</v>
      </c>
      <c r="E355" s="35" t="s">
        <v>7</v>
      </c>
      <c r="F355" s="6" t="s">
        <v>849</v>
      </c>
      <c r="G355" s="8">
        <v>1</v>
      </c>
      <c r="H355" s="61">
        <v>52</v>
      </c>
      <c r="I355" s="37">
        <f t="shared" si="25"/>
        <v>2614.851241932541</v>
      </c>
      <c r="J355" s="37">
        <f t="shared" si="26"/>
        <v>2722.165476310661</v>
      </c>
      <c r="K355" s="52" t="s">
        <v>850</v>
      </c>
      <c r="L355" s="35"/>
      <c r="N355" s="35"/>
      <c r="O355" s="35"/>
      <c r="P355" s="35"/>
      <c r="Q355" s="35"/>
      <c r="R355" s="35"/>
      <c r="S355" s="35"/>
    </row>
    <row r="356" spans="1:19" ht="15.75">
      <c r="A356" s="35" t="s">
        <v>76</v>
      </c>
      <c r="B356" s="35" t="s">
        <v>851</v>
      </c>
      <c r="C356" s="35"/>
      <c r="D356" s="44" t="s">
        <v>852</v>
      </c>
      <c r="E356" s="35" t="s">
        <v>7</v>
      </c>
      <c r="F356" s="6" t="s">
        <v>853</v>
      </c>
      <c r="G356" s="8">
        <v>1</v>
      </c>
      <c r="H356" s="61">
        <v>5.4</v>
      </c>
      <c r="I356" s="37">
        <f t="shared" si="25"/>
        <v>271.5422443545331</v>
      </c>
      <c r="J356" s="37">
        <f t="shared" si="26"/>
        <v>282.68641484764555</v>
      </c>
      <c r="K356" s="35"/>
      <c r="L356" s="35"/>
      <c r="N356" s="35"/>
      <c r="O356" s="35"/>
      <c r="P356" s="35"/>
      <c r="Q356" s="35"/>
      <c r="R356" s="35"/>
      <c r="S356" s="35"/>
    </row>
    <row r="357" spans="1:19" ht="15.75">
      <c r="A357" s="35" t="s">
        <v>76</v>
      </c>
      <c r="B357" s="35" t="s">
        <v>851</v>
      </c>
      <c r="C357" s="35"/>
      <c r="D357" s="44" t="s">
        <v>852</v>
      </c>
      <c r="E357" s="35" t="s">
        <v>7</v>
      </c>
      <c r="F357" s="6" t="s">
        <v>854</v>
      </c>
      <c r="G357" s="8">
        <v>1</v>
      </c>
      <c r="H357" s="61">
        <v>5.4</v>
      </c>
      <c r="I357" s="37">
        <f t="shared" si="25"/>
        <v>271.5422443545331</v>
      </c>
      <c r="J357" s="37">
        <f t="shared" si="26"/>
        <v>282.68641484764555</v>
      </c>
      <c r="K357" s="35"/>
      <c r="L357" s="35"/>
      <c r="N357" s="35"/>
      <c r="O357" s="35"/>
      <c r="P357" s="35"/>
      <c r="Q357" s="35"/>
      <c r="R357" s="35"/>
      <c r="S357" s="35"/>
    </row>
    <row r="358" spans="1:19" ht="15.75">
      <c r="A358" s="35" t="s">
        <v>76</v>
      </c>
      <c r="B358" s="35" t="s">
        <v>855</v>
      </c>
      <c r="C358" s="35"/>
      <c r="D358" s="44" t="s">
        <v>856</v>
      </c>
      <c r="E358" s="35" t="s">
        <v>7</v>
      </c>
      <c r="F358" s="6" t="s">
        <v>857</v>
      </c>
      <c r="G358" s="8">
        <v>1</v>
      </c>
      <c r="H358" s="61">
        <v>5.4</v>
      </c>
      <c r="I358" s="37">
        <f t="shared" si="25"/>
        <v>271.5422443545331</v>
      </c>
      <c r="J358" s="37">
        <f t="shared" si="26"/>
        <v>282.68641484764555</v>
      </c>
      <c r="K358" s="35"/>
      <c r="L358" s="35"/>
      <c r="N358" s="35"/>
      <c r="O358" s="35"/>
      <c r="P358" s="35"/>
      <c r="Q358" s="35"/>
      <c r="R358" s="35"/>
      <c r="S358" s="35"/>
    </row>
    <row r="359" spans="1:19" ht="15.75">
      <c r="A359" s="35" t="s">
        <v>76</v>
      </c>
      <c r="B359" s="35" t="s">
        <v>441</v>
      </c>
      <c r="C359" s="35"/>
      <c r="D359" s="44" t="s">
        <v>858</v>
      </c>
      <c r="E359" s="35" t="s">
        <v>7</v>
      </c>
      <c r="F359" s="6" t="s">
        <v>28</v>
      </c>
      <c r="G359" s="8">
        <v>1</v>
      </c>
      <c r="H359" s="61">
        <v>5.4</v>
      </c>
      <c r="I359" s="37">
        <f t="shared" si="25"/>
        <v>271.5422443545331</v>
      </c>
      <c r="J359" s="37">
        <f t="shared" si="26"/>
        <v>282.68641484764555</v>
      </c>
      <c r="K359" s="35"/>
      <c r="L359" s="35"/>
      <c r="N359" s="35"/>
      <c r="O359" s="35"/>
      <c r="P359" s="35"/>
      <c r="Q359" s="35"/>
      <c r="R359" s="35"/>
      <c r="S359" s="35"/>
    </row>
    <row r="360" spans="1:19" ht="15.75">
      <c r="A360" s="35" t="s">
        <v>76</v>
      </c>
      <c r="B360" s="35" t="s">
        <v>441</v>
      </c>
      <c r="C360" s="35"/>
      <c r="D360" s="44" t="s">
        <v>858</v>
      </c>
      <c r="E360" s="35" t="s">
        <v>7</v>
      </c>
      <c r="F360" s="6" t="s">
        <v>28</v>
      </c>
      <c r="G360" s="8">
        <v>1</v>
      </c>
      <c r="H360" s="61">
        <v>5.4</v>
      </c>
      <c r="I360" s="37">
        <f t="shared" si="25"/>
        <v>271.5422443545331</v>
      </c>
      <c r="J360" s="37">
        <f t="shared" si="26"/>
        <v>282.68641484764555</v>
      </c>
      <c r="K360" s="35"/>
      <c r="L360" s="35"/>
      <c r="N360" s="35"/>
      <c r="O360" s="35"/>
      <c r="P360" s="35"/>
      <c r="Q360" s="35"/>
      <c r="R360" s="35"/>
      <c r="S360" s="35"/>
    </row>
    <row r="361" spans="1:19" ht="15.75">
      <c r="A361" s="35" t="s">
        <v>76</v>
      </c>
      <c r="B361" s="35" t="s">
        <v>859</v>
      </c>
      <c r="C361" s="35"/>
      <c r="D361" s="44" t="s">
        <v>860</v>
      </c>
      <c r="E361" s="35" t="s">
        <v>7</v>
      </c>
      <c r="F361" s="6" t="s">
        <v>861</v>
      </c>
      <c r="G361" s="8">
        <v>1</v>
      </c>
      <c r="H361" s="61">
        <v>5.4</v>
      </c>
      <c r="I361" s="37">
        <f t="shared" si="25"/>
        <v>271.5422443545331</v>
      </c>
      <c r="J361" s="37">
        <f t="shared" si="26"/>
        <v>282.68641484764555</v>
      </c>
      <c r="K361" s="35"/>
      <c r="L361" s="35"/>
      <c r="N361" s="35"/>
      <c r="O361" s="35"/>
      <c r="P361" s="35"/>
      <c r="Q361" s="35"/>
      <c r="R361" s="35"/>
      <c r="S361" s="35"/>
    </row>
    <row r="362" spans="1:19" ht="15.75">
      <c r="A362" s="35" t="s">
        <v>88</v>
      </c>
      <c r="B362" s="35" t="s">
        <v>851</v>
      </c>
      <c r="C362" s="35"/>
      <c r="D362" s="44" t="s">
        <v>852</v>
      </c>
      <c r="E362" s="35" t="s">
        <v>7</v>
      </c>
      <c r="F362" s="6" t="s">
        <v>853</v>
      </c>
      <c r="G362" s="8">
        <v>1</v>
      </c>
      <c r="H362" s="61">
        <v>5.4</v>
      </c>
      <c r="I362" s="37">
        <f t="shared" si="25"/>
        <v>271.5422443545331</v>
      </c>
      <c r="J362" s="37">
        <f t="shared" si="26"/>
        <v>282.68641484764555</v>
      </c>
      <c r="K362" s="35"/>
      <c r="L362" s="35"/>
      <c r="N362" s="35"/>
      <c r="O362" s="35"/>
      <c r="P362" s="35"/>
      <c r="Q362" s="35"/>
      <c r="R362" s="35"/>
      <c r="S362" s="35"/>
    </row>
    <row r="363" spans="1:19" ht="15.75">
      <c r="A363" s="35" t="s">
        <v>88</v>
      </c>
      <c r="B363" s="35" t="s">
        <v>441</v>
      </c>
      <c r="C363" s="35"/>
      <c r="D363" s="44" t="s">
        <v>858</v>
      </c>
      <c r="E363" s="35" t="s">
        <v>7</v>
      </c>
      <c r="F363" s="6" t="s">
        <v>28</v>
      </c>
      <c r="G363" s="8">
        <v>1</v>
      </c>
      <c r="H363" s="61">
        <v>5.4</v>
      </c>
      <c r="I363" s="37">
        <f t="shared" si="25"/>
        <v>271.5422443545331</v>
      </c>
      <c r="J363" s="37">
        <f t="shared" si="26"/>
        <v>282.68641484764555</v>
      </c>
      <c r="K363" s="35"/>
      <c r="L363" s="35"/>
      <c r="N363" s="35"/>
      <c r="O363" s="35"/>
      <c r="P363" s="35"/>
      <c r="Q363" s="35"/>
      <c r="R363" s="35"/>
      <c r="S363" s="35"/>
    </row>
    <row r="364" spans="1:19" ht="15.75">
      <c r="A364" s="35" t="s">
        <v>39</v>
      </c>
      <c r="B364" s="35" t="s">
        <v>862</v>
      </c>
      <c r="C364" s="35"/>
      <c r="D364" s="44" t="s">
        <v>863</v>
      </c>
      <c r="E364" s="35">
        <v>7.5</v>
      </c>
      <c r="F364" s="6" t="s">
        <v>38</v>
      </c>
      <c r="G364" s="8">
        <v>1</v>
      </c>
      <c r="H364" s="64">
        <v>65</v>
      </c>
      <c r="I364" s="38">
        <f>H364*G364*P$351*$P$353</f>
        <v>4355.476812596468</v>
      </c>
      <c r="J364" s="38">
        <f>H364*G364*$P$352*$P$353</f>
        <v>4534.226812596469</v>
      </c>
      <c r="K364" s="52" t="s">
        <v>864</v>
      </c>
      <c r="L364" s="35"/>
      <c r="N364" s="35"/>
      <c r="O364" s="35"/>
      <c r="P364" s="35"/>
      <c r="Q364" s="35"/>
      <c r="R364" s="35"/>
      <c r="S364" s="35"/>
    </row>
    <row r="365" spans="1:19" ht="15.75">
      <c r="A365" s="35" t="s">
        <v>865</v>
      </c>
      <c r="B365" s="35" t="s">
        <v>866</v>
      </c>
      <c r="C365" s="35"/>
      <c r="D365" s="44" t="s">
        <v>867</v>
      </c>
      <c r="E365" s="35" t="s">
        <v>7</v>
      </c>
      <c r="F365" s="6" t="s">
        <v>868</v>
      </c>
      <c r="G365" s="8">
        <v>1</v>
      </c>
      <c r="H365" s="64">
        <v>19.99</v>
      </c>
      <c r="I365" s="38">
        <f>H365*G365*P$351*$P$353</f>
        <v>1339.47663821236</v>
      </c>
      <c r="J365" s="38">
        <f>H365*G365*$P$352*$P$353</f>
        <v>1394.44913821236</v>
      </c>
      <c r="K365" s="35"/>
      <c r="L365" s="35"/>
      <c r="N365" s="35"/>
      <c r="O365" s="35"/>
      <c r="P365" s="35"/>
      <c r="Q365" s="35"/>
      <c r="R365" s="35"/>
      <c r="S365" s="35"/>
    </row>
    <row r="366" spans="1:19" ht="15.75">
      <c r="A366" s="35" t="s">
        <v>865</v>
      </c>
      <c r="B366" s="35" t="s">
        <v>869</v>
      </c>
      <c r="C366" s="35"/>
      <c r="D366" s="44" t="s">
        <v>870</v>
      </c>
      <c r="E366" s="35" t="s">
        <v>7</v>
      </c>
      <c r="F366" s="6" t="s">
        <v>868</v>
      </c>
      <c r="G366" s="8">
        <v>1</v>
      </c>
      <c r="H366" s="64">
        <v>12.99</v>
      </c>
      <c r="I366" s="38">
        <f>H366*G366*P$351*$P$353</f>
        <v>870.4252891635097</v>
      </c>
      <c r="J366" s="38">
        <f>H366*G366*$P$352*$P$353</f>
        <v>906.1477891635097</v>
      </c>
      <c r="K366" s="35"/>
      <c r="L366" s="35"/>
      <c r="N366" s="35"/>
      <c r="O366" s="35"/>
      <c r="P366" s="35"/>
      <c r="Q366" s="35"/>
      <c r="R366" s="35"/>
      <c r="S366" s="35"/>
    </row>
    <row r="367" spans="1:19" ht="16.5" thickBot="1">
      <c r="A367" s="35" t="s">
        <v>865</v>
      </c>
      <c r="B367" s="35" t="s">
        <v>871</v>
      </c>
      <c r="C367" s="35"/>
      <c r="D367" s="44" t="s">
        <v>872</v>
      </c>
      <c r="E367" s="41" t="s">
        <v>873</v>
      </c>
      <c r="F367" s="6" t="s">
        <v>874</v>
      </c>
      <c r="G367" s="8">
        <v>1</v>
      </c>
      <c r="H367" s="64">
        <v>24.99</v>
      </c>
      <c r="I367" s="38">
        <f>H367*G367*P$351*$P$353</f>
        <v>1674.513316104396</v>
      </c>
      <c r="J367" s="38">
        <f>H367*G367*$P$352*$P$353</f>
        <v>1743.235816104396</v>
      </c>
      <c r="K367" s="35"/>
      <c r="L367" s="35"/>
      <c r="N367" s="35"/>
      <c r="O367" s="35"/>
      <c r="P367" s="35"/>
      <c r="Q367" s="35"/>
      <c r="R367" s="35"/>
      <c r="S367" s="35"/>
    </row>
    <row r="368" spans="1:17" ht="15.75">
      <c r="A368" s="23" t="s">
        <v>879</v>
      </c>
      <c r="B368" s="35"/>
      <c r="C368" s="35"/>
      <c r="D368" s="35"/>
      <c r="E368" s="35"/>
      <c r="F368" s="24" t="s">
        <v>925</v>
      </c>
      <c r="G368" s="8"/>
      <c r="H368" s="36"/>
      <c r="I368" s="36"/>
      <c r="J368" s="35"/>
      <c r="K368" s="35"/>
      <c r="L368" s="35"/>
      <c r="M368" s="35"/>
      <c r="N368" s="35"/>
      <c r="O368" s="35"/>
      <c r="P368" s="35"/>
      <c r="Q368" s="35"/>
    </row>
    <row r="369" spans="1:17" ht="15.75">
      <c r="A369" s="35" t="s">
        <v>880</v>
      </c>
      <c r="B369" s="35" t="s">
        <v>881</v>
      </c>
      <c r="C369" s="35"/>
      <c r="D369" s="44" t="s">
        <v>882</v>
      </c>
      <c r="E369" s="35"/>
      <c r="F369" s="6" t="s">
        <v>883</v>
      </c>
      <c r="G369" s="8">
        <v>1</v>
      </c>
      <c r="H369" s="61">
        <v>5</v>
      </c>
      <c r="I369" s="37">
        <f aca="true" t="shared" si="27" ref="I369:I391">H369*G369*$P$381*$P$386</f>
        <v>249.2397296108375</v>
      </c>
      <c r="J369" s="37">
        <f aca="true" t="shared" si="28" ref="J369:J391">H369*G369*$P$382*$P$386</f>
        <v>259.90455639238473</v>
      </c>
      <c r="L369" s="35"/>
      <c r="M369" s="35"/>
      <c r="N369" s="35"/>
      <c r="O369" s="35"/>
      <c r="P369" s="35"/>
      <c r="Q369" s="35"/>
    </row>
    <row r="370" spans="1:17" ht="15.75">
      <c r="A370" s="35" t="s">
        <v>616</v>
      </c>
      <c r="B370" s="35" t="s">
        <v>881</v>
      </c>
      <c r="C370" s="35"/>
      <c r="D370" s="44" t="s">
        <v>882</v>
      </c>
      <c r="E370" s="35"/>
      <c r="F370" s="6" t="s">
        <v>253</v>
      </c>
      <c r="G370" s="8">
        <v>1</v>
      </c>
      <c r="H370" s="61">
        <v>5</v>
      </c>
      <c r="I370" s="37">
        <f t="shared" si="27"/>
        <v>249.2397296108375</v>
      </c>
      <c r="J370" s="37">
        <f t="shared" si="28"/>
        <v>259.90455639238473</v>
      </c>
      <c r="L370" s="35"/>
      <c r="M370" s="35"/>
      <c r="N370" s="35"/>
      <c r="O370" s="35"/>
      <c r="P370" s="35"/>
      <c r="Q370" s="35"/>
    </row>
    <row r="371" spans="1:17" ht="16.5" thickBot="1">
      <c r="A371" s="35" t="s">
        <v>770</v>
      </c>
      <c r="B371" s="35" t="s">
        <v>259</v>
      </c>
      <c r="C371" s="35"/>
      <c r="D371" s="44" t="s">
        <v>882</v>
      </c>
      <c r="E371" s="35"/>
      <c r="F371" s="6" t="s">
        <v>255</v>
      </c>
      <c r="G371" s="8">
        <v>1</v>
      </c>
      <c r="H371" s="61">
        <v>5</v>
      </c>
      <c r="I371" s="37">
        <f t="shared" si="27"/>
        <v>249.2397296108375</v>
      </c>
      <c r="J371" s="37">
        <f t="shared" si="28"/>
        <v>259.90455639238473</v>
      </c>
      <c r="L371" s="35"/>
      <c r="M371" s="35"/>
      <c r="N371" s="35"/>
      <c r="O371" s="35"/>
      <c r="P371" s="35"/>
      <c r="Q371" s="35"/>
    </row>
    <row r="372" spans="1:16" ht="15.75">
      <c r="A372" s="35" t="s">
        <v>76</v>
      </c>
      <c r="B372" s="35" t="s">
        <v>259</v>
      </c>
      <c r="C372" s="35"/>
      <c r="D372" s="44" t="s">
        <v>882</v>
      </c>
      <c r="E372" s="35"/>
      <c r="F372" s="6" t="s">
        <v>263</v>
      </c>
      <c r="G372" s="8">
        <v>1</v>
      </c>
      <c r="H372" s="61">
        <v>5</v>
      </c>
      <c r="I372" s="37">
        <f t="shared" si="27"/>
        <v>249.2397296108375</v>
      </c>
      <c r="J372" s="37">
        <f t="shared" si="28"/>
        <v>259.90455639238473</v>
      </c>
      <c r="L372" s="35"/>
      <c r="M372" s="35"/>
      <c r="N372" s="35"/>
      <c r="O372" s="73" t="s">
        <v>42</v>
      </c>
      <c r="P372" s="69">
        <f>SUM(H369:H408)</f>
        <v>876.0699999999998</v>
      </c>
    </row>
    <row r="373" spans="1:16" ht="15.75">
      <c r="A373" s="35" t="s">
        <v>76</v>
      </c>
      <c r="B373" s="35" t="s">
        <v>259</v>
      </c>
      <c r="C373" s="35"/>
      <c r="D373" s="44" t="s">
        <v>882</v>
      </c>
      <c r="E373" s="35"/>
      <c r="F373" s="6" t="s">
        <v>255</v>
      </c>
      <c r="G373" s="8">
        <v>1</v>
      </c>
      <c r="H373" s="61">
        <v>5</v>
      </c>
      <c r="I373" s="37">
        <f t="shared" si="27"/>
        <v>249.2397296108375</v>
      </c>
      <c r="J373" s="37">
        <f t="shared" si="28"/>
        <v>259.90455639238473</v>
      </c>
      <c r="L373" s="35"/>
      <c r="M373" s="35"/>
      <c r="N373" s="35"/>
      <c r="O373" s="16" t="s">
        <v>43</v>
      </c>
      <c r="P373" s="26">
        <f>SUM(H369:H391)</f>
        <v>557.0999999999998</v>
      </c>
    </row>
    <row r="374" spans="1:16" ht="15.75">
      <c r="A374" s="35" t="s">
        <v>76</v>
      </c>
      <c r="B374" s="35" t="s">
        <v>259</v>
      </c>
      <c r="C374" s="35"/>
      <c r="D374" s="44" t="s">
        <v>882</v>
      </c>
      <c r="E374" s="35"/>
      <c r="F374" s="6" t="s">
        <v>883</v>
      </c>
      <c r="G374" s="8">
        <v>1</v>
      </c>
      <c r="H374" s="61">
        <v>5</v>
      </c>
      <c r="I374" s="37">
        <f t="shared" si="27"/>
        <v>249.2397296108375</v>
      </c>
      <c r="J374" s="37">
        <f t="shared" si="28"/>
        <v>259.90455639238473</v>
      </c>
      <c r="L374" s="35"/>
      <c r="M374" s="35"/>
      <c r="N374" s="35"/>
      <c r="O374" s="16" t="s">
        <v>44</v>
      </c>
      <c r="P374" s="26">
        <f>SUM(H392:H394)</f>
        <v>68.97</v>
      </c>
    </row>
    <row r="375" spans="1:16" ht="15.75">
      <c r="A375" s="35" t="s">
        <v>39</v>
      </c>
      <c r="B375" s="35" t="s">
        <v>884</v>
      </c>
      <c r="C375" s="35"/>
      <c r="D375" s="44" t="s">
        <v>885</v>
      </c>
      <c r="E375" s="35" t="s">
        <v>12</v>
      </c>
      <c r="F375" s="6" t="s">
        <v>886</v>
      </c>
      <c r="G375" s="8">
        <v>1</v>
      </c>
      <c r="H375" s="61">
        <v>58.5</v>
      </c>
      <c r="I375" s="37">
        <f t="shared" si="27"/>
        <v>2916.1048364467983</v>
      </c>
      <c r="J375" s="37">
        <f t="shared" si="28"/>
        <v>3040.8833097909014</v>
      </c>
      <c r="L375" s="35"/>
      <c r="M375" s="35"/>
      <c r="N375" s="35"/>
      <c r="O375" s="16" t="s">
        <v>29</v>
      </c>
      <c r="P375" s="27">
        <v>73.99</v>
      </c>
    </row>
    <row r="376" spans="1:16" ht="15.75">
      <c r="A376" s="35" t="s">
        <v>39</v>
      </c>
      <c r="B376" s="35" t="s">
        <v>884</v>
      </c>
      <c r="C376" s="35"/>
      <c r="D376" s="44" t="s">
        <v>887</v>
      </c>
      <c r="E376" s="35" t="s">
        <v>7</v>
      </c>
      <c r="F376" s="6" t="s">
        <v>886</v>
      </c>
      <c r="G376" s="8">
        <v>1</v>
      </c>
      <c r="H376" s="61">
        <v>38.5</v>
      </c>
      <c r="I376" s="37">
        <f t="shared" si="27"/>
        <v>1919.1459180034485</v>
      </c>
      <c r="J376" s="37">
        <f t="shared" si="28"/>
        <v>2001.2650842213625</v>
      </c>
      <c r="L376" s="35"/>
      <c r="M376" s="35"/>
      <c r="N376" s="35"/>
      <c r="O376" s="16" t="s">
        <v>32</v>
      </c>
      <c r="P376" s="28">
        <f>P375/(P372-P378)+0.07</f>
        <v>0.16851278842185152</v>
      </c>
    </row>
    <row r="377" spans="1:16" ht="30">
      <c r="A377" s="35" t="s">
        <v>63</v>
      </c>
      <c r="B377" s="35" t="s">
        <v>888</v>
      </c>
      <c r="C377" s="35"/>
      <c r="D377" s="44" t="s">
        <v>889</v>
      </c>
      <c r="E377" s="35" t="s">
        <v>357</v>
      </c>
      <c r="F377" s="6" t="s">
        <v>890</v>
      </c>
      <c r="G377" s="8">
        <v>1</v>
      </c>
      <c r="H377" s="61">
        <v>19.5</v>
      </c>
      <c r="I377" s="37">
        <f t="shared" si="27"/>
        <v>972.0349454822662</v>
      </c>
      <c r="J377" s="37">
        <f t="shared" si="28"/>
        <v>1013.6277699303006</v>
      </c>
      <c r="L377" s="35"/>
      <c r="M377" s="35"/>
      <c r="N377" s="35"/>
      <c r="O377" s="16" t="s">
        <v>32</v>
      </c>
      <c r="P377" s="28">
        <f>P375/(P372-P378)+0.12</f>
        <v>0.2185127884218515</v>
      </c>
    </row>
    <row r="378" spans="1:16" ht="15.75">
      <c r="A378" s="35" t="s">
        <v>63</v>
      </c>
      <c r="B378" s="35" t="s">
        <v>891</v>
      </c>
      <c r="C378" s="35"/>
      <c r="D378" s="44" t="s">
        <v>892</v>
      </c>
      <c r="E378" s="35" t="s">
        <v>357</v>
      </c>
      <c r="F378" s="6" t="s">
        <v>893</v>
      </c>
      <c r="G378" s="8">
        <v>1</v>
      </c>
      <c r="H378" s="61">
        <v>19.5</v>
      </c>
      <c r="I378" s="37">
        <f t="shared" si="27"/>
        <v>972.0349454822662</v>
      </c>
      <c r="J378" s="37">
        <f t="shared" si="28"/>
        <v>1013.6277699303006</v>
      </c>
      <c r="L378" s="35"/>
      <c r="M378" s="35"/>
      <c r="N378" s="35"/>
      <c r="O378" s="16" t="s">
        <v>45</v>
      </c>
      <c r="P378" s="40">
        <v>125</v>
      </c>
    </row>
    <row r="379" spans="1:16" ht="15.75">
      <c r="A379" s="35"/>
      <c r="B379" s="35" t="s">
        <v>894</v>
      </c>
      <c r="C379" s="35"/>
      <c r="D379" s="44" t="s">
        <v>895</v>
      </c>
      <c r="E379" s="35" t="s">
        <v>12</v>
      </c>
      <c r="F379" s="6" t="s">
        <v>896</v>
      </c>
      <c r="G379" s="8">
        <v>1</v>
      </c>
      <c r="H379" s="61">
        <v>248</v>
      </c>
      <c r="I379" s="37">
        <f t="shared" si="27"/>
        <v>12362.290588697539</v>
      </c>
      <c r="J379" s="37">
        <f t="shared" si="28"/>
        <v>12891.265997062283</v>
      </c>
      <c r="L379" s="35"/>
      <c r="M379" s="35"/>
      <c r="N379" s="35"/>
      <c r="O379" s="16" t="s">
        <v>46</v>
      </c>
      <c r="P379" s="27">
        <f>P378/P373</f>
        <v>0.22437623406928747</v>
      </c>
    </row>
    <row r="380" spans="1:16" ht="15.75">
      <c r="A380" s="35" t="s">
        <v>88</v>
      </c>
      <c r="B380" s="35" t="s">
        <v>897</v>
      </c>
      <c r="C380" s="35"/>
      <c r="D380" s="44" t="s">
        <v>898</v>
      </c>
      <c r="E380" s="35" t="s">
        <v>7</v>
      </c>
      <c r="F380" s="6" t="s">
        <v>351</v>
      </c>
      <c r="G380" s="8">
        <v>1</v>
      </c>
      <c r="H380" s="61">
        <v>55.5</v>
      </c>
      <c r="I380" s="37">
        <f t="shared" si="27"/>
        <v>2766.560998680296</v>
      </c>
      <c r="J380" s="37">
        <f t="shared" si="28"/>
        <v>2884.9405759554706</v>
      </c>
      <c r="L380" s="35"/>
      <c r="M380" s="35"/>
      <c r="N380" s="35"/>
      <c r="O380" s="29" t="s">
        <v>43</v>
      </c>
      <c r="P380" s="28"/>
    </row>
    <row r="381" spans="1:16" ht="15.75">
      <c r="A381" s="35" t="s">
        <v>77</v>
      </c>
      <c r="B381" s="35" t="s">
        <v>790</v>
      </c>
      <c r="C381" s="35"/>
      <c r="D381" s="44" t="s">
        <v>899</v>
      </c>
      <c r="E381" s="35" t="s">
        <v>54</v>
      </c>
      <c r="F381" s="6" t="s">
        <v>836</v>
      </c>
      <c r="G381" s="8">
        <v>1</v>
      </c>
      <c r="H381" s="61">
        <v>19.5</v>
      </c>
      <c r="I381" s="37">
        <f t="shared" si="27"/>
        <v>972.0349454822662</v>
      </c>
      <c r="J381" s="37">
        <f t="shared" si="28"/>
        <v>1013.6277699303006</v>
      </c>
      <c r="L381" s="35"/>
      <c r="M381" s="35"/>
      <c r="N381" s="35"/>
      <c r="O381" s="16" t="s">
        <v>30</v>
      </c>
      <c r="P381" s="30">
        <f>(1-P379)*(1+P376)</f>
        <v>0.9063262894939544</v>
      </c>
    </row>
    <row r="382" spans="1:16" ht="15.75">
      <c r="A382" s="35" t="s">
        <v>23</v>
      </c>
      <c r="B382" s="63" t="s">
        <v>900</v>
      </c>
      <c r="C382" s="35"/>
      <c r="D382" s="44" t="s">
        <v>824</v>
      </c>
      <c r="E382" s="35" t="s">
        <v>13</v>
      </c>
      <c r="F382" s="6" t="s">
        <v>901</v>
      </c>
      <c r="G382" s="8">
        <v>1</v>
      </c>
      <c r="H382" s="61">
        <v>5.4</v>
      </c>
      <c r="I382" s="37">
        <f t="shared" si="27"/>
        <v>269.1789079797045</v>
      </c>
      <c r="J382" s="37">
        <f t="shared" si="28"/>
        <v>280.69692090377555</v>
      </c>
      <c r="L382" s="35"/>
      <c r="M382" s="35"/>
      <c r="N382" s="35"/>
      <c r="O382" s="16" t="s">
        <v>31</v>
      </c>
      <c r="P382" s="30">
        <f>(1-P379)*(1+P377)</f>
        <v>0.94510747779049</v>
      </c>
    </row>
    <row r="383" spans="1:16" ht="15.75">
      <c r="A383" s="35" t="s">
        <v>23</v>
      </c>
      <c r="B383" s="63" t="s">
        <v>902</v>
      </c>
      <c r="C383" s="35"/>
      <c r="D383" s="44" t="s">
        <v>903</v>
      </c>
      <c r="E383" s="35" t="s">
        <v>13</v>
      </c>
      <c r="F383" s="6" t="s">
        <v>904</v>
      </c>
      <c r="G383" s="35">
        <v>1</v>
      </c>
      <c r="H383" s="61">
        <v>5.4</v>
      </c>
      <c r="I383" s="37">
        <f t="shared" si="27"/>
        <v>269.1789079797045</v>
      </c>
      <c r="J383" s="37">
        <f t="shared" si="28"/>
        <v>280.69692090377555</v>
      </c>
      <c r="L383" s="35"/>
      <c r="M383" s="35"/>
      <c r="N383" s="35"/>
      <c r="O383" s="29" t="s">
        <v>44</v>
      </c>
      <c r="P383" s="27"/>
    </row>
    <row r="384" spans="1:16" ht="15.75">
      <c r="A384" s="35" t="s">
        <v>58</v>
      </c>
      <c r="B384" s="63" t="s">
        <v>359</v>
      </c>
      <c r="C384" s="35"/>
      <c r="D384" s="44" t="s">
        <v>905</v>
      </c>
      <c r="E384" s="35" t="s">
        <v>13</v>
      </c>
      <c r="F384" s="6" t="s">
        <v>906</v>
      </c>
      <c r="G384" s="8">
        <v>1</v>
      </c>
      <c r="H384" s="61">
        <v>5.4</v>
      </c>
      <c r="I384" s="37">
        <f t="shared" si="27"/>
        <v>269.1789079797045</v>
      </c>
      <c r="J384" s="37">
        <f t="shared" si="28"/>
        <v>280.69692090377555</v>
      </c>
      <c r="L384" s="35"/>
      <c r="M384" s="35"/>
      <c r="N384" s="35"/>
      <c r="O384" s="16" t="s">
        <v>30</v>
      </c>
      <c r="P384" s="31">
        <f>1+P376</f>
        <v>1.1685127884218516</v>
      </c>
    </row>
    <row r="385" spans="1:16" ht="15.75">
      <c r="A385" s="35" t="s">
        <v>58</v>
      </c>
      <c r="B385" s="63" t="s">
        <v>105</v>
      </c>
      <c r="C385" s="35"/>
      <c r="D385" s="44" t="s">
        <v>907</v>
      </c>
      <c r="E385" s="35" t="s">
        <v>13</v>
      </c>
      <c r="F385" s="6" t="s">
        <v>908</v>
      </c>
      <c r="G385" s="35">
        <v>1</v>
      </c>
      <c r="H385" s="61">
        <v>5.4</v>
      </c>
      <c r="I385" s="37">
        <f t="shared" si="27"/>
        <v>269.1789079797045</v>
      </c>
      <c r="J385" s="37">
        <f t="shared" si="28"/>
        <v>280.69692090377555</v>
      </c>
      <c r="L385" s="35"/>
      <c r="M385" s="35"/>
      <c r="N385" s="35"/>
      <c r="O385" s="16" t="s">
        <v>31</v>
      </c>
      <c r="P385" s="31">
        <f>1+P377</f>
        <v>1.2185127884218514</v>
      </c>
    </row>
    <row r="386" spans="1:16" ht="16.5" thickBot="1">
      <c r="A386" s="35" t="s">
        <v>704</v>
      </c>
      <c r="B386" s="35" t="s">
        <v>909</v>
      </c>
      <c r="C386" s="35"/>
      <c r="D386" s="44" t="s">
        <v>910</v>
      </c>
      <c r="E386" s="35" t="s">
        <v>13</v>
      </c>
      <c r="F386" s="6" t="s">
        <v>825</v>
      </c>
      <c r="G386" s="35">
        <v>1</v>
      </c>
      <c r="H386" s="61">
        <v>5.4</v>
      </c>
      <c r="I386" s="37">
        <f t="shared" si="27"/>
        <v>269.1789079797045</v>
      </c>
      <c r="J386" s="37">
        <f t="shared" si="28"/>
        <v>280.69692090377555</v>
      </c>
      <c r="L386" s="35"/>
      <c r="M386" s="35"/>
      <c r="N386" s="35"/>
      <c r="O386" s="32" t="s">
        <v>33</v>
      </c>
      <c r="P386" s="33">
        <v>55</v>
      </c>
    </row>
    <row r="387" spans="1:17" ht="15.75">
      <c r="A387" s="35" t="s">
        <v>704</v>
      </c>
      <c r="B387" s="35" t="s">
        <v>764</v>
      </c>
      <c r="C387" s="35"/>
      <c r="D387" s="44" t="s">
        <v>765</v>
      </c>
      <c r="E387" s="35" t="s">
        <v>13</v>
      </c>
      <c r="F387" s="43" t="s">
        <v>348</v>
      </c>
      <c r="G387" s="35">
        <v>1</v>
      </c>
      <c r="H387" s="61">
        <v>5.4</v>
      </c>
      <c r="I387" s="37">
        <f t="shared" si="27"/>
        <v>269.1789079797045</v>
      </c>
      <c r="J387" s="37">
        <f t="shared" si="28"/>
        <v>280.69692090377555</v>
      </c>
      <c r="L387" s="35"/>
      <c r="M387" s="35"/>
      <c r="N387" s="35"/>
      <c r="O387" s="35"/>
      <c r="P387" s="35"/>
      <c r="Q387" s="35"/>
    </row>
    <row r="388" spans="1:17" ht="15.75">
      <c r="A388" s="35" t="s">
        <v>704</v>
      </c>
      <c r="B388" s="35" t="s">
        <v>328</v>
      </c>
      <c r="C388" s="35"/>
      <c r="D388" s="44" t="s">
        <v>911</v>
      </c>
      <c r="E388" s="35" t="s">
        <v>13</v>
      </c>
      <c r="F388" s="43" t="s">
        <v>26</v>
      </c>
      <c r="G388" s="35">
        <v>1</v>
      </c>
      <c r="H388" s="61">
        <v>5.4</v>
      </c>
      <c r="I388" s="37">
        <f t="shared" si="27"/>
        <v>269.1789079797045</v>
      </c>
      <c r="J388" s="37">
        <f t="shared" si="28"/>
        <v>280.69692090377555</v>
      </c>
      <c r="L388" s="35"/>
      <c r="M388" s="35"/>
      <c r="N388" s="35"/>
      <c r="O388" s="35"/>
      <c r="P388" s="35"/>
      <c r="Q388" s="35"/>
    </row>
    <row r="389" spans="1:17" ht="15.75">
      <c r="A389" s="35" t="s">
        <v>704</v>
      </c>
      <c r="B389" s="35" t="s">
        <v>912</v>
      </c>
      <c r="C389" s="35"/>
      <c r="D389" s="44" t="s">
        <v>913</v>
      </c>
      <c r="E389" s="35" t="s">
        <v>13</v>
      </c>
      <c r="F389" s="43" t="s">
        <v>374</v>
      </c>
      <c r="G389" s="35">
        <v>1</v>
      </c>
      <c r="H389" s="61">
        <v>5.4</v>
      </c>
      <c r="I389" s="37">
        <f t="shared" si="27"/>
        <v>269.1789079797045</v>
      </c>
      <c r="J389" s="37">
        <f t="shared" si="28"/>
        <v>280.69692090377555</v>
      </c>
      <c r="L389" s="35"/>
      <c r="M389" s="35"/>
      <c r="N389" s="35"/>
      <c r="O389" s="35"/>
      <c r="P389" s="35"/>
      <c r="Q389" s="35"/>
    </row>
    <row r="390" spans="1:17" ht="15.75">
      <c r="A390" s="35" t="s">
        <v>704</v>
      </c>
      <c r="B390" s="35" t="s">
        <v>325</v>
      </c>
      <c r="C390" s="35"/>
      <c r="D390" s="44" t="s">
        <v>604</v>
      </c>
      <c r="E390" s="35" t="s">
        <v>13</v>
      </c>
      <c r="F390" s="43" t="s">
        <v>914</v>
      </c>
      <c r="G390" s="35">
        <v>1</v>
      </c>
      <c r="H390" s="61">
        <v>5.4</v>
      </c>
      <c r="I390" s="37">
        <f t="shared" si="27"/>
        <v>269.1789079797045</v>
      </c>
      <c r="J390" s="37">
        <f t="shared" si="28"/>
        <v>280.69692090377555</v>
      </c>
      <c r="L390" s="35"/>
      <c r="M390" s="35"/>
      <c r="N390" s="35"/>
      <c r="O390" s="35"/>
      <c r="P390" s="35"/>
      <c r="Q390" s="35"/>
    </row>
    <row r="391" spans="1:17" ht="30">
      <c r="A391" s="35" t="s">
        <v>460</v>
      </c>
      <c r="B391" s="63" t="s">
        <v>915</v>
      </c>
      <c r="C391" s="35"/>
      <c r="D391" s="44" t="s">
        <v>916</v>
      </c>
      <c r="E391" s="35" t="s">
        <v>47</v>
      </c>
      <c r="F391" s="6" t="s">
        <v>917</v>
      </c>
      <c r="G391" s="8">
        <v>1</v>
      </c>
      <c r="H391" s="61">
        <v>19.5</v>
      </c>
      <c r="I391" s="37">
        <f t="shared" si="27"/>
        <v>972.0349454822662</v>
      </c>
      <c r="J391" s="37">
        <f t="shared" si="28"/>
        <v>1013.6277699303006</v>
      </c>
      <c r="L391" s="35"/>
      <c r="M391" s="35"/>
      <c r="N391" s="35"/>
      <c r="O391" s="35"/>
      <c r="P391" s="35"/>
      <c r="Q391" s="35"/>
    </row>
    <row r="392" spans="1:17" ht="15.75">
      <c r="A392" s="35" t="s">
        <v>39</v>
      </c>
      <c r="B392" s="63" t="s">
        <v>918</v>
      </c>
      <c r="C392" s="35"/>
      <c r="D392" s="44" t="s">
        <v>919</v>
      </c>
      <c r="E392" s="35" t="s">
        <v>7</v>
      </c>
      <c r="F392" s="6" t="s">
        <v>920</v>
      </c>
      <c r="G392" s="8">
        <v>1</v>
      </c>
      <c r="H392" s="64">
        <v>39.99</v>
      </c>
      <c r="I392" s="38">
        <f>H392*G392*P$384*$P$386</f>
        <v>2570.0854524944416</v>
      </c>
      <c r="J392" s="38">
        <f>H392*G392*$P$385*$P$386</f>
        <v>2680.057952494441</v>
      </c>
      <c r="L392" s="35"/>
      <c r="M392" s="35"/>
      <c r="N392" s="35"/>
      <c r="O392" s="35"/>
      <c r="P392" s="35"/>
      <c r="Q392" s="35"/>
    </row>
    <row r="393" spans="1:17" ht="16.5" thickBot="1">
      <c r="A393" s="35" t="s">
        <v>921</v>
      </c>
      <c r="B393" s="35" t="s">
        <v>922</v>
      </c>
      <c r="C393" s="35"/>
      <c r="D393" s="44" t="s">
        <v>923</v>
      </c>
      <c r="E393" s="35" t="s">
        <v>13</v>
      </c>
      <c r="F393" s="6" t="s">
        <v>924</v>
      </c>
      <c r="G393" s="8">
        <v>1</v>
      </c>
      <c r="H393" s="64">
        <v>24.99</v>
      </c>
      <c r="I393" s="38">
        <f>H393*G393*P$384*$P$386</f>
        <v>1606.0624020464138</v>
      </c>
      <c r="J393" s="38">
        <f>H393*G393*$P$385*$P$386</f>
        <v>1674.7849020464137</v>
      </c>
      <c r="L393" s="35"/>
      <c r="M393" s="35"/>
      <c r="N393" s="35"/>
      <c r="O393" s="35"/>
      <c r="P393" s="35"/>
      <c r="Q393" s="35"/>
    </row>
    <row r="394" spans="1:17" ht="16.5" thickBot="1">
      <c r="A394" s="35" t="s">
        <v>921</v>
      </c>
      <c r="B394" s="35" t="s">
        <v>652</v>
      </c>
      <c r="C394" s="35"/>
      <c r="D394" s="44" t="s">
        <v>643</v>
      </c>
      <c r="E394" s="35" t="s">
        <v>13</v>
      </c>
      <c r="F394" s="6" t="s">
        <v>644</v>
      </c>
      <c r="G394" s="8">
        <v>1</v>
      </c>
      <c r="H394" s="64">
        <v>3.99</v>
      </c>
      <c r="I394" s="38">
        <f>H394*G394*P$384*$P$386</f>
        <v>256.4301314191754</v>
      </c>
      <c r="J394" s="38">
        <f>H394*G394*$P$385*$P$386</f>
        <v>267.4026314191753</v>
      </c>
      <c r="L394" s="35"/>
      <c r="M394" s="35"/>
      <c r="N394" s="35"/>
      <c r="O394" s="73" t="s">
        <v>42</v>
      </c>
      <c r="P394" s="69">
        <f>SUM(H396:H405)</f>
        <v>250</v>
      </c>
      <c r="Q394" s="35"/>
    </row>
    <row r="395" spans="1:17" ht="15.75">
      <c r="A395" s="23" t="s">
        <v>933</v>
      </c>
      <c r="B395" s="35"/>
      <c r="C395" s="35"/>
      <c r="D395" s="35"/>
      <c r="E395" s="35"/>
      <c r="F395" s="24" t="s">
        <v>955</v>
      </c>
      <c r="G395" s="8"/>
      <c r="H395" s="36"/>
      <c r="I395" s="36"/>
      <c r="J395" s="35"/>
      <c r="K395" s="35"/>
      <c r="L395" s="35"/>
      <c r="M395" s="35"/>
      <c r="N395" s="35"/>
      <c r="O395" s="16" t="s">
        <v>43</v>
      </c>
      <c r="P395" s="69">
        <f>SUM(H396:H405)</f>
        <v>250</v>
      </c>
      <c r="Q395" s="35"/>
    </row>
    <row r="396" spans="1:16" ht="15.75">
      <c r="A396" s="35" t="s">
        <v>77</v>
      </c>
      <c r="B396" s="35" t="s">
        <v>928</v>
      </c>
      <c r="C396" s="35"/>
      <c r="D396" s="44" t="s">
        <v>934</v>
      </c>
      <c r="E396" s="35" t="s">
        <v>13</v>
      </c>
      <c r="F396" s="6" t="s">
        <v>25</v>
      </c>
      <c r="G396" s="35">
        <v>1</v>
      </c>
      <c r="H396" s="61">
        <v>34.5</v>
      </c>
      <c r="I396" s="36"/>
      <c r="J396" s="37">
        <f aca="true" t="shared" si="29" ref="J396:J405">H396*G396*$P$403*$P$405</f>
        <v>1834.4726400000004</v>
      </c>
      <c r="K396" s="37">
        <f aca="true" t="shared" si="30" ref="K396:K405">H396*G396*$P$404*$P$405</f>
        <v>1904.43864</v>
      </c>
      <c r="L396" s="35"/>
      <c r="M396" s="35"/>
      <c r="N396" s="35"/>
      <c r="O396" s="16" t="s">
        <v>44</v>
      </c>
      <c r="P396" s="26" t="e">
        <f>SUM(#REF!)</f>
        <v>#REF!</v>
      </c>
    </row>
    <row r="397" spans="1:16" ht="15.75">
      <c r="A397" s="11" t="s">
        <v>935</v>
      </c>
      <c r="B397" s="35" t="s">
        <v>936</v>
      </c>
      <c r="C397" s="35"/>
      <c r="D397" s="44" t="s">
        <v>937</v>
      </c>
      <c r="E397" s="35" t="s">
        <v>70</v>
      </c>
      <c r="F397" s="6" t="s">
        <v>938</v>
      </c>
      <c r="G397" s="35">
        <v>1</v>
      </c>
      <c r="H397" s="61">
        <v>23</v>
      </c>
      <c r="I397" s="36"/>
      <c r="J397" s="37">
        <f t="shared" si="29"/>
        <v>1222.9817600000001</v>
      </c>
      <c r="K397" s="37">
        <f t="shared" si="30"/>
        <v>1269.6257600000001</v>
      </c>
      <c r="L397" s="52" t="s">
        <v>939</v>
      </c>
      <c r="M397" s="35"/>
      <c r="N397" s="35"/>
      <c r="O397" s="16" t="s">
        <v>29</v>
      </c>
      <c r="P397" s="27">
        <v>46.99</v>
      </c>
    </row>
    <row r="398" spans="1:16" ht="15.75">
      <c r="A398" s="11" t="s">
        <v>935</v>
      </c>
      <c r="B398" s="35" t="s">
        <v>936</v>
      </c>
      <c r="C398" s="35"/>
      <c r="D398" s="44" t="s">
        <v>940</v>
      </c>
      <c r="E398" s="35" t="s">
        <v>13</v>
      </c>
      <c r="F398" s="6" t="s">
        <v>938</v>
      </c>
      <c r="G398" s="35">
        <v>1</v>
      </c>
      <c r="H398" s="61">
        <v>16</v>
      </c>
      <c r="I398" s="36"/>
      <c r="J398" s="37">
        <f t="shared" si="29"/>
        <v>850.7699200000001</v>
      </c>
      <c r="K398" s="37">
        <f t="shared" si="30"/>
        <v>883.21792</v>
      </c>
      <c r="L398" s="52" t="s">
        <v>939</v>
      </c>
      <c r="M398" s="35"/>
      <c r="N398" s="35"/>
      <c r="O398" s="16" t="s">
        <v>32</v>
      </c>
      <c r="P398" s="28">
        <f>P397/(P394-P400)+0.07</f>
        <v>0.310974358974359</v>
      </c>
    </row>
    <row r="399" spans="1:16" ht="15.75">
      <c r="A399" s="11" t="s">
        <v>935</v>
      </c>
      <c r="B399" s="35" t="s">
        <v>941</v>
      </c>
      <c r="C399" s="35"/>
      <c r="D399" s="44" t="s">
        <v>942</v>
      </c>
      <c r="E399" s="35" t="s">
        <v>13</v>
      </c>
      <c r="F399" s="6" t="s">
        <v>943</v>
      </c>
      <c r="G399" s="35">
        <v>1</v>
      </c>
      <c r="H399" s="61">
        <v>36</v>
      </c>
      <c r="I399" s="36"/>
      <c r="J399" s="37">
        <f t="shared" si="29"/>
        <v>1914.2323200000003</v>
      </c>
      <c r="K399" s="37">
        <f t="shared" si="30"/>
        <v>1987.24032</v>
      </c>
      <c r="L399" s="35"/>
      <c r="M399" s="35"/>
      <c r="N399" s="35"/>
      <c r="O399" s="16" t="s">
        <v>32</v>
      </c>
      <c r="P399" s="28">
        <f>P397/(P394-P400)+0.12</f>
        <v>0.360974358974359</v>
      </c>
    </row>
    <row r="400" spans="1:16" ht="15.75">
      <c r="A400" s="11" t="s">
        <v>935</v>
      </c>
      <c r="B400" s="35" t="s">
        <v>941</v>
      </c>
      <c r="C400" s="35"/>
      <c r="D400" s="44" t="s">
        <v>944</v>
      </c>
      <c r="E400" s="35" t="s">
        <v>13</v>
      </c>
      <c r="F400" s="6" t="s">
        <v>943</v>
      </c>
      <c r="G400" s="8">
        <v>1</v>
      </c>
      <c r="H400" s="61">
        <v>23</v>
      </c>
      <c r="I400" s="36"/>
      <c r="J400" s="37">
        <f t="shared" si="29"/>
        <v>1222.9817600000001</v>
      </c>
      <c r="K400" s="37">
        <f t="shared" si="30"/>
        <v>1269.6257600000001</v>
      </c>
      <c r="L400" s="35"/>
      <c r="M400" s="35"/>
      <c r="N400" s="35"/>
      <c r="O400" s="16" t="s">
        <v>45</v>
      </c>
      <c r="P400" s="40">
        <v>55</v>
      </c>
    </row>
    <row r="401" spans="1:16" ht="15.75">
      <c r="A401" s="11" t="s">
        <v>23</v>
      </c>
      <c r="B401" s="35" t="s">
        <v>945</v>
      </c>
      <c r="C401" s="35"/>
      <c r="D401" s="44" t="s">
        <v>946</v>
      </c>
      <c r="E401" s="35" t="s">
        <v>13</v>
      </c>
      <c r="F401" s="6" t="s">
        <v>947</v>
      </c>
      <c r="G401" s="8">
        <v>1</v>
      </c>
      <c r="H401" s="61">
        <v>39.5</v>
      </c>
      <c r="I401" s="36"/>
      <c r="J401" s="37">
        <f t="shared" si="29"/>
        <v>2100.3382400000005</v>
      </c>
      <c r="K401" s="37">
        <f t="shared" si="30"/>
        <v>2180.4442400000003</v>
      </c>
      <c r="L401" s="52" t="s">
        <v>948</v>
      </c>
      <c r="M401" s="35"/>
      <c r="N401" s="35"/>
      <c r="O401" s="16" t="s">
        <v>46</v>
      </c>
      <c r="P401" s="27">
        <f>P400/P395</f>
        <v>0.22</v>
      </c>
    </row>
    <row r="402" spans="1:16" ht="15.75">
      <c r="A402" s="35" t="s">
        <v>39</v>
      </c>
      <c r="B402" s="35" t="s">
        <v>927</v>
      </c>
      <c r="C402" s="35"/>
      <c r="D402" s="44" t="s">
        <v>949</v>
      </c>
      <c r="E402" s="35" t="s">
        <v>12</v>
      </c>
      <c r="F402" s="6" t="s">
        <v>950</v>
      </c>
      <c r="G402" s="8">
        <v>1</v>
      </c>
      <c r="H402" s="61">
        <v>48</v>
      </c>
      <c r="I402" s="36"/>
      <c r="J402" s="37">
        <f t="shared" si="29"/>
        <v>2552.30976</v>
      </c>
      <c r="K402" s="37">
        <f t="shared" si="30"/>
        <v>2649.65376</v>
      </c>
      <c r="L402" s="35"/>
      <c r="M402" s="35"/>
      <c r="N402" s="35"/>
      <c r="O402" s="29" t="s">
        <v>43</v>
      </c>
      <c r="P402" s="28"/>
    </row>
    <row r="403" spans="1:16" ht="15.75">
      <c r="A403" s="35" t="s">
        <v>39</v>
      </c>
      <c r="B403" s="35" t="s">
        <v>927</v>
      </c>
      <c r="C403" s="35"/>
      <c r="D403" s="44" t="s">
        <v>951</v>
      </c>
      <c r="E403" s="35" t="s">
        <v>7</v>
      </c>
      <c r="F403" s="6" t="s">
        <v>950</v>
      </c>
      <c r="G403" s="8">
        <v>1</v>
      </c>
      <c r="H403" s="61">
        <v>22</v>
      </c>
      <c r="I403" s="36"/>
      <c r="J403" s="37">
        <f t="shared" si="29"/>
        <v>1169.8086400000002</v>
      </c>
      <c r="K403" s="37">
        <f t="shared" si="30"/>
        <v>1214.4246400000002</v>
      </c>
      <c r="L403" s="35"/>
      <c r="M403" s="35"/>
      <c r="N403" s="35"/>
      <c r="O403" s="16" t="s">
        <v>30</v>
      </c>
      <c r="P403" s="30">
        <f>(1-P401)*(1+P398)</f>
        <v>1.0225600000000001</v>
      </c>
    </row>
    <row r="404" spans="1:16" ht="15.75">
      <c r="A404" s="35" t="s">
        <v>59</v>
      </c>
      <c r="B404" s="35"/>
      <c r="C404" s="35"/>
      <c r="D404" s="44" t="s">
        <v>952</v>
      </c>
      <c r="E404" s="35"/>
      <c r="F404" s="87" t="s">
        <v>953</v>
      </c>
      <c r="G404" s="8">
        <v>1</v>
      </c>
      <c r="H404" s="61">
        <v>5</v>
      </c>
      <c r="I404" s="36"/>
      <c r="J404" s="37">
        <f t="shared" si="29"/>
        <v>265.86560000000003</v>
      </c>
      <c r="K404" s="37">
        <f t="shared" si="30"/>
        <v>276.0056</v>
      </c>
      <c r="L404" s="35"/>
      <c r="M404" s="35"/>
      <c r="N404" s="35"/>
      <c r="O404" s="16" t="s">
        <v>31</v>
      </c>
      <c r="P404" s="30">
        <f>(1-P401)*(1+P399)</f>
        <v>1.06156</v>
      </c>
    </row>
    <row r="405" spans="1:16" ht="16.5" thickBot="1">
      <c r="A405" s="35" t="s">
        <v>59</v>
      </c>
      <c r="B405" s="35"/>
      <c r="C405" s="35"/>
      <c r="D405" s="44" t="s">
        <v>954</v>
      </c>
      <c r="E405" s="35"/>
      <c r="F405" s="87" t="s">
        <v>73</v>
      </c>
      <c r="G405" s="8">
        <v>1</v>
      </c>
      <c r="H405" s="61">
        <v>3</v>
      </c>
      <c r="I405" s="36"/>
      <c r="J405" s="37">
        <f t="shared" si="29"/>
        <v>159.51936</v>
      </c>
      <c r="K405" s="37">
        <f t="shared" si="30"/>
        <v>165.60336</v>
      </c>
      <c r="L405" s="35"/>
      <c r="M405" s="35"/>
      <c r="N405" s="35"/>
      <c r="O405" s="32" t="s">
        <v>33</v>
      </c>
      <c r="P405" s="33">
        <v>52</v>
      </c>
    </row>
    <row r="406" ht="15.75">
      <c r="B406" s="78" t="s">
        <v>877</v>
      </c>
    </row>
    <row r="407" ht="16.5" thickBot="1">
      <c r="B407" s="78" t="s">
        <v>878</v>
      </c>
    </row>
    <row r="408" ht="15.75">
      <c r="A408" s="23" t="s">
        <v>926</v>
      </c>
    </row>
    <row r="409" spans="1:8" ht="15.75">
      <c r="A409" s="35" t="s">
        <v>930</v>
      </c>
      <c r="B409" s="63" t="s">
        <v>931</v>
      </c>
      <c r="C409" s="35"/>
      <c r="D409" s="44" t="s">
        <v>956</v>
      </c>
      <c r="E409" s="35" t="s">
        <v>873</v>
      </c>
      <c r="F409" s="41" t="s">
        <v>932</v>
      </c>
      <c r="G409" s="35">
        <v>1</v>
      </c>
      <c r="H409" s="36">
        <v>34</v>
      </c>
    </row>
    <row r="410" spans="1:8" ht="15.75">
      <c r="A410" s="35" t="s">
        <v>23</v>
      </c>
      <c r="B410" s="63" t="s">
        <v>929</v>
      </c>
      <c r="C410" s="35"/>
      <c r="D410" s="83"/>
      <c r="E410" s="35"/>
      <c r="F410" s="86"/>
      <c r="G410" s="8">
        <v>1</v>
      </c>
      <c r="H410" s="36">
        <v>24.75</v>
      </c>
    </row>
    <row r="411" spans="1:8" ht="15.75">
      <c r="A411" s="35"/>
      <c r="B411" s="63"/>
      <c r="C411" s="35"/>
      <c r="D411" s="83"/>
      <c r="E411" s="35"/>
      <c r="F411" s="86"/>
      <c r="G411" s="8"/>
      <c r="H411" s="36">
        <v>24.75</v>
      </c>
    </row>
    <row r="412" spans="1:8" ht="15">
      <c r="A412" s="11" t="s">
        <v>14</v>
      </c>
      <c r="B412" s="63" t="s">
        <v>957</v>
      </c>
      <c r="C412" s="35"/>
      <c r="D412" s="35"/>
      <c r="E412" s="35"/>
      <c r="F412" s="35"/>
      <c r="G412" s="35">
        <v>1</v>
      </c>
      <c r="H412" s="36">
        <v>29.5</v>
      </c>
    </row>
    <row r="413" spans="1:8" ht="15">
      <c r="A413" s="11" t="s">
        <v>14</v>
      </c>
      <c r="B413" s="75" t="s">
        <v>958</v>
      </c>
      <c r="C413" s="35"/>
      <c r="D413" s="35"/>
      <c r="E413" s="35"/>
      <c r="F413" s="35"/>
      <c r="G413" s="8">
        <v>1</v>
      </c>
      <c r="H413" s="36">
        <v>38</v>
      </c>
    </row>
    <row r="414" spans="1:8" ht="15">
      <c r="A414" s="11" t="s">
        <v>14</v>
      </c>
      <c r="B414" s="75" t="s">
        <v>959</v>
      </c>
      <c r="C414" s="35"/>
      <c r="D414" s="35"/>
      <c r="E414" s="35"/>
      <c r="F414" s="35"/>
      <c r="G414" s="35">
        <v>1</v>
      </c>
      <c r="H414" s="36">
        <v>52</v>
      </c>
    </row>
    <row r="415" spans="1:8" ht="15.75">
      <c r="A415" s="11" t="s">
        <v>14</v>
      </c>
      <c r="B415" s="12" t="s">
        <v>960</v>
      </c>
      <c r="D415" s="13"/>
      <c r="F415" s="7"/>
      <c r="G415" s="8">
        <v>1</v>
      </c>
      <c r="H415" s="5">
        <v>11</v>
      </c>
    </row>
    <row r="416" spans="1:8" ht="15.75">
      <c r="A416" s="11" t="s">
        <v>14</v>
      </c>
      <c r="B416" s="75" t="s">
        <v>961</v>
      </c>
      <c r="D416" s="13"/>
      <c r="F416" s="7"/>
      <c r="G416" s="8">
        <v>1</v>
      </c>
      <c r="H416" s="5">
        <v>11</v>
      </c>
    </row>
    <row r="417" spans="1:8" ht="15">
      <c r="A417" s="11" t="s">
        <v>14</v>
      </c>
      <c r="B417" s="75" t="s">
        <v>961</v>
      </c>
      <c r="C417" s="35"/>
      <c r="D417" s="35"/>
      <c r="E417" s="35"/>
      <c r="F417" s="85"/>
      <c r="G417" s="8">
        <v>1</v>
      </c>
      <c r="H417" s="36">
        <v>11</v>
      </c>
    </row>
    <row r="418" spans="1:8" ht="15">
      <c r="A418" s="11" t="s">
        <v>14</v>
      </c>
      <c r="B418" s="75" t="s">
        <v>962</v>
      </c>
      <c r="C418" s="35"/>
      <c r="D418" s="35"/>
      <c r="E418" s="35"/>
      <c r="F418" s="85"/>
      <c r="G418" s="8">
        <v>1</v>
      </c>
      <c r="H418" s="36">
        <v>5.4</v>
      </c>
    </row>
    <row r="419" spans="1:8" ht="15">
      <c r="A419" s="11" t="s">
        <v>14</v>
      </c>
      <c r="B419" s="75" t="s">
        <v>330</v>
      </c>
      <c r="C419" s="35"/>
      <c r="D419" s="35"/>
      <c r="E419" s="35"/>
      <c r="F419" s="85"/>
      <c r="G419" s="8">
        <v>1</v>
      </c>
      <c r="H419" s="36">
        <v>5.4</v>
      </c>
    </row>
    <row r="420" ht="15">
      <c r="H420" s="36">
        <v>5.4</v>
      </c>
    </row>
    <row r="421" ht="15">
      <c r="H421" s="36">
        <v>5.4</v>
      </c>
    </row>
    <row r="422" ht="15">
      <c r="H422" s="36">
        <v>5.4</v>
      </c>
    </row>
  </sheetData>
  <sheetProtection formatCells="0" formatColumns="0" formatRows="0" insertColumns="0" insertRows="0" deleteColumns="0" deleteRows="0" sort="0"/>
  <autoFilter ref="A1:S367"/>
  <hyperlinks>
    <hyperlink ref="B3" r:id="rId1" display="https://www.victoriassecret.com/bras/very-sexy-so-obsessed/limited-edition-push-up-bra-very-sexy?ProductID=229235&amp;CatalogueType=OLS"/>
    <hyperlink ref="B185" r:id="rId2" display="https://www.victoriassecret.com/bras/shop-all-bras/lace-trim-cheekini-panty-dream-angels?ProductID=233482&amp;CatalogueType=OLS"/>
    <hyperlink ref="B186" r:id="rId3" display="https://www.victoriassecret.com/bras/shop-all-bras/lace-trim-thong-panty-dream-angels?ProductID=225585&amp;CatalogueType=OLS"/>
    <hyperlink ref="B187" r:id="rId4" display="https://www.victoriassecret.com/bras/shop-all-bras/lace-trim-cheekini-panty-dream-angels?ProductID=233482&amp;CatalogueType=OLS"/>
    <hyperlink ref="B190" r:id="rId5" display="https://www.victoriassecret.com/sale/panties-special/no-show-cheekster-panty-pink?ProductID=193077&amp;CatalogueType=OLS"/>
    <hyperlink ref="B191" r:id="rId6" display="https://www.victoriassecret.com/sale/panties-special/string-bikini-panty-cotton-lingerie?ProductID=227848&amp;CatalogueType=OLS"/>
    <hyperlink ref="B192" r:id="rId7" display="https://www.victoriassecret.com/sale/panties-special/no-show-cheekster-panty-pink?ProductID=193077&amp;CatalogueType=OLS"/>
    <hyperlink ref="B193" r:id="rId8" display="https://www.victoriassecret.com/sale/panties-special/no-show-cheekster-panty-pink?ProductID=193077&amp;CatalogueType=OLS"/>
    <hyperlink ref="B195" r:id="rId9" display="https://www.victoriassecret.com/clearance/swim/the-forever-lowrise-forever-sexy?ProductID=234769&amp;CatalogueType=OLS&amp;swatchImage=V41696"/>
    <hyperlink ref="B196" r:id="rId10" display="https://www.victoriassecret.com/clearance/swim/strappy-string-bottom-very-sexy?ProductID=209146&amp;CatalogueType=OLS"/>
    <hyperlink ref="B197" r:id="rId11" display="https://www.victoriassecret.com/clearance/swim/convertible-halter-top-forever-sexy?ProductID=181758&amp;CatalogueType=OLS&amp;swatchImage=V396387"/>
    <hyperlink ref="B181" r:id="rId12" display="https://www.victoriassecret.com/swimwear/bikini-bottoms/ruchedmini-bikini-bottom-pink?ProductID=237589&amp;CatalogueType=OLS"/>
    <hyperlink ref="B236" r:id="rId13" display="https://www.victoriassecret.com/clothing/shop-all/side-tie-tank-vintage-tees?ProductID=218836&amp;CatalogueType=OLS"/>
    <hyperlink ref="B62" r:id="rId14" display="https://www.victoriassecret.com/sale/swim/ruched-hipkini-beach-sexy?ProductID=222657&amp;CatalogueType=OLS"/>
    <hyperlink ref="B60" r:id="rId15" display="https://www.victoriassecret.com/catalogue/knockout-by-victoria39s-secret-tight-with-short-victorias-secret-sport?ProductID=224318&amp;CatalogueType=OLS&amp;cqo=true&amp;cqoCat=KY"/>
    <hyperlink ref="B61" r:id="rId16" display="https://www.victoriassecret.com/clearance/swim/low-rise-bottom-very-sexy?ProductID=187974&amp;CatalogueType=OLS"/>
    <hyperlink ref="B63" r:id="rId17" display="https://www.victoriassecret.com/clearance/bras/cutout-back-push-up-bra-very-sexy?ProductID=220688&amp;CatalogueType=OLS"/>
    <hyperlink ref="B64" r:id="rId18" display="https://www.victoriassecret.com/clearance/bras/wear-everywhere-strapless-bra-pink?ProductID=223266&amp;CatalogueType=OLS"/>
    <hyperlink ref="B274" r:id="rId19" display="https://www.victoriassecret.com/panties/5-for-27-styles/lace-waist-hiphugger-panty-cotton-lingerie?ProductID=237192&amp;CatalogueType=OLS"/>
    <hyperlink ref="B275" r:id="rId20" display="https://www.victoriassecret.com/panties/5-for-27-styles/low-rise-bikini-panty-cotton-lingerie?ProductID=237570&amp;CatalogueType=OLS"/>
    <hyperlink ref="B104" r:id="rId21" display="https://www.victoriassecret.com/sale/panties-special/lace-waist-cheeky-panty-cotton-lingerie?ProductID=228002&amp;CatalogueType=OLS"/>
    <hyperlink ref="B285" r:id="rId22" display="https://www.victoriassecret.com/sale/swim/neon-paisley-push-up-triangle-top-beach-sexy?ProductID=189711&amp;CatalogueType=OLS"/>
    <hyperlink ref="B298" r:id="rId23" display="https://www.victoriassecret.com/clearance/swim/the-classic-bandeau-forever-sexy?ProductID=234018&amp;CatalogueType=OLS"/>
    <hyperlink ref="B287" r:id="rId24" display="https://www.victoriassecret.com/sale/swim/fringe-bandeau-beach-sexy?ProductID=228890&amp;CatalogueType=OLS"/>
    <hyperlink ref="B392" r:id="rId25" display="https://www.victoriassecret.com/clearance/clothing/banded-cover-up-pant?ProductID=239888&amp;CatalogueType=OLS"/>
    <hyperlink ref="B382" r:id="rId26" display="https://www.victoriassecret.com/panties/5-for-27-styles/string-bikini-panty-allover-lace-from-cotton-lingerie?ProductID=237493&amp;CatalogueType=OLS"/>
    <hyperlink ref="B383" r:id="rId27" display="https://www.victoriassecret.com/panties/5-for-27-styles/dot-mesh-thong-panty-cotton-lingerie?ProductID=240792&amp;CatalogueType=OLS"/>
    <hyperlink ref="B384" r:id="rId28" display="https://www.victoriassecret.com/panties/5-for-27-styles/curved-hem-hipster-panty-pink?ProductID=221255&amp;CatalogueType=OLS"/>
    <hyperlink ref="B385" r:id="rId29" display="https://www.victoriassecret.com/panties/5-for-27-styles/lace-waist-cheeky-panty-cotton-lingerie?ProductID=228002&amp;CatalogueType=OLS"/>
    <hyperlink ref="B391" r:id="rId30" display="https://www.victoriassecret.com/bras/cotton-lingerie/front-close-racerback-push-up-bra-cotton-lingerie?ProductID=242603&amp;CatalogueType=OLS"/>
    <hyperlink ref="B171" r:id="rId31" display="https://www.victoriassecret.com/beauty/all-makeup/shiny-kiss-flavored-gloss-beauty-rush?ProductID=228348&amp;CatalogueType=OLS"/>
    <hyperlink ref="B170" r:id="rId32" display="https://www.victoriassecret.com//sale/beauty/color-shine-gloss-beauty-rush?ProductID=199353&amp;CatalogueType=OLS&amp;search=true"/>
    <hyperlink ref="B169" r:id="rId33" display="https://www.victoriassecret.com/beauty/all-makeup/lip-plumper-beauty-rush?ProductID=235266&amp;CatalogueType=OLS"/>
    <hyperlink ref="B168" r:id="rId34" display="https://www.victoriassecret.com/beauty/all-makeup/lip-plumper-beauty-rush?ProductID=235266&amp;CatalogueType=OLS"/>
    <hyperlink ref="B166" r:id="rId35" display="https://www.victoriassecret.com/sale/tops-and-tees/oversized-tunic-fleece?ProductID=233883&amp;CatalogueType=OLS"/>
    <hyperlink ref="B140" r:id="rId36" display="https://www.victoriassecret.com/panties/5-for-27-styles/hiphugger-panty-cotton-lingerie?ProductID=230930&amp;CatalogueType=OLS"/>
    <hyperlink ref="B134" r:id="rId37" display="https://www.victoriassecret.com/panties/5-for-27-styles/the-date-no-show-thong-panty-pink?ProductID=229055&amp;CatalogueType=OLS,"/>
    <hyperlink ref="B129" r:id="rId38" display="https://www.victoriassecret.com/panties/5-for-27-styles/geo-lace-cheekster-panty-pink?ProductID=226003&amp;CatalogueType=OLS"/>
    <hyperlink ref="B126" r:id="rId39" display="https://www.victoriassecret.com/panties/5-for-27-styles/geo-lace-cheekster-panty-pink?ProductID=226003&amp;CatalogueType=OLS"/>
    <hyperlink ref="B135" r:id="rId40" display="https://www.victoriassecret.com/panties/5-for-27-styles/lace-waist-cheeky-panty-cotton-lingerie?ProductID=228002&amp;CatalogueType=OLS,"/>
    <hyperlink ref="B100" r:id="rId41" display="https://www.victoriassecret.com/bras/t-shirt-bra/perfect-shape-bra-the-t-shirt?ProductID=236888&amp;CatalogueType=OLS"/>
    <hyperlink ref="B77" r:id="rId42" display="https://www.victoriassecret.com/beauty/all-makeup/lip-plumper-beauty-rush?ProductID=235266&amp;CatalogueType=OLS"/>
    <hyperlink ref="B94" r:id="rId43" display="https://www.victoriassecret.com/panties/5-for-27-styles/lace-thong-panty-pink?ProductID=229804&amp;CatalogueType=OLS"/>
    <hyperlink ref="B70" r:id="rId44" display="https://www.victoriassecret.com/beauty/all-makeup/shiny-kiss-flavored-gloss-beauty-rush?ProductID=228348&amp;CatalogueType=OLS"/>
    <hyperlink ref="B78" r:id="rId45" display="https://www.victoriassecret.com/swimwear/shop-by-size/the-fringe-itsy-beach-sexy?ProductID=220505&amp;CatalogueType=OLS"/>
    <hyperlink ref="B47" r:id="rId46" display="https://www.victoriassecret.com/sale/tops-and-tees/low-armhole-tank-anytime-tees?ProductID=233923&amp;CatalogueType=OLS"/>
    <hyperlink ref="B46" r:id="rId47" display="https://www.victoriassecret.com/swimwear/bikini-mixer"/>
    <hyperlink ref="B45" r:id="rId48" display="https://www.victoriassecret.com/swimwear/bikini-mixer"/>
    <hyperlink ref="B44" r:id="rId49" display="https://www.victoriassecret.com/swimwear/shop-by-size/the-midi-bandeau-beach-sexy?ProductID=220408&amp;CatalogueType=OLS"/>
    <hyperlink ref="B42" r:id="rId50" display="https://www.victoriassecret.com//swimwear/trend-edit/cut-out-bandeau-very-sexy?ProductID=227108&amp;CatalogueType=OLS&amp;search=true"/>
    <hyperlink ref="B65" r:id="rId51" display="https://www.victoriassecret.com/clearance/bras/perfect-lace-strapless-bra-pink?ProductID=193602&amp;CatalogueType=OLS"/>
    <hyperlink ref="B43" r:id="rId52" display="https://www.victoriassecret.com/victorias-secret-sport/all-tops/lightweight-sport-tank-victorias-secret-sport?ProductID=218763&amp;CatalogueType=OLS&amp;swatchImage=HE7"/>
    <hyperlink ref="B40" r:id="rId53" display="https://www.victoriassecret.com/clearance/swim/one-shoulder-top-very-sexy?ProductID=189778&amp;CatalogueType=OLS"/>
    <hyperlink ref="B6" r:id="rId54" display="https://www.victoriassecret.com/sale/yoga-pants-and-leggings/the-most-loved-yoga-legging?ProductID=228440&amp;CatalogueType=OLS"/>
    <hyperlink ref="B409" r:id="rId55" display="https://www.victoriassecret.com/bras/shop-all-bras/wireless-bra-body-by-victoria?ProductID=235962&amp;CatalogueType=OLS"/>
    <hyperlink ref="B416" r:id="rId56" display="https://www.victoriassecret.com/lingerie/bras-and-panties/lace-trim-cheekini-panty-dream-angels?ProductID=233482&amp;CatalogueType=OLS "/>
    <hyperlink ref="B417" r:id="rId57" display="https://www.victoriassecret.com/lingerie/bras-and-panties/lace-trim-cheekini-panty-dream-angels?ProductID=233482&amp;CatalogueType=OLS "/>
    <hyperlink ref="B415" r:id="rId58" display="https://www.victoriassecret.com/lingerie/bras-and-panties/lace-trim-cheekini-panty-dream-angels?ProductID=233482&amp;CatalogueType=OLS"/>
    <hyperlink ref="B414" r:id="rId59" display="https://www.victoriassecret.com/bras/shop-all-bras/multi-way-bra-dream-angels?ProductID=240212&amp;CatalogueType=OLS "/>
    <hyperlink ref="B413" r:id="rId60" display="https://www.victoriassecret.com/sleepwear/shop-all-sleep-mobile/slip-the-lacie?ProductID=229301&amp;CatalogueType=OLS "/>
    <hyperlink ref="B412" r:id="rId61" display="https://www.victoriassecret.com/sleepwear/shop-all-sleep-mobile/racerback-slip-signature-cotton?ProductID=196587&amp;CatalogueType=OLS"/>
    <hyperlink ref="B418" r:id="rId62" display="https://www.victoriassecret.com/panties/5-for-27-styles/lace-waist-cheeky-panty-cotton-lingerie?ProductID=237643&amp;CatalogueType=OLS "/>
    <hyperlink ref="B419" r:id="rId63" display="https://www.victoriassecret.com/panties/5-for-27-styles/lace-waist-cheeky-panty-cotton-lingerie?ProductID=237643&amp;CatalogueType=OLS"/>
    <hyperlink ref="B410" r:id="rId64" display="https://www.victoriassecret.com/bras/buy-more-and-save-bras/wireless-bra-sexy-tee?ProductID=228985&amp;CatalogueType=OLS"/>
  </hyperlinks>
  <printOptions/>
  <pageMargins left="0.7" right="0.7" top="0.75" bottom="0.75" header="0.3" footer="0.3"/>
  <pageSetup orientation="portrait" paperSize="9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2015-04-27T11:21:04Z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