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'Лист1'!$A$1:$S$468</definedName>
  </definedNames>
  <calcPr fullCalcOnLoad="1" refMode="R1C1"/>
</workbook>
</file>

<file path=xl/sharedStrings.xml><?xml version="1.0" encoding="utf-8"?>
<sst xmlns="http://schemas.openxmlformats.org/spreadsheetml/2006/main" count="2767" uniqueCount="1195">
  <si>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</si>
  <si>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</si>
  <si>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</si>
  <si>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</si>
  <si>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</si>
  <si>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</si>
  <si>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</si>
  <si>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</si>
  <si>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</si>
  <si>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</si>
  <si>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</si>
  <si>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36C</t>
  </si>
  <si>
    <t>34B</t>
  </si>
  <si>
    <t>S</t>
  </si>
  <si>
    <t>Neff241288</t>
  </si>
  <si>
    <t>Svetlana.Kulkova</t>
  </si>
  <si>
    <t>L</t>
  </si>
  <si>
    <t>Airis*</t>
  </si>
  <si>
    <t>White (L20)</t>
  </si>
  <si>
    <t>OS</t>
  </si>
  <si>
    <t>M</t>
  </si>
  <si>
    <t>S.R</t>
  </si>
  <si>
    <t>Neon Nectar (39S)</t>
  </si>
  <si>
    <t>Lu Lu</t>
  </si>
  <si>
    <t>ponka100</t>
  </si>
  <si>
    <t>White (DK9)</t>
  </si>
  <si>
    <t>Light Nude (608)</t>
  </si>
  <si>
    <t>Ink Blot (K95)</t>
  </si>
  <si>
    <t>Black (DL3)</t>
  </si>
  <si>
    <t>доставка</t>
  </si>
  <si>
    <t>итог.% предоплата</t>
  </si>
  <si>
    <t>итог.% постоплата</t>
  </si>
  <si>
    <t>доставка+орг% по предоплате</t>
  </si>
  <si>
    <t>предварительный курс $</t>
  </si>
  <si>
    <t>Pink Stripe (3UZ)</t>
  </si>
  <si>
    <t>Black (093)</t>
  </si>
  <si>
    <t>Таша С</t>
  </si>
  <si>
    <t>White (092)</t>
  </si>
  <si>
    <t>ариша11</t>
  </si>
  <si>
    <t>m.n</t>
  </si>
  <si>
    <t>32C</t>
  </si>
  <si>
    <t>итог.сумма заказа</t>
  </si>
  <si>
    <t>неклиранс</t>
  </si>
  <si>
    <t>клиранс</t>
  </si>
  <si>
    <t>скидка с неклиранса</t>
  </si>
  <si>
    <t>скидка с неклиранса%</t>
  </si>
  <si>
    <t>38D</t>
  </si>
  <si>
    <t>Black Stripe (3W6)</t>
  </si>
  <si>
    <t>Love Addict (7A3)</t>
  </si>
  <si>
    <t>Secret Escape (PMF)</t>
  </si>
  <si>
    <t>https://www.victoriassecret.com/beauty/vs-fantasies-bodycare-specials/aqua-kiss-deep-softening-body-butter-vs-fantasies?ProductID=154946&amp;CatalogueType=OLS</t>
  </si>
  <si>
    <t>Aqua Kiss (96F)</t>
  </si>
  <si>
    <t>Black Pearl (U01)</t>
  </si>
  <si>
    <t>34A</t>
  </si>
  <si>
    <t>Juliettt</t>
  </si>
  <si>
    <t>Coral Blaze (57Z)</t>
  </si>
  <si>
    <t>stellar81</t>
  </si>
  <si>
    <t>союз</t>
  </si>
  <si>
    <t>пристрой</t>
  </si>
  <si>
    <t>Pirouette Pink (2PT)</t>
  </si>
  <si>
    <t>Оплаты</t>
  </si>
  <si>
    <t>https://www.victoriassecret.com/beauty/vs-fantasies-bodycare-specials/love-addict-deep-softening-body-butter-vs-fantasies?ProductID=225092&amp;CatalogueType=OLS</t>
  </si>
  <si>
    <t>Zoyann</t>
  </si>
  <si>
    <t>Kally</t>
  </si>
  <si>
    <t>XS.R</t>
  </si>
  <si>
    <t>belkastrelka</t>
  </si>
  <si>
    <t>Mint Ice (2GE)</t>
  </si>
  <si>
    <t>36B</t>
  </si>
  <si>
    <t>altea</t>
  </si>
  <si>
    <t>34C</t>
  </si>
  <si>
    <t>32B</t>
  </si>
  <si>
    <t>Mora</t>
  </si>
  <si>
    <t>Love Spell (999)</t>
  </si>
  <si>
    <t>Amber Romance (259)</t>
  </si>
  <si>
    <t>Maldive (890)</t>
  </si>
  <si>
    <t>little_signorina</t>
  </si>
  <si>
    <t>МАТРЕШКА НН</t>
  </si>
  <si>
    <t>32A</t>
  </si>
  <si>
    <t>https://www.victoriassecret.com/clearance/panties/lace-trim-cheekini-panty-dream-angels?ProductID=225540&amp;CatalogueType=OLS</t>
  </si>
  <si>
    <t>katrysya</t>
  </si>
  <si>
    <t>https://www.victoriassecret.com/victorias-secret-sport/sports-bras/incredible-by-victoria39s-secret-front-close-sport-bra-victorias-secret-sport?ProductID=205543&amp;CatalogueType=OLS</t>
  </si>
  <si>
    <t>Leopard (4RF)</t>
  </si>
  <si>
    <t>https://www.victoriassecret.com/clearance/bras/wear-everywhere-strapless-bra-pink?ProductID=223266&amp;CatalogueType=OLS</t>
  </si>
  <si>
    <t>LR-333-962</t>
  </si>
  <si>
    <t>Mint Chevron (3HJ)</t>
  </si>
  <si>
    <t>SnegaL</t>
  </si>
  <si>
    <t>https://www.victoriassecret.com/beauty/vs-fantasies-bodycare-specials/amber-romance-deep-softening-body-butter-vs-fantasies?ProductID=154943&amp;CatalogueType=OLS</t>
  </si>
  <si>
    <t>https://www.victoriassecret.com/beauty/vs-fantasies-bodycare-specials/sheer-love-deep-softening-body-butter-vs-fantasies?ProductID=154942&amp;CatalogueType=OLS</t>
  </si>
  <si>
    <t>Sheer Love (2HW)</t>
  </si>
  <si>
    <t>https://www.victoriassecret.com/beauty/vs-fantasies-bodycare-specials/such-a-flirt-deep-softening-body-butter-vs-fantasies?ProductID=154941&amp;CatalogueType=OLS</t>
  </si>
  <si>
    <t>Such A Flirt (AJ5)</t>
  </si>
  <si>
    <t>https://www.victoriassecret.com/victorias-secret-sport/all-tops/lightweight-sport-tank-victorias-secret-sport?ProductID=218763&amp;CatalogueType=OLS&amp;swatchImage=HE7</t>
  </si>
  <si>
    <t>LJ-330-611</t>
  </si>
  <si>
    <t>Neon Lemons/Seychelles (5EJ)</t>
  </si>
  <si>
    <t>Gold Glitter Wings (CT7)</t>
  </si>
  <si>
    <t>Heather Charcoal/Sequin VS Angel (7K8)</t>
  </si>
  <si>
    <t>Cherry Print (3X4)</t>
  </si>
  <si>
    <t>Aqua Breeze Blue Mesh (3KU)</t>
  </si>
  <si>
    <t>Ink Blot Lace Back (K95)</t>
  </si>
  <si>
    <t>Paisley Print (3PR)</t>
  </si>
  <si>
    <t>Мама Макара</t>
  </si>
  <si>
    <t>https://www.victoriassecret.com/panties/5-for-27-styles/lace-waist-cheeky-panty-cotton-lingerie?ProductID=228002&amp;CatalogueType=OLS</t>
  </si>
  <si>
    <t>https://www.victoriassecret.com/panties/5-for-27-styles/no-show-cheekster-panty-pink?ProductID=196382&amp;CatalogueType=OLS</t>
  </si>
  <si>
    <t>Inkblot (K95)</t>
  </si>
  <si>
    <t>Pure Seduction (25F)</t>
  </si>
  <si>
    <t>Secret Charm (29G)</t>
  </si>
  <si>
    <t>себе</t>
  </si>
  <si>
    <t>KateBond</t>
  </si>
  <si>
    <t>Seafoam (6P5)</t>
  </si>
  <si>
    <t>https://www.victoriassecret.com/catalogue/the-player-by-victoriarsquos-secret-racerback-sport-bra-victorias-secret-sport?ProductID=224133&amp;CatalogueType=OLS&amp;cqo=true&amp;cqoCat=KY</t>
  </si>
  <si>
    <t>KY-300-798</t>
  </si>
  <si>
    <t>Black Marl (3BN)</t>
  </si>
  <si>
    <t>KY-300-797</t>
  </si>
  <si>
    <t>Black Orchid (4RS)</t>
  </si>
  <si>
    <t>https://www.victoriassecret.com/clearance/panties/geo-lace-cheekster-panty-pink?ProductID=196329&amp;CatalogueType=OLS</t>
  </si>
  <si>
    <t>LT-335-689</t>
  </si>
  <si>
    <t>Sheer Lime (2SY)</t>
  </si>
  <si>
    <t>https://www.victoriassecret.com/clearance/bras/leopard-lace-push-up-bra-pink?ProductID=233097&amp;CatalogueType=OLS</t>
  </si>
  <si>
    <t>LT-338-014</t>
  </si>
  <si>
    <t>Bright Turquoise (2PG)</t>
  </si>
  <si>
    <t>https://www.victoriassecret.com/clearance/panties/leopard-lace-thong-panty-pink?ProductID=205861&amp;CatalogueType=OLS</t>
  </si>
  <si>
    <t>LT-323-290</t>
  </si>
  <si>
    <t>Turquoise (2PG)</t>
  </si>
  <si>
    <t>Order Date: 03/11/2015</t>
  </si>
  <si>
    <t>Алинка2507</t>
  </si>
  <si>
    <t>https://www.victoriassecret.com//swimwear/trend-edit/cut-out-bandeau-very-sexy?ProductID=227108&amp;CatalogueType=OLS&amp;search=true</t>
  </si>
  <si>
    <t>LL-327-544</t>
  </si>
  <si>
    <t>Iriiisha</t>
  </si>
  <si>
    <t>https://www.victoriassecret.com/sale/swim/v-wire-bandeau-very-sexy?ProductID=122009&amp;CatalogueType=OLS</t>
  </si>
  <si>
    <t>LL-307-823</t>
  </si>
  <si>
    <t>https://www.victoriassecret.com/pink/all-apparel/campus-pant-pink?ProductID=231263&amp;CatalogueType=OLS</t>
  </si>
  <si>
    <t>LL-334-916 </t>
  </si>
  <si>
    <t>Mint (S72)</t>
  </si>
  <si>
    <t>https://www.victoriassecret.com/sale/clothing/the-essential-bra-top-cami?ProductID=33437&amp;CatalogueType=OLS</t>
  </si>
  <si>
    <t>LL-257-222</t>
  </si>
  <si>
    <t>Sea Breeze (5AG)</t>
  </si>
  <si>
    <t>https://www.victoriassecret.com/clothing/hoodies-sweatshirts/marled-flutter-sleeve-hoodie-french-terry?ProductID=221860&amp;CatalogueType=OLS&amp;swatchImage=2GE</t>
  </si>
  <si>
    <t>LL-330-512 </t>
  </si>
  <si>
    <t>https://www.victoriassecret.com/bras/very-sexy/low-back-push-up-bra-very-sexy-bare?ProductID=232121&amp;CatalogueType=OLS</t>
  </si>
  <si>
    <t>LL-332-193</t>
  </si>
  <si>
    <t>Leopard (36V)</t>
  </si>
  <si>
    <t>https://www.victoriassecret.com/clearance/clothing/v-neck-tee-essential-tees?ProductID=197110&amp;CatalogueType=OLS</t>
  </si>
  <si>
    <t>LT-314-738</t>
  </si>
  <si>
    <t>Blue Burnout (HH7)</t>
  </si>
  <si>
    <t>https://www.victoriassecret.com/clearance/swim/the-ruffle-cheeky-beach-sexy?ProductID=224956&amp;CatalogueType=OLS</t>
  </si>
  <si>
    <t>LT-329-805</t>
  </si>
  <si>
    <t>Natural Tiger (6XQ)</t>
  </si>
  <si>
    <t>https://www.victoriassecret.com/clearance/swim/the-getaway-halter-beach-sexy?ProductID=225114&amp;CatalogueType=OLS</t>
  </si>
  <si>
    <t>LT-333-679</t>
  </si>
  <si>
    <t>https://www.victoriassecret.com/clearance/swim/one-shoulder-top-very-sexy?ProductID=189778&amp;CatalogueType=OLS</t>
  </si>
  <si>
    <t>LT-320-150</t>
  </si>
  <si>
    <t>ВЫКУПЛЕНО 11 МАРТА</t>
  </si>
  <si>
    <t>Order Date: 03/12/2015</t>
  </si>
  <si>
    <t>LL-329-088</t>
  </si>
  <si>
    <t>Tropical Floral (78W)</t>
  </si>
  <si>
    <t>https://www.victoriassecret.com/swimwear/shop-by-size/the-midi-bandeau-beach-sexy?ProductID=220408&amp;CatalogueType=OLS</t>
  </si>
  <si>
    <t>LL-329-673</t>
  </si>
  <si>
    <t>https://www.victoriassecret.com/swimwear/bikini-mixer</t>
  </si>
  <si>
    <t>LL-324-602</t>
  </si>
  <si>
    <t>LL-293-955 </t>
  </si>
  <si>
    <t>https://www.victoriassecret.com/sale/tops-and-tees/low-armhole-tank-anytime-tees?ProductID=233923&amp;CatalogueType=OLS</t>
  </si>
  <si>
    <t>LL-337-793</t>
  </si>
  <si>
    <t>Seychelles/Kissed By The Sun (7AY)</t>
  </si>
  <si>
    <t>https://www.victoriassecret.com//panties/shop-all-panties-mobile/lace-waist-bikini-panty-cotton-lingerie?ProductID=227324&amp;CatalogueType=OLS&amp;search=true</t>
  </si>
  <si>
    <t>LL-313-900 </t>
  </si>
  <si>
    <t>Safari Geo Print (2TC)</t>
  </si>
  <si>
    <t>https://www.victoriassecret.com//panties/shop-all-panties/itsy-panty-cotton-lingerie?ProductID=230098&amp;CatalogueType=OLS&amp;search=true</t>
  </si>
  <si>
    <t>LL-333-534</t>
  </si>
  <si>
    <t>https://www.victoriassecret.com//panties/fabulous-by-victorias-secret-hidden/lace-waist-thong-panty-cotton-lingerie?ProductID=231898&amp;CatalogueType=OLS&amp;search=true</t>
  </si>
  <si>
    <t>LL-313-901</t>
  </si>
  <si>
    <t>https://www.victoriassecret.com//panties/5-for-27-styles/itsy-panty-cotton-lingerie?ProductID=227317&amp;CatalogueType=OLS&amp;search=true</t>
  </si>
  <si>
    <t>LL-326-924</t>
  </si>
  <si>
    <t>Mini Leopard Print (DI9)</t>
  </si>
  <si>
    <t>https://www.victoriassecret.com/sale/bras-special/perfect-coverage-bra-sexy-tee?ProductID=228975&amp;CatalogueType=OLS</t>
  </si>
  <si>
    <t>LL-301-416</t>
  </si>
  <si>
    <t>36D</t>
  </si>
  <si>
    <t>https://www.victoriassecret.com/sale/bras-special/front-close-perfect-coverage-bra-cotton-lingerie?ProductID=227373&amp;CatalogueType=OLS</t>
  </si>
  <si>
    <t>LL-331-061 </t>
  </si>
  <si>
    <t>Black Braided Back (093)</t>
  </si>
  <si>
    <t>LeeLoominai</t>
  </si>
  <si>
    <t>https://www.victoriassecret.com/panties/5-for-27-styles/lace-trim-cheekster-panty-pink?ProductID=213922&amp;CatalogueType=OLS</t>
  </si>
  <si>
    <t>LL-327-638 </t>
  </si>
  <si>
    <t>https://www.victoriassecret.com/panties/5-for-27-styles/geo-lace-cheekster-panty-pink?ProductID=226003&amp;CatalogueType=OLS</t>
  </si>
  <si>
    <t>LL-333-690 </t>
  </si>
  <si>
    <t>https://www.victoriassecret.com/panties/5-for-27-styles/ruched-back-hiphugger-panty-cotton-lingerie?ProductID=231891&amp;CatalogueType=OLS</t>
  </si>
  <si>
    <t>LL-313-873</t>
  </si>
  <si>
    <t>Black Heart Back Lace (093)</t>
  </si>
  <si>
    <t>LL-304-353 </t>
  </si>
  <si>
    <t>LL-304-353</t>
  </si>
  <si>
    <t>https://www.victoriassecret.com/catalogue/knockout-by-victoria39s-secret-tight-with-short-victorias-secret-sport?ProductID=224318&amp;CatalogueType=OLS&amp;cqo=true&amp;cqoCat=KY</t>
  </si>
  <si>
    <t>KY-326-128</t>
  </si>
  <si>
    <t>Black/Black Orchid Dash Marl (6R2)</t>
  </si>
  <si>
    <t>https://www.victoriassecret.com/clearance/swim/low-rise-bottom-very-sexy?ProductID=187974&amp;CatalogueType=OLS</t>
  </si>
  <si>
    <t>LT-320-152</t>
  </si>
  <si>
    <t>https://www.victoriassecret.com/sale/swim/ruched-hipkini-beach-sexy?ProductID=222657&amp;CatalogueType=OLS</t>
  </si>
  <si>
    <t>JH-325-998</t>
  </si>
  <si>
    <t>White Paisley (4SX)</t>
  </si>
  <si>
    <t>https://www.victoriassecret.com/clearance/bras/cutout-back-push-up-bra-very-sexy?ProductID=220688&amp;CatalogueType=OLS</t>
  </si>
  <si>
    <t>LT-324-510</t>
  </si>
  <si>
    <t>Black (48s)</t>
  </si>
  <si>
    <t>https://www.victoriassecret.com/clearance/bras/perfect-lace-strapless-bra-pink?ProductID=193602&amp;CatalogueType=OLS</t>
  </si>
  <si>
    <t>LT-319-530</t>
  </si>
  <si>
    <t xml:space="preserve">32A </t>
  </si>
  <si>
    <t>ВЫКУПЛЕНО 12 МАРТА</t>
  </si>
  <si>
    <t>Order Date: 03/20/2015</t>
  </si>
  <si>
    <t>Ольга 570</t>
  </si>
  <si>
    <t>https://www.victoriassecret.com/beauty/all-makeup/shiny-kiss-flavored-gloss-beauty-rush?ProductID=228348&amp;CatalogueType=OLS</t>
  </si>
  <si>
    <t>LL-312-885</t>
  </si>
  <si>
    <t>Sugar High (LK3)</t>
  </si>
  <si>
    <t>Mocktail Hour (L43)</t>
  </si>
  <si>
    <t>Haute Cocoa (D70)</t>
  </si>
  <si>
    <t>Candy Baby (06G)</t>
  </si>
  <si>
    <t>https://www.victoriassecret.com/beauty/all-makeup/soothing-lip-balm-beauty-rush?ProductID=235259&amp;CatalogueType=OLS</t>
  </si>
  <si>
    <t>LM-331-922</t>
  </si>
  <si>
    <t>Tinted (38E)</t>
  </si>
  <si>
    <t>https://www.victoriassecret.com/beauty/makeup-specials/shiny-kiss-flavored-gloss-beauty-rush?ProductID=182630&amp;CatalogueType=OLS</t>
  </si>
  <si>
    <t>LM-312-885</t>
  </si>
  <si>
    <t>Taffy Go Lucky (048)</t>
  </si>
  <si>
    <t>ludmilka17</t>
  </si>
  <si>
    <t>Citrus Kissed (2BE)</t>
  </si>
  <si>
    <t>https://www.victoriassecret.com/beauty/all-makeup/color-shine-gloss-beauty-rush?ProductID=234689&amp;CatalogueType=OLS</t>
  </si>
  <si>
    <t>LM-318-814 </t>
  </si>
  <si>
    <t>Peek-A-Boo (997)</t>
  </si>
  <si>
    <t>https://www.victoriassecret.com/beauty/all-makeup/shiny-kiss-flavored-gloss-beauty-rush?ProductID=228350&amp;CatalogueType=OLS</t>
  </si>
  <si>
    <t>Razzberry Ice (J15)</t>
  </si>
  <si>
    <t>https://www.victoriassecret.com/beauty/all-makeup/lip-plumper-beauty-rush?ProductID=235266&amp;CatalogueType=OLS</t>
  </si>
  <si>
    <t>LM-331-933</t>
  </si>
  <si>
    <t>Clear/Pink (250)</t>
  </si>
  <si>
    <t>Estimated Ship: March 25</t>
  </si>
  <si>
    <t>https://www.victoriassecret.com/swimwear/shop-by-size/the-fringe-itsy-beach-sexy?ProductID=220505&amp;CatalogueType=OLS</t>
  </si>
  <si>
    <t xml:space="preserve">LM-329-680 </t>
  </si>
  <si>
    <t>https://www.victoriassecret.com/sleepwear/pajamas/tank-pajama-set-signature-cotton?ProductID=229287&amp;CatalogueType=OLS</t>
  </si>
  <si>
    <t>LM-332-038</t>
  </si>
  <si>
    <t>Jet Stream Blue Angel (K94)</t>
  </si>
  <si>
    <t>sashulya.m</t>
  </si>
  <si>
    <t>https://www.victoriassecret.com/swimwear/shop-by-size/the-fabulous-top-beach-sexy?ProductID=235513&amp;CatalogueType=OLS</t>
  </si>
  <si>
    <t>LM-333-334</t>
  </si>
  <si>
    <t>34D</t>
  </si>
  <si>
    <t>Black (7KV)</t>
  </si>
  <si>
    <t>LM-324-651</t>
  </si>
  <si>
    <t>Estimated Ship: April 3</t>
  </si>
  <si>
    <t>https://www.victoriassecret.com/panties/5-for-27-styles/lace-trim-meshcheekster-panty-pink?ProductID=229795&amp;CatalogueType=OLS</t>
  </si>
  <si>
    <t>LM-330-410</t>
  </si>
  <si>
    <t>Blue Blaze (J98)</t>
  </si>
  <si>
    <t>https://www.victoriassecret.com/panties/5-for-27-styles/lace-waist-cheekini-panty-cotton-lingerie?ProductID=237629&amp;CatalogueType=OLS</t>
  </si>
  <si>
    <t>LM-323-326</t>
  </si>
  <si>
    <t>Pirouette Pink Dot Mesh (048)</t>
  </si>
  <si>
    <t>@lisa</t>
  </si>
  <si>
    <t>https://www.victoriassecret.com/panties/5-for-27-styles/bikini-panty-cotton-lingerie?ProductID=227815&amp;CatalogueType=OLS</t>
  </si>
  <si>
    <t>LM-315-136</t>
  </si>
  <si>
    <t>Angel Graphic (3V3)</t>
  </si>
  <si>
    <t>https://www.victoriassecret.com/panties/5-for-27-styles/curved-hem-hipster-panty-pink?ProductID=225140&amp;CatalogueType=OLS</t>
  </si>
  <si>
    <t>LM-327-639 </t>
  </si>
  <si>
    <t>Grey And Lemon (BW8)</t>
  </si>
  <si>
    <t>https://www.victoriassecret.com/panties/5-for-27-styles/seamless-bikini-panty-pink?ProductID=229798&amp;CatalogueType=OLS</t>
  </si>
  <si>
    <t>LM-321-903</t>
  </si>
  <si>
    <t>Blue Tie Dye (65N)</t>
  </si>
  <si>
    <t>https://www.victoriassecret.com/panties/5-for-27-styles/strappy-v-string-panty-pink?ProductID=209187&amp;CatalogueType=OLS</t>
  </si>
  <si>
    <t>LM-328-664</t>
  </si>
  <si>
    <t>LM-327-638</t>
  </si>
  <si>
    <t>https://www.victoriassecret.com/panties/5-for-27-styles/lace-trim-hipster-panty-pink?ProductID=225152&amp;CatalogueType=OLS</t>
  </si>
  <si>
    <t>LM-327-640</t>
  </si>
  <si>
    <t>Mistletoe Green (2GE)</t>
  </si>
  <si>
    <t>LM-325-756</t>
  </si>
  <si>
    <t>Deep Turquoise (48R)</t>
  </si>
  <si>
    <t>Bahama Blue Dot Mesh (2VV)</t>
  </si>
  <si>
    <t>Limeade Dot Mesh (26N)</t>
  </si>
  <si>
    <t>olgakmr</t>
  </si>
  <si>
    <t>https://www.victoriassecret.com/panties/5-for-27-styles/lace-thong-panty-pink?ProductID=229804&amp;CatalogueType=OLS</t>
  </si>
  <si>
    <t>LM-332-325 </t>
  </si>
  <si>
    <t>Firecracker Red (L74)</t>
  </si>
  <si>
    <t>https://www.victoriassecret.com/panties/5-for-27-styles/itsy-panty-cotton-lingerie?ProductID=237799&amp;CatalogueType=OLS</t>
  </si>
  <si>
    <t>LM-326-924</t>
  </si>
  <si>
    <t>Hot And Spicy (S48)</t>
  </si>
  <si>
    <t>sde_eds</t>
  </si>
  <si>
    <t>https://www.victoriassecret.com/panties/5-for-27-styles/lace-waist-thong-panty-cotton-lingerie?ProductID=227342&amp;CatalogueType=OLS</t>
  </si>
  <si>
    <t>LM-313-901</t>
  </si>
  <si>
    <t>Order Date: 03/23/2015</t>
  </si>
  <si>
    <t>https://www.victoriassecret.com/bras/t-shirt-bra/perfect-shape-bra-the-t-shirt?ProductID=236888&amp;CatalogueType=OLS</t>
  </si>
  <si>
    <t>LM-333-346</t>
  </si>
  <si>
    <t>Watermelon Punch Stripe (AD4)</t>
  </si>
  <si>
    <t>https://www.victoriassecret.com/panties/5-for-27-styles/low-rise-bikini-panty-cotton-lingerie?ProductID=231878&amp;CatalogueType=OLS</t>
  </si>
  <si>
    <t>LM-313-899</t>
  </si>
  <si>
    <t>Palm Beach (3J7)</t>
  </si>
  <si>
    <t>https://www.victoriassecret.com/panties/5-for-27-styles/lace-waist-bikini-panty-cotton-lingerie?ProductID=227324&amp;CatalogueType=OLS</t>
  </si>
  <si>
    <t>LM-313-900 </t>
  </si>
  <si>
    <t>https://www.victoriassecret.com/panties/5-for-27-styles/lace-waist-cheeky-panty-cotton-lingerie?ProductID=237643&amp;CatalogueType=OLS</t>
  </si>
  <si>
    <t>LM-333-402</t>
  </si>
  <si>
    <t>Hot And Spicy Dot Lace (S48)</t>
  </si>
  <si>
    <t>Oksana_Val</t>
  </si>
  <si>
    <t>https://www.victoriassecret.com/sale/panties-special/lace-waist-cheeky-panty-cotton-lingerie?ProductID=228002&amp;CatalogueType=OLS</t>
  </si>
  <si>
    <t>LM-304-353</t>
  </si>
  <si>
    <t>Hot Tropics (847)</t>
  </si>
  <si>
    <t>Something About Polly (3XF)</t>
  </si>
  <si>
    <t>Pink Iconic Stripe (3UZ)</t>
  </si>
  <si>
    <t>Grey And Lemon (Y95)</t>
  </si>
  <si>
    <t>https://www.victoriassecret.com/panties/5-for-27-styles/hiphugger-panty-cotton-lingerie?ProductID=230930&amp;CatalogueType=OLS</t>
  </si>
  <si>
    <t>LM-313-838</t>
  </si>
  <si>
    <t>Solar Stripe (3V5)</t>
  </si>
  <si>
    <t>https://www.victoriassecret.com/panties/5-for-27-styles/low-rise-bloomer-panty-cotton-lingerie?ProductID=238029&amp;CatalogueType=OLS</t>
  </si>
  <si>
    <t>LM-323-778 </t>
  </si>
  <si>
    <t>Pineapples Print (G28)</t>
  </si>
  <si>
    <t>https://www.victoriassecret.com/panties/5-for-27-styles/lace-waist-brief-panty-cotton-lingerie?ProductID=237516&amp;CatalogueType=OLS</t>
  </si>
  <si>
    <t>LM-313-902 </t>
  </si>
  <si>
    <t>Grey Stripe (3SB)</t>
  </si>
  <si>
    <t>https://www.victoriassecret.com/clothing/all-tops-c/the-essential-bra-top-cami?ProductID=33437&amp;CatalogueType=OLS</t>
  </si>
  <si>
    <t>LM-257-222</t>
  </si>
  <si>
    <t>Reef Waters (74S)</t>
  </si>
  <si>
    <t>флинстоны</t>
  </si>
  <si>
    <t>LL-256-943 </t>
  </si>
  <si>
    <t>True Navy (69T)</t>
  </si>
  <si>
    <t>https://www.victoriassecret.com/bras/buy-more-and-save-bras/perfect-coverage-bra-sexy-tee?ProductID=237205&amp;CatalogueType=OLS</t>
  </si>
  <si>
    <t>LM-301-415</t>
  </si>
  <si>
    <t>32DD</t>
  </si>
  <si>
    <t>Seychelles Blue (2AV)</t>
  </si>
  <si>
    <t>https://www.victoriassecret.com/panties/5-for-27-styles/curved-hem-hipster-panty-pink?ProductID=221255&amp;CatalogueType=OLS</t>
  </si>
  <si>
    <t>LM-327-639</t>
  </si>
  <si>
    <t>Peach Aloha (S59)</t>
  </si>
  <si>
    <t>Blue Multi Tie Dye (2CN)</t>
  </si>
  <si>
    <t>https://www.victoriassecret.com/panties/5-for-27-styles/all-over-geo-lace-thong-panty-pink?ProductID=232203&amp;CatalogueType=OLS</t>
  </si>
  <si>
    <t>LM-333-691</t>
  </si>
  <si>
    <t>Mint (5UU)</t>
  </si>
  <si>
    <t>Ksuhaa</t>
  </si>
  <si>
    <t>https://www.victoriassecret.com/sale/panties-special/lace-trim-mesh-cheekster-panty-pink?ProductID=229795&amp;CatalogueType=OLS</t>
  </si>
  <si>
    <t>LM-330-410 </t>
  </si>
  <si>
    <t>Kiss_yul</t>
  </si>
  <si>
    <t>LM-333-690</t>
  </si>
  <si>
    <t>Mint With Green (BL1)</t>
  </si>
  <si>
    <t>https://www.victoriassecret.com/panties/5-for-27-styles/lace-waist-bikini-panty-cotton-lingerie?ProductID=227324&amp;CatalogueType=OLS,LM-313-900</t>
  </si>
  <si>
    <t>LM-313-900</t>
  </si>
  <si>
    <t>Swell Leopard Print (3TZ)</t>
  </si>
  <si>
    <t>https://www.victoriassecret.com/panties/5-for-27-styles/lace-waist-cheeky-panty-cotton-lingerie?ProductID=237643&amp;CatalogueType=OLS,LM-304-353,</t>
  </si>
  <si>
    <t>Ffa4</t>
  </si>
  <si>
    <t>https://www.victoriassecret.com/panties/5-for-27-styles/thong-panty-allover-lace-from-cotton-lingerie?ProductID=237601&amp;CatalogueType=OLS</t>
  </si>
  <si>
    <t>LM-313-836</t>
  </si>
  <si>
    <t>Limeade (26N)</t>
  </si>
  <si>
    <t>https://www.victoriassecret.com/panties/5-for-27-styles/the-date-no-show-thong-panty-pink?ProductID=229055&amp;CatalogueType=OLS,</t>
  </si>
  <si>
    <t>LM-332-255</t>
  </si>
  <si>
    <t>Pink (5PH)</t>
  </si>
  <si>
    <t>https://www.victoriassecret.com/panties/5-for-27-styles/lace-waist-cheeky-panty-cotton-lingerie?ProductID=228002&amp;CatalogueType=OLS,</t>
  </si>
  <si>
    <t>Hot And Spicy Zig Zag (39J)</t>
  </si>
  <si>
    <t>https://www.victoriassecret.com/panties/5-for-27-styles/lace-waist-hiphugger-panty-cotton-lingerie?ProductID=227332&amp;CatalogueType=OLS</t>
  </si>
  <si>
    <t>LM-329-770</t>
  </si>
  <si>
    <t>LM-307-167</t>
  </si>
  <si>
    <t>Wild Thing (3ZA)</t>
  </si>
  <si>
    <t>https://www.victoriassecret.com/panties/5-for-27-styles/bikini-panty-allover-lace-from-cotton-lingerie?ProductID=237609&amp;CatalogueType=OLS</t>
  </si>
  <si>
    <t>LM-313-831</t>
  </si>
  <si>
    <t>Boho Hot Tropics (3XT)</t>
  </si>
  <si>
    <t>ВЫКУПЛЕНО 20 МАРТА</t>
  </si>
  <si>
    <t>ВЫКУПЛЕНО 23 МАРТА</t>
  </si>
  <si>
    <t>Estimated Ship: March 29</t>
  </si>
  <si>
    <t>Estimated Ship: May 31</t>
  </si>
  <si>
    <t>Estimated Ship: March 22</t>
  </si>
  <si>
    <t>Order Date: 03/28/2015</t>
  </si>
  <si>
    <t>https://www.victoriassecret.com/sale/vs-fantasies-bodycare-special/strawberries-champagne-daily-body-wash-vs-fantasies?ProductID=154926&amp;CatalogueType=OLS</t>
  </si>
  <si>
    <t>LM-317-835</t>
  </si>
  <si>
    <t>Strawberries And Champagne (797)</t>
  </si>
  <si>
    <t>https://www.victoriassecret.com/sale/vs-fantasies-bodycare-special/strawberries-champagne-hydrating-body-lotion-vs-fantasies?ProductID=154869&amp;CatalogueType=OLS</t>
  </si>
  <si>
    <t>LM-317-776</t>
  </si>
  <si>
    <t>DelphY</t>
  </si>
  <si>
    <t>https://www.victoriassecret.com/sale/vs-fantasies-bodycare-special/love-spell-ultra-moisturizing-hand-and-body-cream-vs-fantasies?ProductID=166487&amp;CatalogueType=OLS</t>
  </si>
  <si>
    <t>LM-320-371</t>
  </si>
  <si>
    <t>https://www.victoriassecret.com/sale/vs-fantasies-bodycare-special/strawberries-champagne-ultra-moisturizing-hand-and-body-cream-vs-fantasies?ProductID=154895&amp;CatalogueType=OLS</t>
  </si>
  <si>
    <t>LM-317-796</t>
  </si>
  <si>
    <t>https://www.victoriassecret.com/sale/vs-fantasies-bodycare-special/aqua-kiss-ultra-moisturizing-hand-and-body-cream-vs-fantasies?ProductID=154889&amp;CatalogueType=OLS</t>
  </si>
  <si>
    <t>LM-317-799</t>
  </si>
  <si>
    <t>Estimated Ship: Jun 3</t>
  </si>
  <si>
    <t>https://www.victoriassecret.com/sale/vs-fantasies-bodycare-special/sunrise-hydrating-body-lotion-vs-fantasies?ProductID=236968&amp;CatalogueType=OLS</t>
  </si>
  <si>
    <t>LM-340-271 </t>
  </si>
  <si>
    <t>Sunrise (4B6)</t>
  </si>
  <si>
    <t>https://www.victoriassecret.com/bras/push-up/push-up-bra-very-sexy?ProductID=237966&amp;CatalogueType=OLS</t>
  </si>
  <si>
    <t>LM-332-165</t>
  </si>
  <si>
    <t>Black Lace Up (372)</t>
  </si>
  <si>
    <t>https://www.victoriassecret.com/sale/bottoms/the-most-loved-yoga-legging?ProductID=234619&amp;CatalogueType=OLS</t>
  </si>
  <si>
    <t>LM-337-512</t>
  </si>
  <si>
    <t>S.L</t>
  </si>
  <si>
    <t>Snow Heather/Neon Nectar Graphic (7D5)</t>
  </si>
  <si>
    <t>https://www.victoriassecret.com/beauty/vs-fantasies-bodycare-specials/love-spell-smoothing-body-scrub-vs-fantasies?ProductID=166546&amp;CatalogueType=OLS</t>
  </si>
  <si>
    <t>LM-320-383</t>
  </si>
  <si>
    <t>Estimated Ship: April 23</t>
  </si>
  <si>
    <t>https://www.victoriassecret.com/beauty/vs-fantasies-bodycare-specials/pure-seduction-body-smoothing-body-scrub-vs-fantasies?ProductID=166545&amp;CatalogueType=OLS</t>
  </si>
  <si>
    <t>LM-320-384</t>
  </si>
  <si>
    <t>https://www.victoriassecret.com/beauty/vs-fantasies-bodycare-specials/love-addict-smoothing-body-scrub-vs-fantasies?ProductID=225400&amp;CatalogueType=OLS</t>
  </si>
  <si>
    <t>LM-335-619</t>
  </si>
  <si>
    <t>https://www.victoriassecret.com/beauty/pink-body-care-specials/coconut-oil-nourishing-shower-gel-pink?ProductID=235328&amp;CatalogueType=OLS</t>
  </si>
  <si>
    <t>LM-332-438</t>
  </si>
  <si>
    <t>Coconut Oil (21G)</t>
  </si>
  <si>
    <t>https://www.victoriassecret.com/beauty/pink-body-care-specials/total-flirt-2-in-1-wash-scrub-pink?ProductID=170144&amp;CatalogueType=OLS</t>
  </si>
  <si>
    <t>LM-321-150</t>
  </si>
  <si>
    <t>Total Flirt (22U)</t>
  </si>
  <si>
    <t>https://www.victoriassecret.com/beauty/pink-body-care-specials/sweet-flirty-body-2-in-1-wash-scrub-pink?ProductID=170132&amp;CatalogueType=OLS</t>
  </si>
  <si>
    <t>LM-321-147</t>
  </si>
  <si>
    <t>Sweet And Flirty (M59)</t>
  </si>
  <si>
    <t>margarita3434</t>
  </si>
  <si>
    <t>https://www.victoriassecret.com/beauty/pink-body-care-specials/total-flirt-luminous-body-butter-pink?ProductID=170154&amp;CatalogueType=OLS</t>
  </si>
  <si>
    <t>LM-321-161 </t>
  </si>
  <si>
    <t>mitsuoke</t>
  </si>
  <si>
    <t>https://www.victoriassecret.com/panties/5-for-27-styles/thong-panty-allover-lace-from-cotton-lingerie?ProductID=227304&amp;CatalogueType=OLS</t>
  </si>
  <si>
    <t>Nude (608)</t>
  </si>
  <si>
    <t>Jet Stream (K94)</t>
  </si>
  <si>
    <t>https://www.victoriassecret.com/sale/bras-special/demi-bra-cotton-lingerie?ProductID=228634&amp;CatalogueType=OLS</t>
  </si>
  <si>
    <t>LM-340-755</t>
  </si>
  <si>
    <t>Heather Grey Mesh (3T8)</t>
  </si>
  <si>
    <t>https://www.victoriassecret.com/panties/5-for-27-styles/heart-lace-ruched-back-hiphugger-panty-cotton-lingerie?ProductID=240619&amp;CatalogueType=OLS</t>
  </si>
  <si>
    <t>LM-313-873</t>
  </si>
  <si>
    <t>https://www.victoriassecret.com/sale/tops-and-tees/oversized-tunic-fleece?ProductID=233883&amp;CatalogueType=OLS</t>
  </si>
  <si>
    <t>LM-337-352</t>
  </si>
  <si>
    <t>Snow Heather/Beach Repeat (7CJ)</t>
  </si>
  <si>
    <t>ВЫКУПЛЕНО 28 МАРТА</t>
  </si>
  <si>
    <t>Order Date: 03/31/2015</t>
  </si>
  <si>
    <t>https://www.victoriassecret.com//sale/beauty/color-shine-gloss-beauty-rush?ProductID=199353&amp;CatalogueType=OLS&amp;search=true</t>
  </si>
  <si>
    <t>LM-318-814</t>
  </si>
  <si>
    <t>Polinna</t>
  </si>
  <si>
    <t>LM-330-055</t>
  </si>
  <si>
    <t>Illusion Blue Double Strap (3KW)</t>
  </si>
  <si>
    <t>Estimated Ship: April 4</t>
  </si>
  <si>
    <t>Leksandra</t>
  </si>
  <si>
    <t>LM-312-553</t>
  </si>
  <si>
    <t>XL</t>
  </si>
  <si>
    <t>LM-293-506</t>
  </si>
  <si>
    <t>Escape Stripe (7DX)</t>
  </si>
  <si>
    <t>LM-324-929</t>
  </si>
  <si>
    <t>kustik</t>
  </si>
  <si>
    <t>https://www.victoriassecret.com/clearance/shoesandaccessories/pocket-tote-victorias-secret?ProductID=233062&amp;CatalogueType=OLS</t>
  </si>
  <si>
    <t>LV-322-466</t>
  </si>
  <si>
    <t>Multi (099)</t>
  </si>
  <si>
    <t>Order Date: 04/01/2015</t>
  </si>
  <si>
    <t>https://www.victoriassecret.com/victorias-secret-sport/sports-bras/angel-by-victorias-secret-long-line-sport-bra-victorias-secret-sport?ProductID=235676&amp;CatalogueType=OLS&amp;swatchImage=5SG</t>
  </si>
  <si>
    <t>LM-333-932</t>
  </si>
  <si>
    <t>Grey Palm (5SG)</t>
  </si>
  <si>
    <t>Rasha</t>
  </si>
  <si>
    <t>https://www.victoriassecret.com/swimwear/bikini-bottoms/ruchedmini-bikini-bottom-pink?ProductID=237589&amp;CatalogueType=OLS</t>
  </si>
  <si>
    <t>LM-303-332</t>
  </si>
  <si>
    <t>Black (405)</t>
  </si>
  <si>
    <t>https://www.victoriassecret.com/sale/pink-wear-everywhere/wear-everywhere-lightly-lined-bra-pink?ProductID=236629&amp;CatalogueType=OLS</t>
  </si>
  <si>
    <t>LM-282-109</t>
  </si>
  <si>
    <t>Heather Grey (166)</t>
  </si>
  <si>
    <t>https://www.victoriassecret.com/swimwear/hipster/the-knockout-bikini-beach-sexy?ProductID=210305&amp;CatalogueType=OLS</t>
  </si>
  <si>
    <t>LM-293-957</t>
  </si>
  <si>
    <t>Rich Grape (5ZF)</t>
  </si>
  <si>
    <t>https://www.victoriassecret.com/swimwear/bandeau/the-knockout-bandeau-very-sexy?ProductID=236426&amp;CatalogueType=OLS</t>
  </si>
  <si>
    <t>LM-292-940 </t>
  </si>
  <si>
    <t>https://www.victoriassecret.com/bras/shop-all-bras/lace-trim-cheekini-panty-dream-angels?ProductID=233482&amp;CatalogueType=OLS</t>
  </si>
  <si>
    <t>LM-325-291</t>
  </si>
  <si>
    <t>Illusion Blue (49T)</t>
  </si>
  <si>
    <t>https://www.victoriassecret.com/bras/shop-all-bras/lace-trim-thong-panty-dream-angels?ProductID=225585&amp;CatalogueType=OLS</t>
  </si>
  <si>
    <t>LM-325-298</t>
  </si>
  <si>
    <t>katya7</t>
  </si>
  <si>
    <t>https://www.victoriassecret.com/bras/2-for-42-victorias-secret-pink/wear-everywhere-push-up-bra-pink?ProductID=236626&amp;CatalogueType=OLS</t>
  </si>
  <si>
    <t>LM-336-862</t>
  </si>
  <si>
    <t>Indigo Print (GE0)</t>
  </si>
  <si>
    <t>https://www.victoriassecret.com/bras/2-for-42-victorias-secret-pink/wear-everywhere-t-back-push-up-bra-pink?ProductID=208668&amp;CatalogueType=OLS</t>
  </si>
  <si>
    <t>LM-303-388</t>
  </si>
  <si>
    <t>https://www.victoriassecret.com/sale/panties-special/no-show-cheekster-panty-pink?ProductID=193077&amp;CatalogueType=OLS</t>
  </si>
  <si>
    <t>LM-322-443</t>
  </si>
  <si>
    <t>Naked Marled (LD8)</t>
  </si>
  <si>
    <t>Estimated Ship: April 13</t>
  </si>
  <si>
    <t>https://www.victoriassecret.com/sale/panties-special/string-bikini-panty-cotton-lingerie?ProductID=227848&amp;CatalogueType=OLS</t>
  </si>
  <si>
    <t>LM-313-897</t>
  </si>
  <si>
    <t>White Print (123)</t>
  </si>
  <si>
    <t>Buff (L91)</t>
  </si>
  <si>
    <t>https://www.victoriassecret.com/panties/5-for-27-styles/lace-trim-cheekster-panty-pink?ProductID=229802&amp;CatalogueType=OLS</t>
  </si>
  <si>
    <t>LM-327-638 </t>
  </si>
  <si>
    <t>VeryVera</t>
  </si>
  <si>
    <t>https://www.victoriassecret.com/clearance/swim/the-forever-lowrise-forever-sexy?ProductID=234769&amp;CatalogueType=OLS&amp;swatchImage=V41696</t>
  </si>
  <si>
    <t>LV-331-164</t>
  </si>
  <si>
    <t>https://www.victoriassecret.com/clearance/swim/strappy-string-bottom-very-sexy?ProductID=209146&amp;CatalogueType=OLS</t>
  </si>
  <si>
    <t>LV-306-558 </t>
  </si>
  <si>
    <t>Blue Geo Stripe (5ZA)</t>
  </si>
  <si>
    <t>https://www.victoriassecret.com/clearance/swim/convertible-halter-top-forever-sexy?ProductID=181758&amp;CatalogueType=OLS&amp;swatchImage=V396387</t>
  </si>
  <si>
    <t>LV-316-636</t>
  </si>
  <si>
    <t>ВЫКУПЛЕНО 31 МАРТА</t>
  </si>
  <si>
    <t>ВЫКУПЛЕНО 1 АПРЕЛЯ</t>
  </si>
  <si>
    <t>Order Date: 04/09/2015</t>
  </si>
  <si>
    <t>Тишина</t>
  </si>
  <si>
    <t>https://www.victoriassecret.com/clothing/yoga-pants-leggings/the-most-loved-yoga-pant?ProductID=224574&amp;CatalogueType=OLS</t>
  </si>
  <si>
    <t>LM-290-289</t>
  </si>
  <si>
    <t>Heather Charcoal/Front Pink Wings (7C7)</t>
  </si>
  <si>
    <t>terrii</t>
  </si>
  <si>
    <t>https://www.victoriassecret.com/sale/yoga-pants-and-leggings/the-most-loved-yoga-pant?ProductID=228499&amp;CatalogueType=OLS</t>
  </si>
  <si>
    <t>https://www.victoriassecret.com/sale/swim/crisscross-triangle-top-beach-sexy?ProductID=204681&amp;CatalogueType=OLS</t>
  </si>
  <si>
    <t>LM-313-279 </t>
  </si>
  <si>
    <t>Berry Gelato (4SM)</t>
  </si>
  <si>
    <t xml:space="preserve">Вечно влюблённая </t>
  </si>
  <si>
    <t>https://www.victoriassecret.com/beauty/vs-fantasies-bodycare-specials/coconut-passion-ultra-moisturizing-hand-and-body-cream-vs-fantasies?ProductID=154884&amp;CatalogueType=OLS</t>
  </si>
  <si>
    <t>LM-317-793</t>
  </si>
  <si>
    <t>Coconut Passion (34G)</t>
  </si>
  <si>
    <t>https://www.victoriassecret.com/sale/vs-fantasies-bodycare-special/aqua-kiss-hydrating-body-lotion-vs-fantasies?ProductID=154872&amp;CatalogueType=OLS</t>
  </si>
  <si>
    <t>LM-317-779</t>
  </si>
  <si>
    <t>Estimated Ship: Jun 11</t>
  </si>
  <si>
    <t>https://www.victoriassecret.com/sale/vs-fantasies-bodycare-special/secret-charm-ultra-moisturizing-hand-and-body-cream-vs-fantasies?ProductID=154886&amp;CatalogueType=OLS</t>
  </si>
  <si>
    <t>LM-317-790</t>
  </si>
  <si>
    <t>https://www.victoriassecret.com/beauty/vs-fantasies-bodycare-specials/love-addict-cleansing-shower-and-bath-oil-vs-fantasies?ProductID=225089&amp;CatalogueType=OLS</t>
  </si>
  <si>
    <t>LM-335-621 </t>
  </si>
  <si>
    <t>https://www.victoriassecret.com/beauty/vs-fantasies-bodycare-specials/pure-seduction-daily-body-wash-vs-fantasies?ProductID=166494&amp;CatalogueType=OLS</t>
  </si>
  <si>
    <t>LM-320-378</t>
  </si>
  <si>
    <t>https://www.victoriassecret.com/beauty/vs-fantasies-bodycare-specials/pure-seduction-deep-softening-body-butter-vs-fantasies?ProductID=166527&amp;CatalogueType=OLS</t>
  </si>
  <si>
    <t>LM-320-381</t>
  </si>
  <si>
    <t>Вечно влюблённая</t>
  </si>
  <si>
    <t>https://www.victoriassecret.com/sale/vs-fantasies-bodycare-special/coconut-passion-daily-body-wash-vs-fantasies?ProductID=154927&amp;CatalogueType=OLS</t>
  </si>
  <si>
    <t>LM-317-833</t>
  </si>
  <si>
    <t>https://www.victoriassecret.com/sale/vs-fantasies-bodycare-special/amber-romance-deep-softening-body-butter-vs-fantasies?ProductID=154943&amp;CatalogueType=OLS</t>
  </si>
  <si>
    <t>LM-317-843</t>
  </si>
  <si>
    <t>Estimated Ship: Apr 16</t>
  </si>
  <si>
    <t>LM-335-618</t>
  </si>
  <si>
    <t>LM-317-848</t>
  </si>
  <si>
    <t>https://www.victoriassecret.com/sale/beauty/glossy-tint-lip-sheen-beauty-rush?ProductID=165145&amp;CatalogueType=OLS</t>
  </si>
  <si>
    <t>LM-312-896</t>
  </si>
  <si>
    <t>Boudoir Pink (A10)</t>
  </si>
  <si>
    <t>LC-320-380</t>
  </si>
  <si>
    <t>Escape (3c3)</t>
  </si>
  <si>
    <t>Surfside (49m)</t>
  </si>
  <si>
    <t>Paradise (g93)</t>
  </si>
  <si>
    <t>Sunrise (4b6)</t>
  </si>
  <si>
    <t>Miss_mikki</t>
  </si>
  <si>
    <t>https://www.victoriassecret.com/pink/shop-swim/strappy-side-mini-bikini-bottom-pink?ProductID=237784&amp;CatalogueType=OLS</t>
  </si>
  <si>
    <t>LM-327-825</t>
  </si>
  <si>
    <t>Under The Sea (S81)</t>
  </si>
  <si>
    <t>https://www.victoriassecret.com/beauty/gift-sets/summer-2015-flavored-gloss-set-beauty-rush?ProductID=235256&amp;CatalogueType=OLS</t>
  </si>
  <si>
    <t>LM-331-888</t>
  </si>
  <si>
    <t>https://www.victoriassecret.com/panties/4-for-29-styles/seamless-little-cheekini-panty-body-by-victoria?ProductID=226315&amp;CatalogueType=OLS</t>
  </si>
  <si>
    <t>LM-327-293 </t>
  </si>
  <si>
    <t>Ruby Wine Lace Inset (GG2)</t>
  </si>
  <si>
    <t>LM-309-370</t>
  </si>
  <si>
    <t>Pale Plum Lace (K90)</t>
  </si>
  <si>
    <t>https://www.victoriassecret.com//panties/shop-all-panties-mobile/low-rise-cheekini-panty-the-lacie?ProductID=228142&amp;CatalogueType=OLS&amp;search=true</t>
  </si>
  <si>
    <t>Cool Aussie Sky (2P9)</t>
  </si>
  <si>
    <t>https://www.victoriassecret.com/clearance/bras/add-2-cups-push-up-bra-bombshell?ProductID=120934&amp;CatalogueType=OLS</t>
  </si>
  <si>
    <t>LV-301-527</t>
  </si>
  <si>
    <t>Winterberry Embellished (P86)</t>
  </si>
  <si>
    <t>Schnurok</t>
  </si>
  <si>
    <t>https://www.victoriassecret.com/catalogue/catalogue/the-player-by-victoriarsquos-secret-racerback-sport-bra-victorias-secret-sport?ProductID=219180&amp;CatalogueType=OLS&amp;cqo=true&amp;cqoCat=KV</t>
  </si>
  <si>
    <t>KV-306-187</t>
  </si>
  <si>
    <t>Black/White Linear (4H7)</t>
  </si>
  <si>
    <t>DMarinaV</t>
  </si>
  <si>
    <t>https://www.victoriassecret.com/clearance/panties/hiphugger-panty-the-lacie?ProductID=158965&amp;CatalogueType=OLS</t>
  </si>
  <si>
    <t>LV-312-717 </t>
  </si>
  <si>
    <t>ВЫКУПЛЕНО 9 АПРЕЛЯ</t>
  </si>
  <si>
    <t>https://www.victoriassecret.com/sale/yoga-pants-and-leggings/the-most-loved-yoga-legging?ProductID=224602&amp;CatalogueType=OLS</t>
  </si>
  <si>
    <t>https://www.victoriassecret.com/clothing/shop-all/side-tie-tank-vintage-tees?ProductID=218836&amp;CatalogueType=OLS</t>
  </si>
  <si>
    <t>aviation</t>
  </si>
  <si>
    <t>https://www.victoriassecret.com/sale/panties/hiphugger-panty-cotton-lingerie?ProductID=231950&amp;CatalogueType=OLS</t>
  </si>
  <si>
    <t>https://www.victoriassecret.com/swimwear/shop-by-size/the-knockout-bandeau-forever-sexy?ProductID=205401&amp;CatalogueType=OLS</t>
  </si>
  <si>
    <t>Madly Melon (6UC) </t>
  </si>
  <si>
    <t>Ikat Paisley (6X9) </t>
  </si>
  <si>
    <t>Order Date: 04/16/2015</t>
  </si>
  <si>
    <t>LC-332-769</t>
  </si>
  <si>
    <t>Black/Hello Lovely/Black Pearl (3NV)</t>
  </si>
  <si>
    <t>LC-328-999</t>
  </si>
  <si>
    <t>Solar Sorbet (6VY)</t>
  </si>
  <si>
    <t>LC-293-493 </t>
  </si>
  <si>
    <t>LC-324-931</t>
  </si>
  <si>
    <t>LC-318-616 </t>
  </si>
  <si>
    <t>Mini Leopard Print Mix (DI9)</t>
  </si>
  <si>
    <t>LC-336-866</t>
  </si>
  <si>
    <t>LC-322-443</t>
  </si>
  <si>
    <t>Barbari$</t>
  </si>
  <si>
    <t>https://www.victoriassecret.com/panties/5-for-27-styles/lace-waist-hiphugger-panty-cotton-lingerie?ProductID=237192&amp;CatalogueType=OLS</t>
  </si>
  <si>
    <t>LC-327-959</t>
  </si>
  <si>
    <t>https://www.victoriassecret.com/panties/5-for-27-styles/low-rise-bikini-panty-cotton-lingerie?ProductID=237570&amp;CatalogueType=OLS</t>
  </si>
  <si>
    <t>LC-313-899</t>
  </si>
  <si>
    <t>Heather Grey (Q10)</t>
  </si>
  <si>
    <t>https://www.victoriassecret.com/panties/5-for-27-styles/modal-super-soft-cheeky-panty?ProductID=237224&amp;CatalogueType=OLS</t>
  </si>
  <si>
    <t>LC-334-067</t>
  </si>
  <si>
    <t>julia31</t>
  </si>
  <si>
    <t>https://www.victoriassecret.com/panties/5-for-27-styles/knot-it-hiphugger-panty-cotton-lingerie?ProductID=235577&amp;CatalogueType=OLS</t>
  </si>
  <si>
    <t>LC-333-487</t>
  </si>
  <si>
    <t>Jet Stream Blue Knot It (2XN)</t>
  </si>
  <si>
    <t>Latona</t>
  </si>
  <si>
    <t>https://www.victoriassecret.com/beauty/vs-fantasies-bodycare-specials/pear-glac-hydrating-body-lotion-vs-fantasies?ProductID=154874&amp;CatalogueType=OLS</t>
  </si>
  <si>
    <t>LC-317-778</t>
  </si>
  <si>
    <t>Pear Glace (928)</t>
  </si>
  <si>
    <t>Melle</t>
  </si>
  <si>
    <t>https://www.victoriassecret.com/beauty/vs-fantasies-bodycare-specials/mango-temptation-deep-softening-body-butter-vs-fantasies?ProductID=154939&amp;CatalogueType=OLS</t>
  </si>
  <si>
    <t>LC-317-846</t>
  </si>
  <si>
    <t>Mango Temptation (2F7)</t>
  </si>
  <si>
    <t>cetcet</t>
  </si>
  <si>
    <t>https://www.victoriassecret.com/beauty/vs-fantasies-bodycare-specials/passion-struck-smoothing-body-scrub-vs-fantasies?ProductID=169949&amp;CatalogueType=OLS</t>
  </si>
  <si>
    <t>LC-320-382</t>
  </si>
  <si>
    <t>Passion Struck (034)</t>
  </si>
  <si>
    <t>https://www.victoriassecret.com/pagenolongeravailable?/beauty/vs-fantasies-bodycare-specials/mango-temptation-smoothing-body-scrub-vs-fantasies?ProductID=154950&amp;CatalogueType=OLS,</t>
  </si>
  <si>
    <t>LC-317-855</t>
  </si>
  <si>
    <t>Tina Miller</t>
  </si>
  <si>
    <t>https://www.victoriassecret.com/beauty/vs-fantasies-bodycare-specials/pear-glac-daily-body-wash-vs-fantasies?ProductID=154931&amp;CatalogueType=OLS</t>
  </si>
  <si>
    <t>LC-317-836 </t>
  </si>
  <si>
    <t>LC-317-843</t>
  </si>
  <si>
    <t>Estimated Ship: Apr 22</t>
  </si>
  <si>
    <t>LC-317-847</t>
  </si>
  <si>
    <t>LC-335-621</t>
  </si>
  <si>
    <t>LC-317-850 </t>
  </si>
  <si>
    <t>Белка11</t>
  </si>
  <si>
    <t>https://www.victoriassecret.com/beauty/all-body-care/love-spell-ultra-moisturizing-hand-and-body-cream-vs-fantasies?ProductID=166487&amp;CatalogueType=OLS</t>
  </si>
  <si>
    <t>LC-320-371 </t>
  </si>
  <si>
    <t>https://www.victoriassecret.com/beauty/all-body-care/secret-escape-ultra-moisturizing-hand-and-body-cream-vs-fantasies?ProductID=195049&amp;CatalogueType=OLS</t>
  </si>
  <si>
    <t>LC-328-003 </t>
  </si>
  <si>
    <t>ксюнн</t>
  </si>
  <si>
    <t>LD-299-039</t>
  </si>
  <si>
    <t>Silver Sage Lace (4GS)</t>
  </si>
  <si>
    <t>https://www.victoriassecret.com/clearance/panties/lace-mini-cheekster-panty-pink?ProductID=239904&amp;CatalogueType=OLS</t>
  </si>
  <si>
    <t>LD-339-543</t>
  </si>
  <si>
    <t>Buff (B15)</t>
  </si>
  <si>
    <t>https://www.victoriassecret.com/clearance/panties/thong-panty-the-lacie?ProductID=235070&amp;CatalogueType=OLS</t>
  </si>
  <si>
    <t>LD-321-546 </t>
  </si>
  <si>
    <t>Bright Cherry Lace Up Back (S40)</t>
  </si>
  <si>
    <t>https://www.victoriassecret.com/clearance/panties/floral-lace-trim-thong-panty-pink?ProductID=239914&amp;CatalogueType=OLS&amp;swatchImage=V817259_B15</t>
  </si>
  <si>
    <t>LD-339-580 </t>
  </si>
  <si>
    <t>https://www.victoriassecret.com/clearance/panties/low-rise-bikini-panty-cotton-lingerie?ProductID=182956&amp;CatalogueType=OLS</t>
  </si>
  <si>
    <t>LD-322-560</t>
  </si>
  <si>
    <t>https://www.victoriassecret.com/clearance/sleep/lace-appliqu-satin-slip-very-sexy?ProductID=217083&amp;CatalogueType=OLS</t>
  </si>
  <si>
    <t>LD-333-797</t>
  </si>
  <si>
    <t>Пирамида</t>
  </si>
  <si>
    <t>https://www.victoriassecret.com/swimwear/bikinis/the-love-triangle-top-very-sexy?ProductID=210304&amp;CatalogueType=OLS</t>
  </si>
  <si>
    <t>LC-292-276</t>
  </si>
  <si>
    <t>Simply Green (7DN)</t>
  </si>
  <si>
    <t>https://www.victoriassecret.com/swimwear/bikinis/the-love-bikini-very-sexy?ProductID=205076&amp;CatalogueType=OLS</t>
  </si>
  <si>
    <t>LC-292-267</t>
  </si>
  <si>
    <t>https://www.victoriassecret.com/swimwear/shop-by-size/shell-tie-cover-up-dress?ProductID=240032&amp;CatalogueType=OLS</t>
  </si>
  <si>
    <t>LC-332-15</t>
  </si>
  <si>
    <t>elena-1983</t>
  </si>
  <si>
    <t>https://www.victoriassecret.com/sale/swim/the-itsy-beach-sexy?ProductID=205331&amp;CatalogueType=OLS</t>
  </si>
  <si>
    <t>LC-316-936</t>
  </si>
  <si>
    <t>Neon Hot Pink (3FD)</t>
  </si>
  <si>
    <t>MamaNT</t>
  </si>
  <si>
    <t>https://www.victoriassecret.com//bras/demi-cup/front-close-racerback-demi-bra-body-by-victoria?ProductID=223923&amp;CatalogueType=OLS&amp;search=true</t>
  </si>
  <si>
    <t>LC-330-771</t>
  </si>
  <si>
    <t>Illusion Blue Cross Dye Lace Back (GJ8)</t>
  </si>
  <si>
    <t>https://www.victoriassecret.com/sale/panties/geo-lace-trim-hipster-panty-pink?ProductID=122539&amp;CatalogueType=OLS</t>
  </si>
  <si>
    <t>LC-329-359</t>
  </si>
  <si>
    <t>https://www.victoriassecret.com/sale/panties-special/logo-cheekster-panty-pink?ProductID=200894&amp;CatalogueType=OLS</t>
  </si>
  <si>
    <t>LC-334-609</t>
  </si>
  <si>
    <t>Extreme Pink (HF3)</t>
  </si>
  <si>
    <t>https://www.victoriassecret.com/sale/panties/lace-waist-hiphugger-panty-cotton-lingerie?ProductID=227332&amp;CatalogueType=OLS</t>
  </si>
  <si>
    <t>https://www.victoriassecret.com/sale/panties/hiphugger-panty-allover-lace-from-cotton-lingerie?ProductID=231937&amp;CatalogueType=OLS</t>
  </si>
  <si>
    <t>LC-333-812</t>
  </si>
  <si>
    <t>Ocean Breeze (22P)</t>
  </si>
  <si>
    <t>https://www.victoriassecret.com/sale/panties/seamless-hipster-panty-pink?ProductID=222672&amp;CatalogueType=OLS</t>
  </si>
  <si>
    <t>LC-278-201</t>
  </si>
  <si>
    <t>https://www.victoriassecret.com/clearance/panties/ultra-low-rise-cheeky-panty-the-lacie?ProductID=220542&amp;CatalogueType=OLS</t>
  </si>
  <si>
    <t>LD-327-479</t>
  </si>
  <si>
    <t>Jet Stream Blue Bow Back (K94)</t>
  </si>
  <si>
    <t>ВЫКУПЛЕНО 16 АПРЕЛЯ</t>
  </si>
  <si>
    <t>https://www.victoriassecret.com/bras/body-by-victoria/long-line-demi-bra-body-by-victoria?ProductID=235421&amp;CatalogueType=OLS</t>
  </si>
  <si>
    <t>LC-333-101</t>
  </si>
  <si>
    <t>Black Crochet Lace (4HU)</t>
  </si>
  <si>
    <t>https://www.victoriassecret.com/sale/swim/neon-paisley-push-up-triangle-top-beach-sexy?ProductID=189711&amp;CatalogueType=OLS</t>
  </si>
  <si>
    <t>LC-269-662</t>
  </si>
  <si>
    <t>White (2DE)</t>
  </si>
  <si>
    <t>Estimated Ship: May 8</t>
  </si>
  <si>
    <t>LC-269-663 </t>
  </si>
  <si>
    <t>Estimated Ship: May 17</t>
  </si>
  <si>
    <t>https://www.victoriassecret.com/sale/swim/fringe-bandeau-beach-sexy?ProductID=228890&amp;CatalogueType=OLS</t>
  </si>
  <si>
    <t>LC-307-632</t>
  </si>
  <si>
    <t>LanaNN</t>
  </si>
  <si>
    <t>https://www.victoriassecret.com/beauty/pink-body-care-specials/sun-kissed-body-lotion-pink?ProductID=170134&amp;CatalogueType=OLS</t>
  </si>
  <si>
    <t>https://www.victoriassecret.com/beauty/pink-body-care-specials/warm-cozy-2-in-1-wash-scrub-pink?ProductID=170141&amp;CatalogueType=OLS</t>
  </si>
  <si>
    <t>СЛ@ДЕНЬК@Я</t>
  </si>
  <si>
    <t>https://www.victoriassecret.com/beauty/pink-body-care-specials/coconut-oil-nourishing-shower-gel-pink?ProductID=235323&amp;CatalogueType=OLS</t>
  </si>
  <si>
    <t>Tato4ka5</t>
  </si>
  <si>
    <t>https://www.victoriassecret.com/clearance/swim/the-classic-bandeau-forever-sexy?ProductID=234018&amp;CatalogueType=OLS</t>
  </si>
  <si>
    <t>https://www.victoriassecret.com/clearance/swim/the-twist-bikini-forever-sexy?ProductID=233996&amp;CatalogueType=OLS</t>
  </si>
  <si>
    <t>Ангорка</t>
  </si>
  <si>
    <t>https://www.victoriassecret.com/clearance/swim/the-forever-lowrise-forever-sexy?ProductID=239981&amp;CatalogueType=OLS</t>
  </si>
  <si>
    <t>Order Date: 04/18/2015</t>
  </si>
  <si>
    <t>LC-321-108</t>
  </si>
  <si>
    <t>Sun Kissed (864)</t>
  </si>
  <si>
    <t>LC-321-146 </t>
  </si>
  <si>
    <t>Warm And Cozy (S04)</t>
  </si>
  <si>
    <t>LC-332-435</t>
  </si>
  <si>
    <t>https://www.victoriassecret.com/bras/buy-more-and-save-sports-bras/seamless-reversible-sport-bra-victorias-secret-sport?ProductID=241525&amp;CatalogueType=OLS</t>
  </si>
  <si>
    <t>LC-339-243</t>
  </si>
  <si>
    <t>Hello Lovely/Orange You Glad (64B)</t>
  </si>
  <si>
    <t>https://www.victoriassecret.com/bras/buy-more-and-save-bras/push-up-bra-sexy-tee?ProductID=241522&amp;CatalogueType=OLS</t>
  </si>
  <si>
    <t>LC-301-400</t>
  </si>
  <si>
    <t>https://www.victoriassecret.com/bras/buy-more-and-save-bras/perfect-coverage-bra-sexy-tee?ProductID=228975&amp;CatalogueType=OLS</t>
  </si>
  <si>
    <t>LC-329-775</t>
  </si>
  <si>
    <t>Pink Daisy Tie Dye Allover Lace (GO7)</t>
  </si>
  <si>
    <t>https://www.victoriassecret.com/bras/sports-bras/sleek-shine-sport-bra-victorias-secret-sport?ProductID=216703&amp;CatalogueType=OLS&amp;swatchImage=093</t>
  </si>
  <si>
    <t>LC-324-794</t>
  </si>
  <si>
    <t>Ink Blot (J79)</t>
  </si>
  <si>
    <t>LC-333-567</t>
  </si>
  <si>
    <t>Blue Space Dye Mesh (2NY)</t>
  </si>
  <si>
    <t>Green Opal Tie Dye Allover Lace (2P9)</t>
  </si>
  <si>
    <t>Sveki</t>
  </si>
  <si>
    <t>LC-338-653</t>
  </si>
  <si>
    <t>Classic Navy (S87)</t>
  </si>
  <si>
    <t>LD-327-673</t>
  </si>
  <si>
    <t>Madly Melon (6UC)</t>
  </si>
  <si>
    <t>LD-331-165</t>
  </si>
  <si>
    <t>Blurred Zig Zag (6X7)</t>
  </si>
  <si>
    <t>LD-331-164</t>
  </si>
  <si>
    <t>Freesia (6UD)</t>
  </si>
  <si>
    <t>https://www.victoriassecret.com/clearance/swim/the-flirt-bandeau-beach-sexy?ProductID=223883&amp;CatalogueType=OLS</t>
  </si>
  <si>
    <t>LD-333-682</t>
  </si>
  <si>
    <t>Bright Stripe (6XR)</t>
  </si>
  <si>
    <t>https://www.victoriassecret.com/clearance/swim/the-itsy-beach-sexy?ProductID=235066&amp;CatalogueType=OLS</t>
  </si>
  <si>
    <t>LD-329-817</t>
  </si>
  <si>
    <t xml:space="preserve">себе </t>
  </si>
  <si>
    <t>LD-338-918</t>
  </si>
  <si>
    <t>Green Aussie Sky Print (2P9)</t>
  </si>
  <si>
    <t>ВЫКУПЛЕНО 18 АПРЕЛЯ</t>
  </si>
  <si>
    <t>https://www.victoriassecret.com/panties/5-for-27-styles/no-show-cheekster-panty-pink?ProductID=193077&amp;CatalogueType=OLS</t>
  </si>
  <si>
    <t>Order Date: 04/21/2015</t>
  </si>
  <si>
    <t>LC-290-289</t>
  </si>
  <si>
    <t>M.Short</t>
  </si>
  <si>
    <t>https://www.victoriassecret.com/sale/yoga-pants-and-leggings/the-most-loved-yoga-pant?ProductID=236859&amp;CatalogueType=OLS</t>
  </si>
  <si>
    <t>L.Short</t>
  </si>
  <si>
    <t>klementeva</t>
  </si>
  <si>
    <t>https://www.victoriassecret.com/swimwear/one-pieces-tankinis/the-forever-tankini-forever-sexy?ProductID=150887&amp;CatalogueType=OLS</t>
  </si>
  <si>
    <t>LC-292-544</t>
  </si>
  <si>
    <t>Aqua Seychelles (6U8)</t>
  </si>
  <si>
    <t>balanova</t>
  </si>
  <si>
    <t>LC-307-823</t>
  </si>
  <si>
    <t>https://www.victoriassecret.com/sale/swim/the-sexiest-cheeky-very-sexy?ProductID=205079&amp;CatalogueType</t>
  </si>
  <si>
    <t>LC-324-935</t>
  </si>
  <si>
    <t>LC-313-836 </t>
  </si>
  <si>
    <t>https://www.victoriassecret.com//pink/cheeksters/no-show-cheekster-panty-pink?ProductID=193077&amp;CatalogueType=OLS&amp;search=true</t>
  </si>
  <si>
    <t>Blueberry Marl (U70)</t>
  </si>
  <si>
    <t>NataliKl</t>
  </si>
  <si>
    <t>https://www.victoriassecret.com/panties/5-for-27-styles/hiphugger-panty-cotton-lingerie?ProductID=237591&amp;CatalogueType=OLS</t>
  </si>
  <si>
    <t>LC-313-838</t>
  </si>
  <si>
    <t>https://www.victoriassecret.com/panties/5-for-27-styles/string-bikini-panty-cotton-lingerie?ProductID=227848&amp;CatalogueType=OLS</t>
  </si>
  <si>
    <t>LC-313-897</t>
  </si>
  <si>
    <t>Suslichka</t>
  </si>
  <si>
    <t>https://www.victoriassecret.com/panties/5-for-27-styles/geo-lace-trim-hipster-panty-pink?ProductID=124093&amp;CatalogueType=OLS</t>
  </si>
  <si>
    <t>Justanna</t>
  </si>
  <si>
    <t>Cobalt Blue Marl (U70)</t>
  </si>
  <si>
    <t>vmasha</t>
  </si>
  <si>
    <t>https://www.victoriassecret.com/sale/swim/the-flirt-bandeau-beach-sexy?ProductID=189740&amp;CatalogueType=OLS</t>
  </si>
  <si>
    <t>LC-294-528</t>
  </si>
  <si>
    <t>Black (3HM)</t>
  </si>
  <si>
    <t>https://www.victoriassecret.com/swimwear/bikini-bottoms/strappy-bottom-beach-sexy?ProductID=169772&amp;CatalogueType=OLS</t>
  </si>
  <si>
    <t>LC-315-636</t>
  </si>
  <si>
    <t>https://www.victoriassecret.com/sale/swim/crisscross-triangle-top-beach-sexy?ProductID=192626&amp;CatalogueType=OLS</t>
  </si>
  <si>
    <t>LC-315-444</t>
  </si>
  <si>
    <t>Aqua Reef (5VB)</t>
  </si>
  <si>
    <t>LC-315-445</t>
  </si>
  <si>
    <t>https://www.victoriassecret.com/swimwear/bikinis/bow-bandeau-very-sexy?ProductID=182468&amp;CatalogueType=OLS</t>
  </si>
  <si>
    <t>LC-306-034</t>
  </si>
  <si>
    <t>Black/White (6Q9)</t>
  </si>
  <si>
    <t>LC-319-744 </t>
  </si>
  <si>
    <t>https://www.victoriassecret.com/bras/cotton-lingerie/wireless-bra-cotton-lingerie?ProductID=238215&amp;CatalogueType=OLS</t>
  </si>
  <si>
    <t>LC-303-510</t>
  </si>
  <si>
    <t>34С </t>
  </si>
  <si>
    <t>https://www.victoriassecret.com/bras/cotton-lingerie/front-close-push-up-bra-cotton-lingerie?ProductID=241523&amp;CatalogueType=OLS</t>
  </si>
  <si>
    <t>LC-331-057</t>
  </si>
  <si>
    <t>Solar Sorbet Front-Close Braided Back (3NR)</t>
  </si>
  <si>
    <t>https://www.victoriassecret.com/bras/cotton-lingerie/demi-bra-cotton-lingerie?ProductID=242604&amp;CatalogueType=OLS</t>
  </si>
  <si>
    <t>LC-329-550</t>
  </si>
  <si>
    <t>https://www.victoriassecret.com/bras/cotton-lingerie/unlined-perfect-coverage-bra-cotton-lingerie?ProductID=240230&amp;CatalogueType=OLS</t>
  </si>
  <si>
    <t>LC-303-506</t>
  </si>
  <si>
    <t>https://www.victoriassecret.com/clearance/swim/banded-low-rise-bottom-beach-sexy?ProductID=52461&amp;CatalogueType=OLS</t>
  </si>
  <si>
    <t>LD-281-734</t>
  </si>
  <si>
    <t>Tihova-i</t>
  </si>
  <si>
    <t>https://www.victoriassecret.com/clearance/panties/fishnet-lace-up-cheeky-panty-very-sexy?ProductID=212187&amp;CatalogueType=OLS</t>
  </si>
  <si>
    <t>LD-331-736</t>
  </si>
  <si>
    <t>Black Fishnet/White Lace Up (X68)</t>
  </si>
  <si>
    <t>Order Date: 04/22/2015</t>
  </si>
  <si>
    <t>https://www.victoriassecret.com//sleepwear/sleep-steals/lace-teddy-sexy-little-things?ProductID=228971&amp;CatalogueType=OLS&amp;search=true</t>
  </si>
  <si>
    <t>LC-325-882</t>
  </si>
  <si>
    <t>https://www.victoriassecret.com//pink/panties/the-date-no-show-cheekster-panty-pink?ProductID=228281&amp;CatalogueType=OLS&amp;search=true</t>
  </si>
  <si>
    <t>LC-332-254</t>
  </si>
  <si>
    <t>Mint (N62)</t>
  </si>
  <si>
    <t>https://www.victoriassecret.com/panties/cheekies-and-cheekinis/rose-embroidered-cheeky-panty-very-sexy-luxe?ProductID=235273&amp;CatalogueType=OLS</t>
  </si>
  <si>
    <t>LC-333-354</t>
  </si>
  <si>
    <t>Rose Embroidered (3W4)</t>
  </si>
  <si>
    <t>LC-332-080</t>
  </si>
  <si>
    <t>New Nude (3W4)</t>
  </si>
  <si>
    <t>https://www.victoriassecret.com/swimwear/shop-by-size/cut-out-triangle-top-beach-sexy?ProductID=237683&amp;CatalogueType=OLS</t>
  </si>
  <si>
    <t>LC-335-014</t>
  </si>
  <si>
    <t>Multi Mixed Ikat (7MV)</t>
  </si>
  <si>
    <t>Estimated Ship: May 20</t>
  </si>
  <si>
    <t>LC-334-925</t>
  </si>
  <si>
    <t>Estimated Ship: June 28</t>
  </si>
  <si>
    <t>https://www.victoriassecret.com//pink/new-arrivals/medallion-lace-trim-hipster-panty-pink?ProductID=237992&amp;CatalogueType=OLS&amp;search=true</t>
  </si>
  <si>
    <t>LC-335-546</t>
  </si>
  <si>
    <t>Multi Geo Print (5ZA)</t>
  </si>
  <si>
    <t>https://www.victoriassecret.com/panties/5-for-27-styles/the-date-no-show-thong-panty-pink?ProductID=222175&amp;CatalogueType=OLS</t>
  </si>
  <si>
    <t>LC-332-255</t>
  </si>
  <si>
    <t>Snow White (092)</t>
  </si>
  <si>
    <t>https://www.victoriassecret.com/panties/5-for-27-styles/string-bikini-panty-allover-lace-from-cotton-lingerie?ProductID=227311&amp;CatalogueType=OLS</t>
  </si>
  <si>
    <t>LC-318-170 </t>
  </si>
  <si>
    <t>Fresh Lilac (39P)</t>
  </si>
  <si>
    <t>https://www.victoriassecret.com/bras/2-for-42-victorias-secret-pink/wear-everywhere-push-up-bra-pink?ProductID=241234&amp;CatalogueType=OLS</t>
  </si>
  <si>
    <t>LC-336-862</t>
  </si>
  <si>
    <t>LC-262-023</t>
  </si>
  <si>
    <t>Sweetest Orange (2XW)</t>
  </si>
  <si>
    <t>https://www.victoriassecret.com/bras/2-for-42-victorias-secret-pink/mesh-thong-panty-pink?ProductID=238008&amp;CatalogueType=OLS</t>
  </si>
  <si>
    <t>LC-334-696</t>
  </si>
  <si>
    <t>Tropical Print (BL1)</t>
  </si>
  <si>
    <t>https://www.victoriassecret.com/bras/cotton-lingerie/push-up-bra-cotton-lingerie?ProductID=241133&amp;CatalogueType=OLS</t>
  </si>
  <si>
    <t>LC-303-504</t>
  </si>
  <si>
    <t>LC-333-542</t>
  </si>
  <si>
    <t>Multi Honeycomb (3DC)</t>
  </si>
  <si>
    <t>https://www.victoriassecret.com/sale/panties-special/honeycomb-cheekini-panty-cotton-lingerie?ProductID=239286&amp;CatalogueType=OLS</t>
  </si>
  <si>
    <t>LC-333-405</t>
  </si>
  <si>
    <t>White Honeycomb (3DC)</t>
  </si>
  <si>
    <t>https://www.victoriassecret.com/sleepwear/pajamas/the-mayfair-cami-short-set?ProductID=235645&amp;CatalogueType=OLS</t>
  </si>
  <si>
    <t>LC-333-734</t>
  </si>
  <si>
    <t>Green Pineapples (G28)</t>
  </si>
  <si>
    <t>https://www.victoriassecret.com/sleepwear/babydolls-and-slips/lace-trim-slip-dream-angels?ProductID=230257&amp;CatalogueType=OLS</t>
  </si>
  <si>
    <t>LC-333-761</t>
  </si>
  <si>
    <t>Coconut White (B20)</t>
  </si>
  <si>
    <t>Estimated Ship: April 29</t>
  </si>
  <si>
    <t>https://www.victoriassecret.com/sleepwear/pajamas/satin-cami-and-short-set-body-by-victoria?ProductID=228886&amp;CatalogueType=OLS</t>
  </si>
  <si>
    <t>LC-325-848</t>
  </si>
  <si>
    <t>Pink Stripe (3SH)</t>
  </si>
  <si>
    <t>Estimated Ship: May 18</t>
  </si>
  <si>
    <t>https://www.victoriassecret.com/panties/5-for-27-styles/the-date-cheekster-panty-pink?ProductID=237997&amp;CatalogueType=OLS</t>
  </si>
  <si>
    <t>LC-335-693</t>
  </si>
  <si>
    <t>Minty Fresh (N62)</t>
  </si>
  <si>
    <t>Berry (4SM)</t>
  </si>
  <si>
    <t>https://www.victoriassecret.com/panties/5-for-27-styles/dot-mesh-cheekini-panty-cotton-lingerie?ProductID=227805&amp;CatalogueType=OLS</t>
  </si>
  <si>
    <t>LC-323-326</t>
  </si>
  <si>
    <t>Ink Blot Dot Mesh (K95)</t>
  </si>
  <si>
    <t>LC-313-836</t>
  </si>
  <si>
    <t>https://www.victoriassecret.com/panties/5-for-27-styles/low-rise-bloomer-panty-cotton-lingerie?ProductID=231875&amp;CatalogueType=OLS</t>
  </si>
  <si>
    <t>LC-323-778</t>
  </si>
  <si>
    <t>Deep Lotus (2GR)</t>
  </si>
  <si>
    <t>https://www.victoriassecret.com/clothing/shop-all/cotu-classic-sneaker-superga?ProductID=168582&amp;CatalogueType=OLS</t>
  </si>
  <si>
    <t>LC-287-982</t>
  </si>
  <si>
    <t>Estimated Ship: May 12</t>
  </si>
  <si>
    <t>rozochka17</t>
  </si>
  <si>
    <t>https://www.victoriassecret.com/clearance/swim/push-up-triangle-top-very-sexy?ProductID=207056&amp;CatalogueType=OLS</t>
  </si>
  <si>
    <t>LD-313-740</t>
  </si>
  <si>
    <t>Tropical Floral/Animal (4RD)</t>
  </si>
  <si>
    <t>https://www.victoriassecret.com/clearance/swim/toggle-bottom-very-sexy?ProductID=207005&amp;CatalogueType=OLS</t>
  </si>
  <si>
    <t>LD-313-739</t>
  </si>
  <si>
    <t>https://www.victoriassecret.com/catalogue/incredible-by-victoria39s-secret-sport-bra-victorias-secret-sport?ProductID=238502&amp;CatalogueType=OLS&amp;cqo=true&amp;cqoCat=NR</t>
  </si>
  <si>
    <t>NR-324-768</t>
  </si>
  <si>
    <t>34А</t>
  </si>
  <si>
    <t>Sparkling Lime Marl (4VX)</t>
  </si>
  <si>
    <t>ВЫКУПЛЕНО 21 АПРЕЛЯ</t>
  </si>
  <si>
    <t>ВЫКУПЛЕНО 22 АПРЕЛЯ</t>
  </si>
  <si>
    <t>Estimated Ship: May 12 - вышлют отдельно 12 мая (возможно раньше, возможно позже, дата ориентировочная)</t>
  </si>
  <si>
    <t>Estimated Ship: June 28 - вышлют отдельно 28 июня (возможно раньше, возможно позже, дата ориентировочная)</t>
  </si>
  <si>
    <t>Order Date: 04/23/2015</t>
  </si>
  <si>
    <t>Diamond Crumb</t>
  </si>
  <si>
    <t>https://www.victoriassecret.com/beauty/makeup-specials/shiny-kiss-flavored-gloss-beauty-rush?ProductID=165141&amp;CatalogueType=OLS</t>
  </si>
  <si>
    <t>LC-312-885</t>
  </si>
  <si>
    <t>Indulgence (608)</t>
  </si>
  <si>
    <t>https://www.victoriassecret.com/swimwear/bikinis/the-hottie-halter-very-sexy?ProductID=228388&amp;CatalogueType=OLS</t>
  </si>
  <si>
    <t>LC-324-957</t>
  </si>
  <si>
    <t>Palm Floral (78Y)</t>
  </si>
  <si>
    <t>LC-324-944 </t>
  </si>
  <si>
    <t>https://www.victoriassecret.com/bras/cotton-lingerie/perfect-coverage-bra-cotton-lingerie?ProductID=240231&amp;CatalogueType=OLS</t>
  </si>
  <si>
    <t>LC-331-062</t>
  </si>
  <si>
    <t>Limeade Front-Close Braided Back (447)</t>
  </si>
  <si>
    <t>https://www.victoriassecret.com/bras/cotton-lingerie/perfect-coverage-bra-cotton-lingerie?ProductID=242553&amp;CatalogueType=OLS</t>
  </si>
  <si>
    <t>LC-308-540</t>
  </si>
  <si>
    <t>Bright Cherry Ribbon Slot (3YU)</t>
  </si>
  <si>
    <t>https://www.victoriassecret.com/bras/shop-all-bras/unlined-lace-demi-bra-the-victorias-secret-designer-collection?ProductID=228134&amp;CatalogueType=OLS</t>
  </si>
  <si>
    <t>LC-324-986</t>
  </si>
  <si>
    <t>Spring Rain (3AS)</t>
  </si>
  <si>
    <t>https://www.victoriassecret.com/sale/clothing/marled-draw-tie-hoodie-french-terry?ProductID=236581&amp;CatalogueType=OLS</t>
  </si>
  <si>
    <t>LC-330-510 </t>
  </si>
  <si>
    <t>LC-333-538</t>
  </si>
  <si>
    <t>https://www.victoriassecret.com/panties/5-for-27-styles/string-bikini-panty-allover-lace-from-cotton-lingerie?ProductID=237493&amp;CatalogueType=OLS</t>
  </si>
  <si>
    <t>Bombshell Pink (25C)</t>
  </si>
  <si>
    <t>https://www.victoriassecret.com/panties/5-for-27-styles/dot-mesh-thong-panty-cotton-lingerie?ProductID=240792&amp;CatalogueType=OLS</t>
  </si>
  <si>
    <t>LC-323-328</t>
  </si>
  <si>
    <t>Bombshell Pink Dot Mesh (25C)</t>
  </si>
  <si>
    <t>LC-327-639</t>
  </si>
  <si>
    <t>Tropical Orange (BL1)</t>
  </si>
  <si>
    <t>LC-304-353</t>
  </si>
  <si>
    <t>Palm Beach Print (3J7)</t>
  </si>
  <si>
    <t>https://www.victoriassecret.com/panties/5-for-27-styles/modal-super-soft-cheeky-panty?ProductID=235693&amp;CatalogueType=OLS</t>
  </si>
  <si>
    <t>LC-334-067 </t>
  </si>
  <si>
    <t>LC-313-900</t>
  </si>
  <si>
    <t>https://www.victoriassecret.com/panties/5-for-27-styles/lace-waist-cheekini-panty-cotton-lingerie?ProductID=241445&amp;CatalogueType=OLS</t>
  </si>
  <si>
    <t>LC-307-167</t>
  </si>
  <si>
    <t>Pink Dots Print (3CM)</t>
  </si>
  <si>
    <t>https://www.victoriassecret.com/bras/cotton-lingerie/front-close-racerback-push-up-bra-cotton-lingerie?ProductID=242603&amp;CatalogueType=OLS</t>
  </si>
  <si>
    <t>LC-307-586</t>
  </si>
  <si>
    <t xml:space="preserve">Susnet Rainbow Heather (72R) or Solar Sorbet (G89) </t>
  </si>
  <si>
    <t>https://www.victoriassecret.com/clearance/clothing/banded-cover-up-pant?ProductID=239888&amp;CatalogueType=OLS</t>
  </si>
  <si>
    <t>LD-338-655</t>
  </si>
  <si>
    <t>Ombre Ikat Print (6X5)</t>
  </si>
  <si>
    <t>eyeofthemoon</t>
  </si>
  <si>
    <t>https://www.victoriassecret.com/clearance/pink/lace-mini-cheekster-panty-pink?ProductID=239904&amp;CatalogueType=OLS</t>
  </si>
  <si>
    <t>LD-333-797 </t>
  </si>
  <si>
    <t>Leopard (4CT)</t>
  </si>
  <si>
    <t>ВЫКУПЛЕНО 23 АПРЕЛЯ</t>
  </si>
  <si>
    <t>https://www.victoriassecret.com/bras/very-sexy/push-up-bra-very-sexy?ProductID=237965&amp;CatalogueType=OLS</t>
  </si>
  <si>
    <t>https://www.victoriassecret.com/clothing/all-tops-c/crossback-tank-sexy-little-tees?ProductID=231614&amp;CatalogueType=OLS</t>
  </si>
  <si>
    <t>Order Date: 04/27/2015</t>
  </si>
  <si>
    <t>LC-329-050</t>
  </si>
  <si>
    <t>Aleva</t>
  </si>
  <si>
    <t>https://www.victoriassecret.com/sale/swim/the-flirt-bandeau-beach-sexy?ProductID=189745&amp;CatalogueType=OLS</t>
  </si>
  <si>
    <t>LC-297-089</t>
  </si>
  <si>
    <t>White Paisley (2DE)</t>
  </si>
  <si>
    <t>Estimated Ship: June 1</t>
  </si>
  <si>
    <t>LC-297-090</t>
  </si>
  <si>
    <t>https://www.victoriassecret.com/sale/swim/ruched-halter-top-forever-sexy?ProductID=101330&amp;CatalogueType=OLS</t>
  </si>
  <si>
    <t>LC-297-147</t>
  </si>
  <si>
    <t>Black/White (3JE)</t>
  </si>
  <si>
    <t>LC-297-148</t>
  </si>
  <si>
    <t>https://www.victoriassecret.com/clothing/hoodies-sweatshirts/oversized-hooded-tunic-fleece?ProductID=221848&amp;CatalogueType=OLS</t>
  </si>
  <si>
    <t>LC-330-499</t>
  </si>
  <si>
    <t>True Navy/Sequin Wings (7FE)</t>
  </si>
  <si>
    <t>Estimated Ship: May 24</t>
  </si>
  <si>
    <t>LC-332-165</t>
  </si>
  <si>
    <t>Hot And Spicy Lace Up (625)</t>
  </si>
  <si>
    <t>LC-334-073</t>
  </si>
  <si>
    <t>LC-330-986</t>
  </si>
  <si>
    <t>Shimmer Stripe (099)</t>
  </si>
  <si>
    <t>LC-317-880</t>
  </si>
  <si>
    <t>ВЫКУПЛЕНО 27 АПРЕЛЯ</t>
  </si>
  <si>
    <t>https://www.victoriassecret.com/sleepwear/shop-all-sleep-mobile/racerback-slip-signature-cotton?ProductID=196587&amp;CatalogueType=OLS</t>
  </si>
  <si>
    <t>https://www.victoriassecret.com/sleepwear/shop-all-sleep-mobile/slip-the-lacie?ProductID=229301&amp;CatalogueType=OLS </t>
  </si>
  <si>
    <t>https://www.victoriassecret.com/bras/shop-all-bras/multi-way-bra-dream-angels?ProductID=240212&amp;CatalogueType=OLS </t>
  </si>
  <si>
    <t>https://www.victoriassecret.com/lingerie/bras-and-panties/lace-trim-cheekini-panty-dream-angels?ProductID=233482&amp;CatalogueType=OLS</t>
  </si>
  <si>
    <t>https://www.victoriassecret.com/lingerie/bras-and-panties/lace-trim-cheekini-panty-dream-angels?ProductID=233482&amp;CatalogueType=OLS </t>
  </si>
  <si>
    <t>Order Date: 04/29/2015</t>
  </si>
  <si>
    <t>LC-320-536</t>
  </si>
  <si>
    <t xml:space="preserve">XS </t>
  </si>
  <si>
    <t>LC-329-234</t>
  </si>
  <si>
    <t>Neon Nectar (39s)</t>
  </si>
  <si>
    <t>LC-330-095</t>
  </si>
  <si>
    <t>Ivory Cross Dye Lace (011)</t>
  </si>
  <si>
    <t>LC-325-293</t>
  </si>
  <si>
    <t>Hazy Periwinkle W Cocunut Lace (4F9)</t>
  </si>
  <si>
    <t>LC-325-291</t>
  </si>
  <si>
    <t>Ivory W Black Lace (E26)</t>
  </si>
  <si>
    <t>LC-330-919</t>
  </si>
  <si>
    <t>Ivory Cross Dye (011)</t>
  </si>
  <si>
    <t>Estimated Ship: July 24</t>
  </si>
  <si>
    <t>https://www.victoriassecret.com/clothing/beach-angel/the-beach-pant-in-linen?ProductID=241053&amp;CatalogueType=OLS</t>
  </si>
  <si>
    <t>LC-304-670</t>
  </si>
  <si>
    <t>0.R</t>
  </si>
  <si>
    <t>Pottery Blue (6VK)</t>
  </si>
  <si>
    <t>https://www.victoriassecret.com/sale/pink-wear-everywhere/wear-everywhere-push-up-bra-pink?ProductID=216254&amp;CatalogueType=OLS</t>
  </si>
  <si>
    <t>White (L87)</t>
  </si>
  <si>
    <t>LC-336-928</t>
  </si>
  <si>
    <t>Sunkissed (864)</t>
  </si>
  <si>
    <t>LC-321-187</t>
  </si>
  <si>
    <t>Sweet And Flirty (m59)</t>
  </si>
  <si>
    <t>LC-336-931</t>
  </si>
  <si>
    <t>Hot Crush (b60)</t>
  </si>
  <si>
    <t>LC-336-930</t>
  </si>
  <si>
    <t>Fresh And Clean (97f)</t>
  </si>
  <si>
    <t>ВЫКУПЛЕНО 29 АПРЕЛЯ</t>
  </si>
  <si>
    <t>Order Date: 05/02/2015</t>
  </si>
  <si>
    <t>Signija</t>
  </si>
  <si>
    <t>https://www.victoriassecret.com/bras/shop-all-bras/wireless-bra-body-by-victoria?ProductID=235962&amp;CatalogueType=OLS</t>
  </si>
  <si>
    <t>LC-323-843 </t>
  </si>
  <si>
    <t>Ruby Wine W/ Lace Sling (GG2)</t>
  </si>
  <si>
    <t>https://www.victoriassecret.com//bras/angel-offers/push-up-bra-so-obsessed-by-victorias-secret?ProductID=232204&amp;CatalogueType=OLS&amp;search=true</t>
  </si>
  <si>
    <t>Dune Paisley (AX2)</t>
  </si>
  <si>
    <t>https://www.victoriassecret.com//sleepwear/pajamas/crochet-cami-short-set?ProductID=241786&amp;CatalogueType=OLS&amp;search=true</t>
  </si>
  <si>
    <t>Blue Paisley (AX1)</t>
  </si>
  <si>
    <t>https://www.victoriassecret.com/swimwear/essential-bottoms/the-hottie-cheeky-very-sexy?ProductID=205376&amp;CatalogueType=OLS</t>
  </si>
  <si>
    <t>Underwater (6U2)</t>
  </si>
  <si>
    <t>https://www.victoriassecret.com//swimwear/push-up/the-knockout-bandeau-very-sexy?ProductID=205475&amp;CatalogueType=OLS&amp;search=true</t>
  </si>
  <si>
    <t>Estimated Ship: May 9</t>
  </si>
  <si>
    <t>https://www.victoriassecret.com/sale/sleepwear/mayfair-picot-trim-boxie?ProductID=238079&amp;CatalogueType=OLS</t>
  </si>
  <si>
    <t>LN-333-749</t>
  </si>
  <si>
    <t>Pink Palm Tree (HB5)</t>
  </si>
  <si>
    <t>LN-329-241 </t>
  </si>
  <si>
    <t>Ko4ka</t>
  </si>
  <si>
    <t>https://www.victoriassecret.com/clearance/swim/banded-low-rise-bikini-bottom-forever-sexy?ProductID=226333&amp;CatalogueType=OLS</t>
  </si>
  <si>
    <t>LW-329-140</t>
  </si>
  <si>
    <t>https://www.victoriassecret.com/clearance/swim/the-itsy-very-sexy?ProductID=239957&amp;CatalogueType=OLS</t>
  </si>
  <si>
    <t>LW-324-945</t>
  </si>
  <si>
    <t>https://www.victoriassecret.com/clearance/swim/the-knockout-bandeau-very-sexy?ProductID=225239&amp;CatalogueType=OLS</t>
  </si>
  <si>
    <t>LW-332-355</t>
  </si>
  <si>
    <t>Violet Fem (6U3)</t>
  </si>
  <si>
    <t>https://www.victoriassecret.com/clearance/swim/the-knockout-brazilian-bottom-very-sexy?ProductID=205075&amp;CatalogueType=OLS</t>
  </si>
  <si>
    <t>LW-307-828</t>
  </si>
  <si>
    <t>ВЫКУПЛЕНО 2 МАЯ</t>
  </si>
  <si>
    <t>LN-292-940</t>
  </si>
  <si>
    <t>LN-324-940</t>
  </si>
  <si>
    <t>LN-334-667</t>
  </si>
  <si>
    <t>LN-332-186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</si>
  <si>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</si>
  <si>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https://www.victoriassecret.com/bras/very-sexy/multi-way-bra-very-sexy?ProductID=244205&amp;CatalogueType=OLS</t>
  </si>
  <si>
    <t>LN-334-157 </t>
  </si>
  <si>
    <t>Animal Print (3X8)</t>
  </si>
  <si>
    <t>https://www.victoriassecret.com/bras/dream-angels/victoria39s-secret-darling-long-line-racerback-bra?ProductID=244153&amp;CatalogueType=OLS</t>
  </si>
  <si>
    <t>LN-332-965</t>
  </si>
  <si>
    <t>Coconut White Crochet (B20)</t>
  </si>
  <si>
    <t>https://www.victoriassecret.com/sleepwear/satin-indulgences/lace-appliqu-satin-slip-very-sexy?ProductID=189956&amp;CatalogueType=OLS</t>
  </si>
  <si>
    <t>LN-246-614</t>
  </si>
  <si>
    <t>Sweet And Vicious Animal (3X8)</t>
  </si>
  <si>
    <t>mashulya57</t>
  </si>
  <si>
    <t>https://www.victoriassecret.com/panties/3-for-33-styles/bow-back-cheeky-panty-very-sexy?ProductID=240044&amp;CatalogueType=OLS</t>
  </si>
  <si>
    <t>LN-333-290</t>
  </si>
  <si>
    <t>Black Bow Back (DL3)</t>
  </si>
  <si>
    <t>https://www.victoriassecret.com//panties/shop-all-panties/cheekini-panty-body-by-victoria?ProductID=220876&amp;CatalogueType=OLS&amp;search=true</t>
  </si>
  <si>
    <t>LN-306-888</t>
  </si>
  <si>
    <t>Black With Ivory Lace (23A)</t>
  </si>
  <si>
    <t>Night Sky (2V5)</t>
  </si>
  <si>
    <t>https://www.victoriassecret.com//panties/very-sexy/lace-trim-cheeky-panty-very-sexy?ProductID=244171&amp;CatalogueType=OLS&amp;search=true</t>
  </si>
  <si>
    <t>LN-325-123 </t>
  </si>
  <si>
    <t>Dune Paisley Print (AX2)</t>
  </si>
  <si>
    <t>https://www.victoriassecret.com/panties/very-sexy/chantilly-lace-cheeky-panty-very-sexy?ProductID=228153&amp;CatalogueType=OLS</t>
  </si>
  <si>
    <t>LN-329-616</t>
  </si>
  <si>
    <t>Sugar Pink (S66)</t>
  </si>
  <si>
    <t>https://www.victoriassecret.com/panties/very-sexy/lace-trim-cheeky-panty-very-sexy?ProductID=228149&amp;CatalogueType=OLS</t>
  </si>
  <si>
    <t>LN-325-123</t>
  </si>
  <si>
    <t>Sweet And Vicious Print (3X8)</t>
  </si>
  <si>
    <t>https://www.victoriassecret.com/clothing/cover-ups-steals/cuffed-cover-up-short?ProductID=235185&amp;CatalogueType=OLS</t>
  </si>
  <si>
    <t>LN-329-001</t>
  </si>
  <si>
    <t>Ivory (DJ4)</t>
  </si>
  <si>
    <t>https://www.victoriassecret.com/clothing/cover-ups-steals/drawstring-short?ProductID=236606&amp;CatalogueType=OLS</t>
  </si>
  <si>
    <t>LN-329-492</t>
  </si>
  <si>
    <t>Green Pinapple Jungle (5CC)</t>
  </si>
  <si>
    <t>LW-307-460</t>
  </si>
  <si>
    <t>https://www.victoriassecret.com/clearance/sleep/lace-trim-henley-tank?ProductID=224561&amp;CatalogueType=OLS</t>
  </si>
  <si>
    <t>LW-320-535</t>
  </si>
  <si>
    <t>Victoria Pink (705)</t>
  </si>
  <si>
    <t>ВЫКУПЛЕНО 3 МАЯ</t>
  </si>
  <si>
    <t>Order Date: 05/03/2015</t>
  </si>
  <si>
    <t>подарок</t>
  </si>
  <si>
    <t>Order Date: 05/07/2015</t>
  </si>
  <si>
    <t>https://www.victoriassecret.com//sale/panties/lace-waist-cheeky-panty-cotton-lingerie?ProductID=228002&amp;CatalogueType=OLS&amp;search=true</t>
  </si>
  <si>
    <t>LN-304-353</t>
  </si>
  <si>
    <t>Crazy Over Paisley Print (DR2)</t>
  </si>
  <si>
    <t>https://www.victoriassecret.com//panties/cotton-panties/itsy-panty-cotton-lingerie?ProductID=227317&amp;CatalogueType=OLS&amp;search=true</t>
  </si>
  <si>
    <t>LN-326-924</t>
  </si>
  <si>
    <t>Kaleidoscope Paisley Print (3RJ)</t>
  </si>
  <si>
    <t>https://www.victoriassecret.com/panties/5-for-27-styles/floral-lace-hiphugger-panty-cotton-lingerie?ProductID=241789&amp;CatalogueType=OLS</t>
  </si>
  <si>
    <t>LN-334-692</t>
  </si>
  <si>
    <t>Neon Nectar Botanical (39S)</t>
  </si>
  <si>
    <t>Estimated Ship: May 13</t>
  </si>
  <si>
    <t>Kudryash</t>
  </si>
  <si>
    <t>https://www.victoriassecret.com//beauty/shop-all-beauty/self-tanning-tinted-lotion-beach-sexy?ProductID=90767&amp;CatalogueType=OLS&amp;search=true</t>
  </si>
  <si>
    <t>LN-294-152 </t>
  </si>
  <si>
    <t>https://www.victoriassecret.com/beauty/all-body-care/instant-bronzing-tinted-shimmer-lotion-beach-sexy?ProductID=90766&amp;CatalogueType=OLS</t>
  </si>
  <si>
    <t>LN-294-159</t>
  </si>
  <si>
    <t>https://www.victoriassecret.com/bras/buy-more-and-save-bras/wireless-bra-sexy-tee?ProductID=228985&amp;CatalogueType=OLS</t>
  </si>
  <si>
    <t>LN-301-420</t>
  </si>
  <si>
    <t>https://www.victoriassecret.com/victorias-secret-sport/sports-bras/the-player-by-victorias-secret-racerback-sport-bra-victorias-secret-sport?ProductID=219293&amp;CatalogueType=OLS</t>
  </si>
  <si>
    <t>LN-329-940</t>
  </si>
  <si>
    <t>Oltemare VSX Graphic (08Q)</t>
  </si>
  <si>
    <t>Зета Джонс</t>
  </si>
  <si>
    <t>https://www.victoriassecret.com/panties/5-for-27-styles/lace-waist-cheeky-panty-cotton-lingerie?ProductID=242259&amp;CatalogueType=OLS</t>
  </si>
  <si>
    <t>Desert Festival Print (492)</t>
  </si>
  <si>
    <t>River Floral Print (907)</t>
  </si>
  <si>
    <t>Coachella Chic Print (CU2)</t>
  </si>
  <si>
    <t>Snake It Off Print (DR8)</t>
  </si>
  <si>
    <t>Hollywood Leopard Print (DJ2)</t>
  </si>
  <si>
    <t>https://www.victoriassecret.com/panties/cheekies-and-cheekinis/bow-back-cheeky-panty-very-sexy?ProductID=240044&amp;CatalogueType=OLS</t>
  </si>
  <si>
    <t>Gossamer Pink Bow Back (6V2)</t>
  </si>
  <si>
    <t>https://www.victoriassecret.com/panties/cheekies-and-cheekinis/lace-trim-cheeky-panty-very-sexy?ProductID=228149&amp;CatalogueType=OLS</t>
  </si>
  <si>
    <t>LN-335-236</t>
  </si>
  <si>
    <t>Gypsey Paisley Print Mix (3GR)</t>
  </si>
  <si>
    <t>https://www.victoriassecret.com/panties/cheekies-and-cheekinis/strappy-mesh-cheeky-panty-very-sexy?ProductID=243801&amp;CatalogueType=OLS</t>
  </si>
  <si>
    <t>LN-333-292</t>
  </si>
  <si>
    <t>Cocoon Mesh Back Strappy Lace Up (3G4)</t>
  </si>
  <si>
    <t>https://www.victoriassecret.com/panties/3-for-33-styles/lace-trim-cheeky-panty-very-sexy?ProductID=228149&amp;CatalogueType=OLS </t>
  </si>
  <si>
    <t>Coconut White Print (296)</t>
  </si>
  <si>
    <t>https://www.victoriassecret.com/swimwear/very-sexy-offer/the-hottie-halter-very-sexy?ProductID=211795&amp;CatalogueType=OLS</t>
  </si>
  <si>
    <t>LN-322-042</t>
  </si>
  <si>
    <t>34DD</t>
  </si>
  <si>
    <t>https://www.victoriassecret.com/catalogue/low-rise-bikini-panty-cotton-lingerie?ProductID=182956&amp;CatalogueType=OLS&amp;cqo=true&amp;cqoCat=LW</t>
  </si>
  <si>
    <t>LW-322-560</t>
  </si>
  <si>
    <t>https://www.victoriassecret.com/catalogue/lace-front-bikini-panty-body-by-victoria?ProductID=230578&amp;CatalogueType=OLS&amp;cqo=true&amp;cqoCat=LW</t>
  </si>
  <si>
    <t>LW-332-047</t>
  </si>
  <si>
    <t>Ivory With Black Cross Dye (Q66)</t>
  </si>
  <si>
    <t>LW-339-543</t>
  </si>
  <si>
    <t>ВЫКУПЛЕНО 7 МАЯ</t>
  </si>
  <si>
    <t>https://www.victoriassecret.com/sale/panties-special/string-bikini-panty-allover-lace-from-cotton-lingerie?ProductID=242548&amp;CatalogueType=OLS</t>
  </si>
  <si>
    <t>LN-318-170</t>
  </si>
  <si>
    <t>https://www.victoriassecret.com/sale/panties-special/modal-super-soft-thong-panty?ProductID=235697&amp;CatalogueType=OLS</t>
  </si>
  <si>
    <t>LN-334-068</t>
  </si>
  <si>
    <t>https://www.victoriassecret.com/beauty/vs-fantasies-bodycare-specials/strawberries-champagne-ultra-moisturizing-hand-and-body-cream-vs-fantasies?ProductID=154895&amp;CatalogueType=OLS</t>
  </si>
  <si>
    <t>https://www.victoriassecret.com/beauty/vs-fantasies-bodycare-specials/amber-romance-hydrating-body-lotion-vs-fantasies?ProductID=154900&amp;CatalogueType=OLS</t>
  </si>
  <si>
    <t>будет в следующем выкупе:</t>
  </si>
  <si>
    <t>Order Date: 05/08/2015</t>
  </si>
  <si>
    <t>https://www.victoriassecret.com/swimwear/knit-cover-up-offer/double-strap-cover-up-mini?ProductID=240177&amp;CatalogueType=OLS</t>
  </si>
  <si>
    <t>LN-338-653</t>
  </si>
  <si>
    <t>https://www.victoriassecret.com/victorias-secret-sport/sport-bra-steals/incredible-by-victorias-secret-front-close-sport-bra-victorias-secret-sport?ProductID=242736&amp;CatalogueType=OLS</t>
  </si>
  <si>
    <t>LN-341-500</t>
  </si>
  <si>
    <t>Black Spacedye (4CB)</t>
  </si>
  <si>
    <t>Blue Tie Dye (375)</t>
  </si>
  <si>
    <t>https://www.victoriassecret.com/pink/cheeksters/the-date-cheekster-panty-pink?ProductID=237997&amp;CatalogueType=OLS</t>
  </si>
  <si>
    <t>LN-335-693</t>
  </si>
  <si>
    <t>Under The Sea (49S)</t>
  </si>
  <si>
    <t>LN-317-796</t>
  </si>
  <si>
    <t>LN-317-768</t>
  </si>
  <si>
    <t>Estimated Ship: June 3</t>
  </si>
  <si>
    <t>https://www.victoriassecret.com/beauty/vs-fantasies-bodycare-specials/escape-hydrating-body-lotion-vs-fantasies?ProductID=236969&amp;CatalogueType=OLS</t>
  </si>
  <si>
    <t>LN-340-272</t>
  </si>
  <si>
    <t>Escape (3C3)</t>
  </si>
  <si>
    <t>https://www.victoriassecret.com/beauty/vs-fantasies-bodycare-specials/sunrise-hydrating-body-lotion-vs-fantasies?ProductID=236968&amp;CatalogueType=OLS</t>
  </si>
  <si>
    <t>LN-340-271</t>
  </si>
  <si>
    <t>https://www.victoriassecret.com/beauty/vs-fantasies-bodycare-specials/love-addict-2-in-1-hair-and-body-oil-vs-fantasies?ProductID=225090&amp;CatalogueType=OLS</t>
  </si>
  <si>
    <t>LN-335-620</t>
  </si>
  <si>
    <t>https://www.victoriassecret.com/beauty/vs-fantasies-bodycare-specials/secret-charm-deep-softening-body-butter-vs-fantasies?ProductID=154934&amp;CatalogueType=OLS</t>
  </si>
  <si>
    <t>LN-317-845</t>
  </si>
  <si>
    <t>https://www.victoriassecret.com/beauty/vs-fantasies-bodycare-specials/love-spell-deep-softening-body-butter-vs-fantasies?ProductID=166526&amp;CatalogueType=OLS</t>
  </si>
  <si>
    <t>LN-320-380</t>
  </si>
  <si>
    <t>AntoninaN</t>
  </si>
  <si>
    <t>https://www.victoriassecret.com/beauty/all-body-care/body-lotion-victorias-secret-bombshell?ProductID=6095&amp;CatalogueType=OLS</t>
  </si>
  <si>
    <t>LN-258-639</t>
  </si>
  <si>
    <t>Bombshell (099)</t>
  </si>
  <si>
    <t>https://www.victoriassecret.com/beauty/makeup-specials/flavored-gloss-victorias-secret-bombshell?ProductID=240067&amp;CatalogueType=OLS</t>
  </si>
  <si>
    <t>LN-333-864</t>
  </si>
  <si>
    <t>Vanilla Orchid (65P)</t>
  </si>
  <si>
    <t>Shangri La Peach (HC8)</t>
  </si>
  <si>
    <t>https://www.victoriassecret.com//pink/sale-beauty-rush/shiny-kiss-flavored-gloss-beauty-rush?ProductID=165141&amp;CatalogueType=OLS&amp;search=true</t>
  </si>
  <si>
    <t>LN-312-885</t>
  </si>
  <si>
    <t>Love Berry (H36)</t>
  </si>
  <si>
    <t>I{@tenok</t>
  </si>
  <si>
    <t>https://www.victoriassecret.com/swimwear/beach-sexy/zip-long-line-triangle-top-beach-sexy?ProductID=221497&amp;CatalogueType=OLS</t>
  </si>
  <si>
    <t>LN-329-569</t>
  </si>
  <si>
    <t>Gypsy Paisley Stripe (78D)</t>
  </si>
  <si>
    <t>LN-329-570 </t>
  </si>
  <si>
    <t>Black Pearl (u01)</t>
  </si>
  <si>
    <t>ВЫКУПЛЕНО 9 МАЯ</t>
  </si>
  <si>
    <t>https://www.victoriassecret.com/swimwear/shaping/halter-one-piece-secret-by-victorias-secret-swim?ProductID=217749&amp;CatalogueType=OLS</t>
  </si>
  <si>
    <t>Natural Leopard (4RF)</t>
  </si>
  <si>
    <t>Berry Gelato Solid/Berry Gelato Marl (6GV)</t>
  </si>
  <si>
    <t>LN-339-242</t>
  </si>
  <si>
    <t>https://www.victoriassecret.com/victorias-secret-sport/sport-bra-steals/seamless-reversible-sport-bra-victorias-secret-sport?ProductID=221633&amp;CatalogueType=OLS</t>
  </si>
  <si>
    <t>https://www.victoriassecret.com/sale/clothing/the-most-loved-yoga-pant?ProductID=231972&amp;CatalogueType=OLS</t>
  </si>
  <si>
    <t>M.L</t>
  </si>
  <si>
    <t>LN-290-289</t>
  </si>
  <si>
    <t>Order Date: 05/11/2015</t>
  </si>
  <si>
    <t>Clear Sequin Wings (7JF)</t>
  </si>
  <si>
    <t>горбушечка</t>
  </si>
  <si>
    <t>https://www.victoriassecret.com/sale/yoga-pants-and-leggings/the-most-loved-yoga-legging?ProductID=244183&amp;CatalogueType=OLS</t>
  </si>
  <si>
    <t>LN-290-290</t>
  </si>
  <si>
    <t>XS.S</t>
  </si>
  <si>
    <t>ecmiralda84</t>
  </si>
  <si>
    <t>https://www.victoriassecret.com/panties/5-for-27-styles/string-bikini-panty-allover-lace-from-cotton-lingerie?ProductID=242548&amp;CatalogueType=OLS</t>
  </si>
  <si>
    <t>https://www.victoriassecret.com/panties/5-for-27-styles/dot-mesh-cheekini-panty-cotton-lingerie?ProductID=242558&amp;CatalogueType=OLS</t>
  </si>
  <si>
    <t>LN-323-326</t>
  </si>
  <si>
    <t>Neon Nectar Dot Mesh (39S)</t>
  </si>
  <si>
    <t>https://www.victoriassecret.com/panties/5-for-27-styles/modal-super-soft-cheeky-panty?ProductID=242646&amp;CatalogueType=OLS</t>
  </si>
  <si>
    <t>LN-334-067</t>
  </si>
  <si>
    <t>leno4kafly</t>
  </si>
  <si>
    <t>LN-327-959</t>
  </si>
  <si>
    <t>https://www.victoriassecret.com/panties/5-for-27-styles/medallion-lace-trim-hipster-panty-pink?ProductID=237992&amp;CatalogueType=OLS</t>
  </si>
  <si>
    <t>LN-335-546</t>
  </si>
  <si>
    <t>LN-304-353 </t>
  </si>
  <si>
    <t>https://www.victoriassecret.com/clearance/sleep/dream-angels-open-front-cardi?ProductID=218635&amp;CatalogueType=OLS</t>
  </si>
  <si>
    <t>LW-328-496 </t>
  </si>
  <si>
    <t>Mineral (C19)</t>
  </si>
  <si>
    <t>ВЫКУПЛЕНО 11 МАЯ</t>
  </si>
  <si>
    <t>Order Date: 05/17/2015</t>
  </si>
  <si>
    <t>https://www.victoriassecret.com/victorias-secret-sport/sport-bra-steals/knockout-by-victorias-secret-sport-bra-victorias-secret-sport?ProductID=164574&amp;CatalogueType=OLS&amp;swatchImage=6U8</t>
  </si>
  <si>
    <t>LN-329-886</t>
  </si>
  <si>
    <t>Seychelles/Ink Blot Air Mesh (6U8)</t>
  </si>
  <si>
    <t>marmelad</t>
  </si>
  <si>
    <t>https://www.victoriassecret.com/swimwear/shop-by-size/the-plunge-halter-beach-sexy?ProductID=234289&amp;CatalogueType=OLS</t>
  </si>
  <si>
    <t>LN-311-593 </t>
  </si>
  <si>
    <t>https://www.victoriassecret.com/swimwear/essential-bottoms/the-knockout-bikini-beach-sexy?ProductID=215799&amp;CatalogueType=OLS</t>
  </si>
  <si>
    <t>LN-293-958</t>
  </si>
  <si>
    <t>Black White Dot (4U3)</t>
  </si>
  <si>
    <t>https://www.victoriassecret.com/panties/5-for-27-styles/lace-floral-v-string-pink?ProductID=206323&amp;CatalogueType=OLS</t>
  </si>
  <si>
    <t>LN-335-212</t>
  </si>
  <si>
    <t>Neon Red (HN5)</t>
  </si>
  <si>
    <t>Minty Fresh (6HC)</t>
  </si>
  <si>
    <t>irisha19850</t>
  </si>
  <si>
    <t>LN-322-443</t>
  </si>
  <si>
    <t>Multi Geo Print (63W)</t>
  </si>
  <si>
    <t>Mint Stripe (CK5)</t>
  </si>
  <si>
    <t>https://www.victoriassecret.com/panties/5-for-27-styles/logo-cheekster-panty-pink?ProductID=241448&amp;CatalogueType=OLS</t>
  </si>
  <si>
    <t>LN-334-609</t>
  </si>
  <si>
    <t>https://www.victoriassecret.com/panties/5-for-27-styles/seamless-hipster-panty-pink?ProductID=242882&amp;CatalogueType=OLS</t>
  </si>
  <si>
    <t>LN-278-201</t>
  </si>
  <si>
    <t>Green Anti Exercise (779)</t>
  </si>
  <si>
    <t>ZNadezhda</t>
  </si>
  <si>
    <t>https://www.victoriassecret.com/clothing/dresses-c/plunge-front-caftan?ProductID=236962&amp;CatalogueType=OLS</t>
  </si>
  <si>
    <t>LN-329-483</t>
  </si>
  <si>
    <t>Marshmallow Crochet (76M)</t>
  </si>
  <si>
    <t>Estimated Ship: June 4</t>
  </si>
  <si>
    <t>https://www.victoriassecret.com/panties/5-for-27-styles/lace-trim-cheekster-panty-pink?ProductID=242942&amp;CatalogueType=OLS</t>
  </si>
  <si>
    <t>LN-327-638</t>
  </si>
  <si>
    <t>Indigo Geo Print (157)</t>
  </si>
  <si>
    <t>https://www.victoriassecret.com/panties/5-for-27-styles/geo-lace-cheekster-panty-pink?ProductID=232991&amp;CatalogueType=OLS</t>
  </si>
  <si>
    <t>LN-341-743</t>
  </si>
  <si>
    <t>Neon Hot Pink (047)</t>
  </si>
  <si>
    <t>LN-333-690 </t>
  </si>
  <si>
    <t>Tropical Print (59Y)</t>
  </si>
  <si>
    <t>Blue Blaze With Teal (39K)</t>
  </si>
  <si>
    <t>Violet (E04)</t>
  </si>
  <si>
    <t>LN-335-693 </t>
  </si>
  <si>
    <t>https://www.victoriassecret.com/panties/5-for-27-styles/the-date-all-over-lace-thong-panty-pink?ProductID=243820&amp;CatalogueType=OLS</t>
  </si>
  <si>
    <t>LN-336-853</t>
  </si>
  <si>
    <t>Coral (5PH)</t>
  </si>
  <si>
    <t>https://www.victoriassecret.com/clearance/sleep/v-neck-jersey-tee?ProductID=209512&amp;CatalogueType=OLS</t>
  </si>
  <si>
    <t>LW-332-503</t>
  </si>
  <si>
    <t>Bright Cherry (S40)</t>
  </si>
  <si>
    <t>https://www.victoriassecret.com/clearance/sleep/dreamer-flannel-short?ProductID=209305&amp;CatalogueType=OLS</t>
  </si>
  <si>
    <t>LW-323-475</t>
  </si>
  <si>
    <t>Red/White Snowflake (BA1)</t>
  </si>
  <si>
    <t>ВЫКУПЛЕНО 17 МАЯ</t>
  </si>
  <si>
    <t>https://www.victoriassecret.com/clothing/all-sale-and-specials/double-slit-cover-up-maxi?ProductID=235291&amp;CatalogueType=OLS</t>
  </si>
  <si>
    <t>https://www.victoriassecret.com/beauty/makeup-specials/shiny-kiss-flavored-gloss-beauty-rush?ProductID=195787&amp;CatalogueType=OLS</t>
  </si>
  <si>
    <t>https://www.victoriassecret.com/beauty/vs-fantasies-bodycare-specials/total-attraction-smoothing-body-scrub-vs-fantasies?ProductID=210235&amp;CatalogueType=OLS</t>
  </si>
  <si>
    <t>https://www.victoriassecret.com/beauty/vs-fantasies-bodycare-specials/moonlight-dream-ultra-moisturizing-hand-and-body-cream-vs-fantasies?ProductID=154893&amp;CatalogueType=OLS</t>
  </si>
  <si>
    <t>https://www.victoriassecret.com/beauty/vs-fantasies-bodycare-specials/love-addict-body-wash-vs-fantasies?ProductID=225088&amp;CatalogueType=OLS</t>
  </si>
  <si>
    <t>https://www.victoriassecret.com/beauty/vs-fantasies-bodycare-specials/aqua-kiss-smoothing-body-scrub-vs-fantasies?ProductID=154952&amp;CatalogueType=OLS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</si>
</sst>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u val="single"/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0"/>
      <color indexed="10"/>
      <name val="Palatino Linotype"/>
      <family val="1"/>
    </font>
    <font>
      <b/>
      <sz val="11"/>
      <color indexed="21"/>
      <name val="Calibri"/>
      <family val="2"/>
    </font>
    <font>
      <sz val="9"/>
      <color indexed="8"/>
      <name val="Palatino Linotype"/>
      <family val="1"/>
    </font>
    <font>
      <b/>
      <sz val="10"/>
      <color indexed="10"/>
      <name val="Palatino Linotyp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sz val="10"/>
      <color rgb="FF666666"/>
      <name val="Palatino Linotype"/>
      <family val="1"/>
    </font>
    <font>
      <sz val="9"/>
      <color rgb="FF333333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Palatino Linotype"/>
      <family val="1"/>
    </font>
    <font>
      <b/>
      <sz val="11"/>
      <color rgb="FF00B050"/>
      <name val="Calibri"/>
      <family val="2"/>
    </font>
    <font>
      <sz val="9"/>
      <color rgb="FF000000"/>
      <name val="Palatino Linotype"/>
      <family val="1"/>
    </font>
    <font>
      <b/>
      <sz val="10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1" fillId="0" borderId="0" xfId="42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8" fillId="0" borderId="0" xfId="42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8" fillId="0" borderId="11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1" fillId="0" borderId="0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6" fontId="5" fillId="33" borderId="13" xfId="0" applyNumberFormat="1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1" fillId="0" borderId="0" xfId="0" applyFont="1" applyAlignment="1">
      <alignment/>
    </xf>
    <xf numFmtId="0" fontId="5" fillId="33" borderId="0" xfId="0" applyFont="1" applyFill="1" applyBorder="1" applyAlignment="1">
      <alignment/>
    </xf>
    <xf numFmtId="174" fontId="62" fillId="0" borderId="10" xfId="0" applyNumberFormat="1" applyFont="1" applyBorder="1" applyAlignment="1">
      <alignment/>
    </xf>
    <xf numFmtId="174" fontId="62" fillId="0" borderId="0" xfId="0" applyNumberFormat="1" applyFont="1" applyBorder="1" applyAlignment="1">
      <alignment/>
    </xf>
    <xf numFmtId="174" fontId="60" fillId="0" borderId="0" xfId="0" applyNumberFormat="1" applyFont="1" applyBorder="1" applyAlignment="1">
      <alignment/>
    </xf>
    <xf numFmtId="0" fontId="58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1" fillId="0" borderId="0" xfId="42" applyAlignment="1">
      <alignment/>
    </xf>
    <xf numFmtId="176" fontId="0" fillId="34" borderId="0" xfId="0" applyNumberFormat="1" applyFill="1" applyAlignment="1">
      <alignment/>
    </xf>
    <xf numFmtId="0" fontId="28" fillId="0" borderId="0" xfId="42" applyFont="1" applyAlignment="1">
      <alignment/>
    </xf>
    <xf numFmtId="176" fontId="5" fillId="34" borderId="0" xfId="0" applyNumberFormat="1" applyFont="1" applyFill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76" fontId="5" fillId="33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55" fillId="0" borderId="0" xfId="0" applyFont="1" applyAlignment="1">
      <alignment/>
    </xf>
    <xf numFmtId="0" fontId="41" fillId="0" borderId="0" xfId="42" applyAlignment="1">
      <alignment/>
    </xf>
    <xf numFmtId="0" fontId="63" fillId="35" borderId="0" xfId="0" applyFont="1" applyFill="1" applyAlignment="1">
      <alignment wrapText="1"/>
    </xf>
    <xf numFmtId="0" fontId="0" fillId="34" borderId="0" xfId="0" applyFill="1" applyAlignment="1">
      <alignment/>
    </xf>
    <xf numFmtId="0" fontId="64" fillId="0" borderId="0" xfId="0" applyFont="1" applyAlignment="1">
      <alignment/>
    </xf>
    <xf numFmtId="0" fontId="57" fillId="33" borderId="0" xfId="0" applyFont="1" applyFill="1" applyAlignment="1">
      <alignment/>
    </xf>
    <xf numFmtId="0" fontId="41" fillId="33" borderId="0" xfId="42" applyFill="1" applyAlignment="1">
      <alignment/>
    </xf>
    <xf numFmtId="0" fontId="5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63" fillId="0" borderId="0" xfId="0" applyFont="1" applyFill="1" applyAlignment="1">
      <alignment wrapText="1"/>
    </xf>
    <xf numFmtId="0" fontId="31" fillId="34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Border="1" applyAlignment="1">
      <alignment/>
    </xf>
    <xf numFmtId="174" fontId="53" fillId="0" borderId="10" xfId="0" applyNumberFormat="1" applyFont="1" applyBorder="1" applyAlignment="1">
      <alignment/>
    </xf>
    <xf numFmtId="0" fontId="5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ras/shop-all-bras/lace-trim-cheekini-panty-dream-angels?ProductID=233482&amp;CatalogueType=OLS" TargetMode="External" /><Relationship Id="rId2" Type="http://schemas.openxmlformats.org/officeDocument/2006/relationships/hyperlink" Target="https://www.victoriassecret.com/bras/shop-all-bras/lace-trim-thong-panty-dream-angels?ProductID=225585&amp;CatalogueType=OLS" TargetMode="External" /><Relationship Id="rId3" Type="http://schemas.openxmlformats.org/officeDocument/2006/relationships/hyperlink" Target="https://www.victoriassecret.com/bras/shop-all-bras/lace-trim-cheekini-panty-dream-angels?ProductID=233482&amp;CatalogueType=OLS" TargetMode="External" /><Relationship Id="rId4" Type="http://schemas.openxmlformats.org/officeDocument/2006/relationships/hyperlink" Target="https://www.victoriassecret.com/sale/panties-special/no-show-cheekster-panty-pink?ProductID=193077&amp;CatalogueType=OLS" TargetMode="External" /><Relationship Id="rId5" Type="http://schemas.openxmlformats.org/officeDocument/2006/relationships/hyperlink" Target="https://www.victoriassecret.com/sale/panties-special/string-bikini-panty-cotton-lingerie?ProductID=227848&amp;CatalogueType=OLS" TargetMode="External" /><Relationship Id="rId6" Type="http://schemas.openxmlformats.org/officeDocument/2006/relationships/hyperlink" Target="https://www.victoriassecret.com/sale/panties-special/no-show-cheekster-panty-pink?ProductID=193077&amp;CatalogueType=OLS" TargetMode="External" /><Relationship Id="rId7" Type="http://schemas.openxmlformats.org/officeDocument/2006/relationships/hyperlink" Target="https://www.victoriassecret.com/sale/panties-special/no-show-cheekster-panty-pink?ProductID=193077&amp;CatalogueType=OLS" TargetMode="External" /><Relationship Id="rId8" Type="http://schemas.openxmlformats.org/officeDocument/2006/relationships/hyperlink" Target="https://www.victoriassecret.com/clearance/swim/the-forever-lowrise-forever-sexy?ProductID=234769&amp;CatalogueType=OLS&amp;swatchImage=V41696" TargetMode="External" /><Relationship Id="rId9" Type="http://schemas.openxmlformats.org/officeDocument/2006/relationships/hyperlink" Target="https://www.victoriassecret.com/clearance/swim/strappy-string-bottom-very-sexy?ProductID=209146&amp;CatalogueType=OLS" TargetMode="External" /><Relationship Id="rId10" Type="http://schemas.openxmlformats.org/officeDocument/2006/relationships/hyperlink" Target="https://www.victoriassecret.com/clearance/swim/convertible-halter-top-forever-sexy?ProductID=181758&amp;CatalogueType=OLS&amp;swatchImage=V396387" TargetMode="External" /><Relationship Id="rId11" Type="http://schemas.openxmlformats.org/officeDocument/2006/relationships/hyperlink" Target="https://www.victoriassecret.com/swimwear/bikini-bottoms/ruchedmini-bikini-bottom-pink?ProductID=237589&amp;CatalogueType=OLS" TargetMode="External" /><Relationship Id="rId12" Type="http://schemas.openxmlformats.org/officeDocument/2006/relationships/hyperlink" Target="https://www.victoriassecret.com/clothing/shop-all/side-tie-tank-vintage-tees?ProductID=218836&amp;CatalogueType=OLS" TargetMode="External" /><Relationship Id="rId13" Type="http://schemas.openxmlformats.org/officeDocument/2006/relationships/hyperlink" Target="https://www.victoriassecret.com/sale/swim/ruched-hipkini-beach-sexy?ProductID=222657&amp;CatalogueType=OLS" TargetMode="External" /><Relationship Id="rId14" Type="http://schemas.openxmlformats.org/officeDocument/2006/relationships/hyperlink" Target="https://www.victoriassecret.com/catalogue/knockout-by-victoria39s-secret-tight-with-short-victorias-secret-sport?ProductID=224318&amp;CatalogueType=OLS&amp;cqo=true&amp;cqoCat=KY" TargetMode="External" /><Relationship Id="rId15" Type="http://schemas.openxmlformats.org/officeDocument/2006/relationships/hyperlink" Target="https://www.victoriassecret.com/clearance/swim/low-rise-bottom-very-sexy?ProductID=187974&amp;CatalogueType=OLS" TargetMode="External" /><Relationship Id="rId16" Type="http://schemas.openxmlformats.org/officeDocument/2006/relationships/hyperlink" Target="https://www.victoriassecret.com/clearance/bras/cutout-back-push-up-bra-very-sexy?ProductID=220688&amp;CatalogueType=OLS" TargetMode="External" /><Relationship Id="rId17" Type="http://schemas.openxmlformats.org/officeDocument/2006/relationships/hyperlink" Target="https://www.victoriassecret.com/clearance/bras/wear-everywhere-strapless-bra-pink?ProductID=223266&amp;CatalogueType=OLS" TargetMode="External" /><Relationship Id="rId18" Type="http://schemas.openxmlformats.org/officeDocument/2006/relationships/hyperlink" Target="https://www.victoriassecret.com/panties/5-for-27-styles/lace-waist-hiphugger-panty-cotton-lingerie?ProductID=237192&amp;CatalogueType=OLS" TargetMode="External" /><Relationship Id="rId19" Type="http://schemas.openxmlformats.org/officeDocument/2006/relationships/hyperlink" Target="https://www.victoriassecret.com/panties/5-for-27-styles/low-rise-bikini-panty-cotton-lingerie?ProductID=237570&amp;CatalogueType=OLS" TargetMode="External" /><Relationship Id="rId20" Type="http://schemas.openxmlformats.org/officeDocument/2006/relationships/hyperlink" Target="https://www.victoriassecret.com/sale/panties-special/lace-waist-cheeky-panty-cotton-lingerie?ProductID=228002&amp;CatalogueType=OLS" TargetMode="External" /><Relationship Id="rId21" Type="http://schemas.openxmlformats.org/officeDocument/2006/relationships/hyperlink" Target="https://www.victoriassecret.com/sale/swim/neon-paisley-push-up-triangle-top-beach-sexy?ProductID=189711&amp;CatalogueType=OLS" TargetMode="External" /><Relationship Id="rId22" Type="http://schemas.openxmlformats.org/officeDocument/2006/relationships/hyperlink" Target="https://www.victoriassecret.com/clearance/swim/the-classic-bandeau-forever-sexy?ProductID=234018&amp;CatalogueType=OLS" TargetMode="External" /><Relationship Id="rId23" Type="http://schemas.openxmlformats.org/officeDocument/2006/relationships/hyperlink" Target="https://www.victoriassecret.com/sale/swim/fringe-bandeau-beach-sexy?ProductID=228890&amp;CatalogueType=OLS" TargetMode="External" /><Relationship Id="rId24" Type="http://schemas.openxmlformats.org/officeDocument/2006/relationships/hyperlink" Target="https://www.victoriassecret.com/clearance/clothing/banded-cover-up-pant?ProductID=239888&amp;CatalogueType=OLS" TargetMode="External" /><Relationship Id="rId25" Type="http://schemas.openxmlformats.org/officeDocument/2006/relationships/hyperlink" Target="https://www.victoriassecret.com/panties/5-for-27-styles/string-bikini-panty-allover-lace-from-cotton-lingerie?ProductID=237493&amp;CatalogueType=OLS" TargetMode="External" /><Relationship Id="rId26" Type="http://schemas.openxmlformats.org/officeDocument/2006/relationships/hyperlink" Target="https://www.victoriassecret.com/panties/5-for-27-styles/dot-mesh-thong-panty-cotton-lingerie?ProductID=240792&amp;CatalogueType=OLS" TargetMode="External" /><Relationship Id="rId27" Type="http://schemas.openxmlformats.org/officeDocument/2006/relationships/hyperlink" Target="https://www.victoriassecret.com/panties/5-for-27-styles/curved-hem-hipster-panty-pink?ProductID=221255&amp;CatalogueType=OLS" TargetMode="External" /><Relationship Id="rId28" Type="http://schemas.openxmlformats.org/officeDocument/2006/relationships/hyperlink" Target="https://www.victoriassecret.com/panties/5-for-27-styles/lace-waist-cheeky-panty-cotton-lingerie?ProductID=228002&amp;CatalogueType=OLS" TargetMode="External" /><Relationship Id="rId29" Type="http://schemas.openxmlformats.org/officeDocument/2006/relationships/hyperlink" Target="https://www.victoriassecret.com/bras/cotton-lingerie/front-close-racerback-push-up-bra-cotton-lingerie?ProductID=242603&amp;CatalogueType=OLS" TargetMode="External" /><Relationship Id="rId30" Type="http://schemas.openxmlformats.org/officeDocument/2006/relationships/hyperlink" Target="https://www.victoriassecret.com/beauty/all-makeup/shiny-kiss-flavored-gloss-beauty-rush?ProductID=228348&amp;CatalogueType=OLS" TargetMode="External" /><Relationship Id="rId31" Type="http://schemas.openxmlformats.org/officeDocument/2006/relationships/hyperlink" Target="https://www.victoriassecret.com//sale/beauty/color-shine-gloss-beauty-rush?ProductID=199353&amp;CatalogueType=OLS&amp;search=true" TargetMode="External" /><Relationship Id="rId32" Type="http://schemas.openxmlformats.org/officeDocument/2006/relationships/hyperlink" Target="https://www.victoriassecret.com/beauty/all-makeup/lip-plumper-beauty-rush?ProductID=235266&amp;CatalogueType=OLS" TargetMode="External" /><Relationship Id="rId33" Type="http://schemas.openxmlformats.org/officeDocument/2006/relationships/hyperlink" Target="https://www.victoriassecret.com/beauty/all-makeup/lip-plumper-beauty-rush?ProductID=235266&amp;CatalogueType=OLS" TargetMode="External" /><Relationship Id="rId34" Type="http://schemas.openxmlformats.org/officeDocument/2006/relationships/hyperlink" Target="https://www.victoriassecret.com/sale/tops-and-tees/oversized-tunic-fleece?ProductID=233883&amp;CatalogueType=OLS" TargetMode="External" /><Relationship Id="rId35" Type="http://schemas.openxmlformats.org/officeDocument/2006/relationships/hyperlink" Target="https://www.victoriassecret.com/panties/5-for-27-styles/hiphugger-panty-cotton-lingerie?ProductID=230930&amp;CatalogueType=OLS" TargetMode="External" /><Relationship Id="rId36" Type="http://schemas.openxmlformats.org/officeDocument/2006/relationships/hyperlink" Target="https://www.victoriassecret.com/panties/5-for-27-styles/the-date-no-show-thong-panty-pink?ProductID=229055&amp;CatalogueType=OLS," TargetMode="External" /><Relationship Id="rId37" Type="http://schemas.openxmlformats.org/officeDocument/2006/relationships/hyperlink" Target="https://www.victoriassecret.com/panties/5-for-27-styles/geo-lace-cheekster-panty-pink?ProductID=226003&amp;CatalogueType=OLS" TargetMode="External" /><Relationship Id="rId38" Type="http://schemas.openxmlformats.org/officeDocument/2006/relationships/hyperlink" Target="https://www.victoriassecret.com/panties/5-for-27-styles/geo-lace-cheekster-panty-pink?ProductID=226003&amp;CatalogueType=OLS" TargetMode="External" /><Relationship Id="rId39" Type="http://schemas.openxmlformats.org/officeDocument/2006/relationships/hyperlink" Target="https://www.victoriassecret.com/panties/5-for-27-styles/lace-waist-cheeky-panty-cotton-lingerie?ProductID=228002&amp;CatalogueType=OLS," TargetMode="External" /><Relationship Id="rId40" Type="http://schemas.openxmlformats.org/officeDocument/2006/relationships/hyperlink" Target="https://www.victoriassecret.com/bras/t-shirt-bra/perfect-shape-bra-the-t-shirt?ProductID=236888&amp;CatalogueType=OLS" TargetMode="External" /><Relationship Id="rId41" Type="http://schemas.openxmlformats.org/officeDocument/2006/relationships/hyperlink" Target="https://www.victoriassecret.com/beauty/all-makeup/lip-plumper-beauty-rush?ProductID=235266&amp;CatalogueType=OLS" TargetMode="External" /><Relationship Id="rId42" Type="http://schemas.openxmlformats.org/officeDocument/2006/relationships/hyperlink" Target="https://www.victoriassecret.com/panties/5-for-27-styles/lace-thong-panty-pink?ProductID=229804&amp;CatalogueType=OLS" TargetMode="External" /><Relationship Id="rId43" Type="http://schemas.openxmlformats.org/officeDocument/2006/relationships/hyperlink" Target="https://www.victoriassecret.com/beauty/all-makeup/shiny-kiss-flavored-gloss-beauty-rush?ProductID=228348&amp;CatalogueType=OLS" TargetMode="External" /><Relationship Id="rId44" Type="http://schemas.openxmlformats.org/officeDocument/2006/relationships/hyperlink" Target="https://www.victoriassecret.com/swimwear/shop-by-size/the-fringe-itsy-beach-sexy?ProductID=220505&amp;CatalogueType=OLS" TargetMode="External" /><Relationship Id="rId45" Type="http://schemas.openxmlformats.org/officeDocument/2006/relationships/hyperlink" Target="https://www.victoriassecret.com/sale/tops-and-tees/low-armhole-tank-anytime-tees?ProductID=233923&amp;CatalogueType=OLS" TargetMode="External" /><Relationship Id="rId46" Type="http://schemas.openxmlformats.org/officeDocument/2006/relationships/hyperlink" Target="https://www.victoriassecret.com/swimwear/bikini-mixer" TargetMode="External" /><Relationship Id="rId47" Type="http://schemas.openxmlformats.org/officeDocument/2006/relationships/hyperlink" Target="https://www.victoriassecret.com/swimwear/bikini-mixer" TargetMode="External" /><Relationship Id="rId48" Type="http://schemas.openxmlformats.org/officeDocument/2006/relationships/hyperlink" Target="https://www.victoriassecret.com/swimwear/shop-by-size/the-midi-bandeau-beach-sexy?ProductID=220408&amp;CatalogueType=OLS" TargetMode="External" /><Relationship Id="rId49" Type="http://schemas.openxmlformats.org/officeDocument/2006/relationships/hyperlink" Target="https://www.victoriassecret.com/swimwear/trend-edit/cut-out-bandeau-very-sexy?ProductID=227108&amp;CatalogueType=OLS&amp;search=true" TargetMode="External" /><Relationship Id="rId50" Type="http://schemas.openxmlformats.org/officeDocument/2006/relationships/hyperlink" Target="https://www.victoriassecret.com/clearance/bras/perfect-lace-strapless-bra-pink?ProductID=193602&amp;CatalogueType=OLS" TargetMode="External" /><Relationship Id="rId51" Type="http://schemas.openxmlformats.org/officeDocument/2006/relationships/hyperlink" Target="https://www.victoriassecret.com/victorias-secret-sport/all-tops/lightweight-sport-tank-victorias-secret-sport?ProductID=218763&amp;CatalogueType=OLS&amp;swatchImage=HE7" TargetMode="External" /><Relationship Id="rId52" Type="http://schemas.openxmlformats.org/officeDocument/2006/relationships/hyperlink" Target="https://www.victoriassecret.com/clearance/swim/one-shoulder-top-very-sexy?ProductID=189778&amp;CatalogueType=OLS" TargetMode="External" /><Relationship Id="rId53" Type="http://schemas.openxmlformats.org/officeDocument/2006/relationships/hyperlink" Target="https://www.victoriassecret.com/lingerie/bras-and-panties/lace-trim-cheekini-panty-dream-angels?ProductID=233482&amp;CatalogueType=OLS&#160;" TargetMode="External" /><Relationship Id="rId54" Type="http://schemas.openxmlformats.org/officeDocument/2006/relationships/hyperlink" Target="https://www.victoriassecret.com/lingerie/bras-and-panties/lace-trim-cheekini-panty-dream-angels?ProductID=233482&amp;CatalogueType=OLS&#160;" TargetMode="External" /><Relationship Id="rId55" Type="http://schemas.openxmlformats.org/officeDocument/2006/relationships/hyperlink" Target="https://www.victoriassecret.com/lingerie/bras-and-panties/lace-trim-cheekini-panty-dream-angels?ProductID=233482&amp;CatalogueType=OLS" TargetMode="External" /><Relationship Id="rId56" Type="http://schemas.openxmlformats.org/officeDocument/2006/relationships/hyperlink" Target="https://www.victoriassecret.com/bras/shop-all-bras/multi-way-bra-dream-angels?ProductID=240212&amp;CatalogueType=OLS&#160;" TargetMode="External" /><Relationship Id="rId57" Type="http://schemas.openxmlformats.org/officeDocument/2006/relationships/hyperlink" Target="https://www.victoriassecret.com/sleepwear/shop-all-sleep-mobile/slip-the-lacie?ProductID=229301&amp;CatalogueType=OLS&#160;" TargetMode="External" /><Relationship Id="rId58" Type="http://schemas.openxmlformats.org/officeDocument/2006/relationships/hyperlink" Target="https://www.victoriassecret.com/sleepwear/shop-all-sleep-mobile/racerback-slip-signature-cotton?ProductID=196587&amp;CatalogueType=OLS" TargetMode="External" /><Relationship Id="rId59" Type="http://schemas.openxmlformats.org/officeDocument/2006/relationships/hyperlink" Target="https://www.victoriassecret.com/bras/shop-all-bras/wireless-bra-body-by-victoria?ProductID=235962&amp;CatalogueType=OLS" TargetMode="External" /><Relationship Id="rId60" Type="http://schemas.openxmlformats.org/officeDocument/2006/relationships/hyperlink" Target="https://www.victoriassecret.com/sleepwear/satin-indulgences/lace-appliqu-satin-slip-very-sexy?ProductID=189956&amp;CatalogueType=OLS" TargetMode="External" /><Relationship Id="rId61" Type="http://schemas.openxmlformats.org/officeDocument/2006/relationships/hyperlink" Target="https://www.victoriassecret.com/bras/buy-more-and-save-bras/wireless-bra-sexy-tee?ProductID=228985&amp;CatalogueType=OLS" TargetMode="External" /><Relationship Id="rId62" Type="http://schemas.openxmlformats.org/officeDocument/2006/relationships/hyperlink" Target="https://www.victoriassecret.com/catalogue/low-rise-bikini-panty-cotton-lingerie?ProductID=182956&amp;CatalogueType=OLS&amp;cqo=true&amp;cqoCat=LW" TargetMode="External" /><Relationship Id="rId63" Type="http://schemas.openxmlformats.org/officeDocument/2006/relationships/hyperlink" Target="https://www.victoriassecret.com/catalogue/lace-front-bikini-panty-body-by-victoria?ProductID=230578&amp;CatalogueType=OLS&amp;cqo=true&amp;cqoCat=LW" TargetMode="External" /><Relationship Id="rId64" Type="http://schemas.openxmlformats.org/officeDocument/2006/relationships/hyperlink" Target="https://www.victoriassecret.com/beauty/shop-all-beauty/self-tanning-tinted-lotion-beach-sexy?ProductID=90767&amp;CatalogueType=OLS&amp;search=true" TargetMode="External" /><Relationship Id="rId65" Type="http://schemas.openxmlformats.org/officeDocument/2006/relationships/hyperlink" Target="https://www.victoriassecret.com/beauty/all-body-care/instant-bronzing-tinted-shimmer-lotion-beach-sexy?ProductID=90766&amp;CatalogueType=OLS" TargetMode="External" /><Relationship Id="rId66" Type="http://schemas.openxmlformats.org/officeDocument/2006/relationships/hyperlink" Target="https://www.victoriassecret.com/clearance/sleep/lace-trim-henley-tank?ProductID=224561&amp;CatalogueType=OLS" TargetMode="External" /><Relationship Id="rId67" Type="http://schemas.openxmlformats.org/officeDocument/2006/relationships/hyperlink" Target="https://www.victoriassecret.com/swimwear/beach-sexy/zip-long-line-triangle-top-beach-sexy?ProductID=221497&amp;CatalogueType=OLS" TargetMode="External" /><Relationship Id="rId68" Type="http://schemas.openxmlformats.org/officeDocument/2006/relationships/hyperlink" Target="https://www.victoriassecret.com/swimwear/beach-sexy/zip-long-line-triangle-top-beach-sexy?ProductID=221497&amp;CatalogueType=OLS" TargetMode="External" /><Relationship Id="rId69" Type="http://schemas.openxmlformats.org/officeDocument/2006/relationships/hyperlink" Target="https://www.victoriassecret.com/swimwear/beach-sexy/zip-long-line-triangle-top-beach-sexy?ProductID=221497&amp;CatalogueType=OLS" TargetMode="External" /><Relationship Id="rId70" Type="http://schemas.openxmlformats.org/officeDocument/2006/relationships/hyperlink" Target="https://www.victoriassecret.com/swimwear/shaping/halter-one-piece-secret-by-victorias-secret-swim?ProductID=217749&amp;CatalogueType=OLS" TargetMode="External" /><Relationship Id="rId71" Type="http://schemas.openxmlformats.org/officeDocument/2006/relationships/hyperlink" Target="https://www.victoriassecret.com/swimwear/beach-sexy/zip-long-line-triangle-top-beach-sexy?ProductID=221497&amp;CatalogueType=OLS" TargetMode="Externa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3"/>
  <sheetViews>
    <sheetView tabSelected="1" zoomScalePageLayoutView="0" workbookViewId="0" topLeftCell="A1">
      <pane ySplit="1" topLeftCell="A501" activePane="bottomLeft" state="frozen"/>
      <selection pane="topLeft" activeCell="A1" sqref="A1"/>
      <selection pane="bottomLeft" activeCell="I549" sqref="I549"/>
    </sheetView>
  </sheetViews>
  <sheetFormatPr defaultColWidth="8.8515625" defaultRowHeight="15"/>
  <cols>
    <col min="1" max="3" width="8.8515625" style="9" customWidth="1"/>
    <col min="4" max="4" width="10.8515625" style="9" bestFit="1" customWidth="1"/>
    <col min="5" max="5" width="8.8515625" style="9" customWidth="1"/>
    <col min="6" max="6" width="35.421875" style="9" bestFit="1" customWidth="1"/>
    <col min="7" max="7" width="8.8515625" style="9" customWidth="1"/>
    <col min="8" max="8" width="9.140625" style="5" customWidth="1"/>
    <col min="9" max="9" width="12.28125" style="9" bestFit="1" customWidth="1"/>
    <col min="10" max="10" width="11.8515625" style="9" bestFit="1" customWidth="1"/>
    <col min="11" max="14" width="8.8515625" style="9" customWidth="1"/>
    <col min="15" max="15" width="29.28125" style="9" bestFit="1" customWidth="1"/>
    <col min="16" max="17" width="12.00390625" style="9" bestFit="1" customWidth="1"/>
    <col min="18" max="16384" width="8.8515625" style="9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  <c r="K1" s="9" t="s">
        <v>60</v>
      </c>
    </row>
    <row r="2" spans="1:17" ht="15.75">
      <c r="A2" s="8" t="s">
        <v>15</v>
      </c>
      <c r="B2" s="12" t="s">
        <v>109</v>
      </c>
      <c r="D2" s="43" t="s">
        <v>110</v>
      </c>
      <c r="E2" s="9" t="s">
        <v>20</v>
      </c>
      <c r="F2" s="6" t="s">
        <v>111</v>
      </c>
      <c r="G2" s="8">
        <v>1</v>
      </c>
      <c r="H2" s="61">
        <v>9.99</v>
      </c>
      <c r="I2" s="37"/>
      <c r="J2" s="37" t="e">
        <f>H2*G2*#REF!*#REF!</f>
        <v>#REF!</v>
      </c>
      <c r="L2" s="8"/>
      <c r="M2" s="8"/>
      <c r="N2" s="8"/>
      <c r="O2" s="8"/>
      <c r="P2" s="8"/>
      <c r="Q2" s="8"/>
    </row>
    <row r="3" spans="1:10" ht="15.75">
      <c r="A3" s="16" t="s">
        <v>15</v>
      </c>
      <c r="B3" s="12" t="s">
        <v>109</v>
      </c>
      <c r="D3" s="43" t="s">
        <v>112</v>
      </c>
      <c r="E3" s="9" t="s">
        <v>16</v>
      </c>
      <c r="F3" s="6" t="s">
        <v>113</v>
      </c>
      <c r="G3" s="8">
        <v>1</v>
      </c>
      <c r="H3" s="61">
        <v>9.99</v>
      </c>
      <c r="I3" s="37"/>
      <c r="J3" s="37" t="e">
        <f>H3*G3*#REF!*#REF!</f>
        <v>#REF!</v>
      </c>
    </row>
    <row r="4" spans="1:18" ht="16.5" thickBot="1">
      <c r="A4" s="16" t="s">
        <v>17</v>
      </c>
      <c r="B4" s="12" t="s">
        <v>114</v>
      </c>
      <c r="D4" s="41" t="s">
        <v>115</v>
      </c>
      <c r="E4" s="9" t="s">
        <v>7</v>
      </c>
      <c r="F4" s="6" t="s">
        <v>116</v>
      </c>
      <c r="G4" s="8">
        <v>1</v>
      </c>
      <c r="H4" s="61">
        <v>3.99</v>
      </c>
      <c r="I4" s="37"/>
      <c r="J4" s="37" t="e">
        <f>H4*G4*#REF!*#REF!</f>
        <v>#REF!</v>
      </c>
      <c r="P4" s="11"/>
      <c r="Q4" s="11"/>
      <c r="R4" s="11"/>
    </row>
    <row r="5" spans="1:18" ht="15.75">
      <c r="A5" s="16" t="s">
        <v>17</v>
      </c>
      <c r="B5" s="12" t="s">
        <v>117</v>
      </c>
      <c r="D5" s="41" t="s">
        <v>118</v>
      </c>
      <c r="E5" s="9" t="s">
        <v>77</v>
      </c>
      <c r="F5" s="6" t="s">
        <v>119</v>
      </c>
      <c r="G5" s="8">
        <v>1</v>
      </c>
      <c r="H5" s="61">
        <v>23.99</v>
      </c>
      <c r="I5" s="37"/>
      <c r="J5" s="37" t="e">
        <f>H5*G5*#REF!*#REF!</f>
        <v>#REF!</v>
      </c>
      <c r="O5" s="65" t="s">
        <v>41</v>
      </c>
      <c r="P5" s="64">
        <f>SUM(H8:H19)</f>
        <v>334.41</v>
      </c>
      <c r="Q5" s="33"/>
      <c r="R5" s="11"/>
    </row>
    <row r="6" spans="1:18" ht="16.5" thickBot="1">
      <c r="A6" s="16" t="s">
        <v>17</v>
      </c>
      <c r="B6" s="12" t="s">
        <v>120</v>
      </c>
      <c r="D6" s="41" t="s">
        <v>121</v>
      </c>
      <c r="E6" s="9" t="s">
        <v>7</v>
      </c>
      <c r="F6" s="6" t="s">
        <v>122</v>
      </c>
      <c r="G6" s="8">
        <v>1</v>
      </c>
      <c r="H6" s="61">
        <v>3.99</v>
      </c>
      <c r="I6" s="37"/>
      <c r="J6" s="37" t="e">
        <f>H6*G6*#REF!*#REF!</f>
        <v>#REF!</v>
      </c>
      <c r="O6" s="47" t="s">
        <v>42</v>
      </c>
      <c r="P6" s="25">
        <f>SUM(H8:H15)</f>
        <v>256.45</v>
      </c>
      <c r="Q6" s="33"/>
      <c r="R6" s="11"/>
    </row>
    <row r="7" spans="1:16" s="34" customFormat="1" ht="15.75">
      <c r="A7" s="23" t="s">
        <v>123</v>
      </c>
      <c r="B7" s="9"/>
      <c r="F7" s="24" t="s">
        <v>151</v>
      </c>
      <c r="H7" s="35"/>
      <c r="J7" s="40"/>
      <c r="O7" s="47" t="s">
        <v>43</v>
      </c>
      <c r="P7" s="25">
        <f>SUM(H16:H19)</f>
        <v>77.96</v>
      </c>
    </row>
    <row r="8" spans="1:16" ht="15.75">
      <c r="A8" s="16" t="s">
        <v>124</v>
      </c>
      <c r="B8" s="12" t="s">
        <v>125</v>
      </c>
      <c r="D8" s="43" t="s">
        <v>126</v>
      </c>
      <c r="E8" s="9" t="s">
        <v>13</v>
      </c>
      <c r="F8" s="42" t="s">
        <v>35</v>
      </c>
      <c r="G8" s="8">
        <v>1</v>
      </c>
      <c r="H8" s="58">
        <v>32.5</v>
      </c>
      <c r="I8" s="52">
        <f aca="true" t="shared" si="0" ref="I8:I15">H8*G8*$P$14*$P$19</f>
        <v>2049.019754532099</v>
      </c>
      <c r="J8" s="36"/>
      <c r="O8" s="47" t="s">
        <v>29</v>
      </c>
      <c r="P8" s="26">
        <v>56.99</v>
      </c>
    </row>
    <row r="9" spans="1:16" ht="15.75">
      <c r="A9" s="16" t="s">
        <v>127</v>
      </c>
      <c r="B9" s="12" t="s">
        <v>128</v>
      </c>
      <c r="D9" s="43" t="s">
        <v>129</v>
      </c>
      <c r="E9" s="9" t="s">
        <v>7</v>
      </c>
      <c r="F9" s="42" t="s">
        <v>35</v>
      </c>
      <c r="G9" s="8">
        <v>1</v>
      </c>
      <c r="H9" s="58">
        <v>39.5</v>
      </c>
      <c r="I9" s="52">
        <f t="shared" si="0"/>
        <v>2490.347086277474</v>
      </c>
      <c r="J9" s="37">
        <f>17712-16913</f>
        <v>799</v>
      </c>
      <c r="O9" s="47" t="s">
        <v>32</v>
      </c>
      <c r="P9" s="27">
        <f>P8/(P5-P11)+0.07</f>
        <v>0.27396549872946563</v>
      </c>
    </row>
    <row r="10" spans="1:16" ht="15.75">
      <c r="A10" s="16" t="s">
        <v>127</v>
      </c>
      <c r="B10" s="12" t="s">
        <v>130</v>
      </c>
      <c r="D10" s="43" t="s">
        <v>131</v>
      </c>
      <c r="E10" s="9" t="s">
        <v>7</v>
      </c>
      <c r="F10" s="42" t="s">
        <v>132</v>
      </c>
      <c r="G10" s="8">
        <v>1</v>
      </c>
      <c r="H10" s="58">
        <v>49.95</v>
      </c>
      <c r="I10" s="52">
        <f t="shared" si="0"/>
        <v>3149.185745811641</v>
      </c>
      <c r="J10" s="36"/>
      <c r="O10" s="47" t="s">
        <v>32</v>
      </c>
      <c r="P10" s="27">
        <f>P8/(P5-P11)+0.12</f>
        <v>0.3239654987294657</v>
      </c>
    </row>
    <row r="11" spans="1:16" ht="15.75">
      <c r="A11" s="16" t="s">
        <v>127</v>
      </c>
      <c r="B11" s="12" t="s">
        <v>133</v>
      </c>
      <c r="D11" s="43" t="s">
        <v>134</v>
      </c>
      <c r="E11" s="9" t="s">
        <v>7</v>
      </c>
      <c r="F11" s="42" t="s">
        <v>135</v>
      </c>
      <c r="G11" s="8">
        <v>1</v>
      </c>
      <c r="H11" s="58">
        <v>11</v>
      </c>
      <c r="I11" s="52">
        <f t="shared" si="0"/>
        <v>693.514378457018</v>
      </c>
      <c r="J11" s="36"/>
      <c r="O11" s="47" t="s">
        <v>44</v>
      </c>
      <c r="P11" s="26">
        <v>55</v>
      </c>
    </row>
    <row r="12" spans="1:16" ht="15.75">
      <c r="A12" s="16" t="s">
        <v>127</v>
      </c>
      <c r="B12" s="12" t="s">
        <v>133</v>
      </c>
      <c r="D12" s="43" t="s">
        <v>134</v>
      </c>
      <c r="E12" s="9" t="s">
        <v>7</v>
      </c>
      <c r="F12" s="42" t="s">
        <v>37</v>
      </c>
      <c r="G12" s="8">
        <v>1</v>
      </c>
      <c r="H12" s="58">
        <v>11</v>
      </c>
      <c r="I12" s="52">
        <f t="shared" si="0"/>
        <v>693.514378457018</v>
      </c>
      <c r="J12" s="36"/>
      <c r="O12" s="47" t="s">
        <v>45</v>
      </c>
      <c r="P12" s="26">
        <f>P11/P6</f>
        <v>0.21446675765256387</v>
      </c>
    </row>
    <row r="13" spans="1:16" ht="15.75">
      <c r="A13" s="16" t="s">
        <v>127</v>
      </c>
      <c r="B13" s="12" t="s">
        <v>133</v>
      </c>
      <c r="D13" s="43" t="s">
        <v>134</v>
      </c>
      <c r="E13" s="9" t="s">
        <v>7</v>
      </c>
      <c r="F13" s="42" t="s">
        <v>35</v>
      </c>
      <c r="G13" s="8">
        <v>1</v>
      </c>
      <c r="H13" s="58">
        <v>11</v>
      </c>
      <c r="I13" s="52">
        <f t="shared" si="0"/>
        <v>693.514378457018</v>
      </c>
      <c r="J13" s="36"/>
      <c r="O13" s="48" t="s">
        <v>42</v>
      </c>
      <c r="P13" s="27"/>
    </row>
    <row r="14" spans="1:16" ht="15.75">
      <c r="A14" s="16" t="s">
        <v>127</v>
      </c>
      <c r="B14" s="12" t="s">
        <v>136</v>
      </c>
      <c r="D14" s="43" t="s">
        <v>137</v>
      </c>
      <c r="E14" s="9" t="s">
        <v>7</v>
      </c>
      <c r="F14" s="42" t="s">
        <v>66</v>
      </c>
      <c r="G14" s="8">
        <v>1</v>
      </c>
      <c r="H14" s="58">
        <v>59.5</v>
      </c>
      <c r="I14" s="52">
        <f t="shared" si="0"/>
        <v>3751.282319835688</v>
      </c>
      <c r="J14" s="36"/>
      <c r="O14" s="47" t="s">
        <v>30</v>
      </c>
      <c r="P14" s="29">
        <f>(1-P12)*(1+P9)</f>
        <v>1.0007422488557258</v>
      </c>
    </row>
    <row r="15" spans="1:16" ht="15.75">
      <c r="A15" s="16" t="s">
        <v>24</v>
      </c>
      <c r="B15" s="12" t="s">
        <v>138</v>
      </c>
      <c r="D15" s="43" t="s">
        <v>139</v>
      </c>
      <c r="E15" s="9" t="s">
        <v>70</v>
      </c>
      <c r="F15" s="42" t="s">
        <v>140</v>
      </c>
      <c r="G15" s="8">
        <v>1</v>
      </c>
      <c r="H15" s="58">
        <v>42</v>
      </c>
      <c r="I15" s="52">
        <f t="shared" si="0"/>
        <v>2647.9639904722508</v>
      </c>
      <c r="J15" s="36">
        <f>I15-2800</f>
        <v>-152.03600952774923</v>
      </c>
      <c r="O15" s="47" t="s">
        <v>31</v>
      </c>
      <c r="P15" s="29">
        <f>(1-P12)*(1+P10)</f>
        <v>1.0400189109730975</v>
      </c>
    </row>
    <row r="16" spans="1:16" ht="15.75">
      <c r="A16" s="16" t="s">
        <v>68</v>
      </c>
      <c r="B16" s="9" t="s">
        <v>141</v>
      </c>
      <c r="D16" s="43" t="s">
        <v>142</v>
      </c>
      <c r="E16" s="9" t="s">
        <v>7</v>
      </c>
      <c r="F16" s="42" t="s">
        <v>143</v>
      </c>
      <c r="G16" s="8">
        <v>1</v>
      </c>
      <c r="H16" s="61">
        <v>14.99</v>
      </c>
      <c r="I16" s="53">
        <f>H16*G16*$P$17*$P$19</f>
        <v>1203.0947980351457</v>
      </c>
      <c r="J16" s="37">
        <f>I16-1250</f>
        <v>-46.905201964854314</v>
      </c>
      <c r="O16" s="48" t="s">
        <v>43</v>
      </c>
      <c r="P16" s="26"/>
    </row>
    <row r="17" spans="1:16" ht="15.75">
      <c r="A17" s="16" t="s">
        <v>124</v>
      </c>
      <c r="B17" s="12" t="s">
        <v>144</v>
      </c>
      <c r="D17" s="43" t="s">
        <v>145</v>
      </c>
      <c r="E17" s="9" t="s">
        <v>13</v>
      </c>
      <c r="F17" s="42" t="s">
        <v>146</v>
      </c>
      <c r="G17" s="8">
        <v>1</v>
      </c>
      <c r="H17" s="61">
        <v>11.99</v>
      </c>
      <c r="I17" s="53">
        <f>H17*G17*$P$17*$P$19</f>
        <v>962.3153187752765</v>
      </c>
      <c r="J17" s="37"/>
      <c r="O17" s="47" t="s">
        <v>30</v>
      </c>
      <c r="P17" s="30">
        <f>1+P9</f>
        <v>1.2739654987294657</v>
      </c>
    </row>
    <row r="18" spans="1:16" ht="15.75">
      <c r="A18" s="16" t="s">
        <v>124</v>
      </c>
      <c r="B18" s="12" t="s">
        <v>147</v>
      </c>
      <c r="D18" s="43" t="s">
        <v>148</v>
      </c>
      <c r="E18" s="9" t="s">
        <v>40</v>
      </c>
      <c r="F18" s="42" t="s">
        <v>146</v>
      </c>
      <c r="G18" s="8">
        <v>1</v>
      </c>
      <c r="H18" s="61">
        <v>23.99</v>
      </c>
      <c r="I18" s="53">
        <f>H18*G18*$P$17*$P$19</f>
        <v>1925.4332358147526</v>
      </c>
      <c r="J18" s="37"/>
      <c r="O18" s="47" t="s">
        <v>31</v>
      </c>
      <c r="P18" s="30">
        <f>1+P10</f>
        <v>1.3239654987294656</v>
      </c>
    </row>
    <row r="19" spans="1:16" ht="16.5" thickBot="1">
      <c r="A19" s="16" t="s">
        <v>127</v>
      </c>
      <c r="B19" s="12" t="s">
        <v>149</v>
      </c>
      <c r="D19" s="43" t="s">
        <v>150</v>
      </c>
      <c r="E19" s="9" t="s">
        <v>7</v>
      </c>
      <c r="F19" s="42" t="s">
        <v>55</v>
      </c>
      <c r="G19" s="8">
        <v>1</v>
      </c>
      <c r="H19" s="61">
        <v>26.99</v>
      </c>
      <c r="I19" s="53">
        <f>H19*G19*$P$17*$P$19</f>
        <v>2166.2127150746214</v>
      </c>
      <c r="J19" s="37"/>
      <c r="O19" s="49" t="s">
        <v>33</v>
      </c>
      <c r="P19" s="32">
        <v>63</v>
      </c>
    </row>
    <row r="20" spans="1:17" ht="15.75">
      <c r="A20" s="23" t="s">
        <v>152</v>
      </c>
      <c r="C20" s="34"/>
      <c r="D20" s="34"/>
      <c r="E20" s="34"/>
      <c r="F20" s="24" t="s">
        <v>203</v>
      </c>
      <c r="G20" s="8"/>
      <c r="P20" s="16"/>
      <c r="Q20" s="30"/>
    </row>
    <row r="21" spans="1:17" ht="16.5" thickBot="1">
      <c r="A21" s="16" t="s">
        <v>124</v>
      </c>
      <c r="B21" s="12" t="s">
        <v>125</v>
      </c>
      <c r="D21" s="43" t="s">
        <v>153</v>
      </c>
      <c r="E21" s="9" t="s">
        <v>69</v>
      </c>
      <c r="F21" s="42" t="s">
        <v>154</v>
      </c>
      <c r="G21" s="8">
        <v>1</v>
      </c>
      <c r="H21" s="58">
        <v>48.5</v>
      </c>
      <c r="I21" s="52">
        <f aca="true" t="shared" si="1" ref="I21:I38">H21*G21*$P$33*$P$38</f>
        <v>3109.548073936259</v>
      </c>
      <c r="J21" s="36">
        <f>8046-8300</f>
        <v>-254</v>
      </c>
      <c r="P21" s="31"/>
      <c r="Q21" s="32"/>
    </row>
    <row r="22" spans="1:17" ht="15.75">
      <c r="A22" s="16" t="s">
        <v>15</v>
      </c>
      <c r="B22" s="21" t="s">
        <v>91</v>
      </c>
      <c r="C22" s="8"/>
      <c r="D22" s="19" t="s">
        <v>92</v>
      </c>
      <c r="E22" s="8" t="s">
        <v>16</v>
      </c>
      <c r="F22" s="18" t="s">
        <v>93</v>
      </c>
      <c r="G22" s="8">
        <v>1</v>
      </c>
      <c r="H22" s="66">
        <v>29.5</v>
      </c>
      <c r="I22" s="36"/>
      <c r="J22" s="36">
        <f>H22*G22*$P$34*$P$38</f>
        <v>1966.3667069357275</v>
      </c>
      <c r="L22" s="8"/>
      <c r="M22" s="8"/>
      <c r="N22" s="8"/>
      <c r="O22" s="8"/>
      <c r="P22" s="8"/>
      <c r="Q22" s="8"/>
    </row>
    <row r="23" spans="1:10" ht="16.5" thickBot="1">
      <c r="A23" s="16" t="s">
        <v>127</v>
      </c>
      <c r="B23" s="12" t="s">
        <v>155</v>
      </c>
      <c r="D23" s="43" t="s">
        <v>156</v>
      </c>
      <c r="E23" s="9" t="s">
        <v>7</v>
      </c>
      <c r="F23" s="42" t="s">
        <v>35</v>
      </c>
      <c r="G23" s="8">
        <v>1</v>
      </c>
      <c r="H23" s="58">
        <v>42.5</v>
      </c>
      <c r="I23" s="52">
        <f t="shared" si="1"/>
        <v>2724.8617142740413</v>
      </c>
      <c r="J23" s="36"/>
    </row>
    <row r="24" spans="1:16" ht="15.75">
      <c r="A24" s="16" t="s">
        <v>79</v>
      </c>
      <c r="B24" s="12" t="s">
        <v>157</v>
      </c>
      <c r="D24" s="43" t="s">
        <v>158</v>
      </c>
      <c r="E24" s="9" t="s">
        <v>16</v>
      </c>
      <c r="F24" s="42" t="s">
        <v>35</v>
      </c>
      <c r="G24" s="8">
        <v>1</v>
      </c>
      <c r="H24" s="58">
        <v>20.5</v>
      </c>
      <c r="I24" s="36"/>
      <c r="J24" s="36">
        <f>H24*G24*$P$34*$P$38</f>
        <v>1366.45822007398</v>
      </c>
      <c r="O24" s="67" t="s">
        <v>41</v>
      </c>
      <c r="P24" s="64">
        <f>SUM(H21:H44)</f>
        <v>389.93999999999994</v>
      </c>
    </row>
    <row r="25" spans="1:16" ht="15.75">
      <c r="A25" s="16" t="s">
        <v>79</v>
      </c>
      <c r="B25" s="12" t="s">
        <v>157</v>
      </c>
      <c r="D25" s="43" t="s">
        <v>159</v>
      </c>
      <c r="E25" s="9" t="s">
        <v>20</v>
      </c>
      <c r="F25" s="42" t="s">
        <v>35</v>
      </c>
      <c r="G25" s="8">
        <v>1</v>
      </c>
      <c r="H25" s="58">
        <v>18.5</v>
      </c>
      <c r="I25" s="36"/>
      <c r="J25" s="36">
        <f>H25*G25*$P$34*$P$38</f>
        <v>1233.145222993592</v>
      </c>
      <c r="O25" s="16" t="s">
        <v>42</v>
      </c>
      <c r="P25" s="25">
        <f>SUM(H21:H38)</f>
        <v>284.9999999999999</v>
      </c>
    </row>
    <row r="26" spans="1:16" ht="15.75">
      <c r="A26" s="16" t="s">
        <v>79</v>
      </c>
      <c r="B26" s="12" t="s">
        <v>160</v>
      </c>
      <c r="D26" s="43" t="s">
        <v>161</v>
      </c>
      <c r="E26" s="9" t="s">
        <v>20</v>
      </c>
      <c r="F26" s="42" t="s">
        <v>162</v>
      </c>
      <c r="G26" s="8">
        <v>1</v>
      </c>
      <c r="H26" s="58">
        <v>22</v>
      </c>
      <c r="I26" s="36"/>
      <c r="J26" s="36">
        <f>H26*G26*$P$34*$P$38</f>
        <v>1466.4429678842712</v>
      </c>
      <c r="O26" s="16" t="s">
        <v>43</v>
      </c>
      <c r="P26" s="25">
        <f>SUM(H39:H44)</f>
        <v>104.93999999999998</v>
      </c>
    </row>
    <row r="27" spans="1:16" ht="15.75">
      <c r="A27" s="16" t="s">
        <v>107</v>
      </c>
      <c r="B27" s="12" t="s">
        <v>163</v>
      </c>
      <c r="D27" s="43" t="s">
        <v>164</v>
      </c>
      <c r="E27" s="9" t="s">
        <v>16</v>
      </c>
      <c r="F27" s="42" t="s">
        <v>165</v>
      </c>
      <c r="G27" s="8">
        <v>1</v>
      </c>
      <c r="H27" s="58">
        <v>5.4</v>
      </c>
      <c r="I27" s="52">
        <f t="shared" si="1"/>
        <v>346.21772369599586</v>
      </c>
      <c r="J27" s="36"/>
      <c r="O27" s="16" t="s">
        <v>29</v>
      </c>
      <c r="P27" s="26">
        <v>63.99</v>
      </c>
    </row>
    <row r="28" spans="1:16" ht="15.75">
      <c r="A28" s="16" t="s">
        <v>107</v>
      </c>
      <c r="B28" s="34" t="s">
        <v>163</v>
      </c>
      <c r="C28" s="34"/>
      <c r="D28" s="43" t="s">
        <v>164</v>
      </c>
      <c r="E28" s="34" t="s">
        <v>16</v>
      </c>
      <c r="F28" s="42" t="s">
        <v>96</v>
      </c>
      <c r="G28" s="8">
        <v>1</v>
      </c>
      <c r="H28" s="58">
        <v>5.4</v>
      </c>
      <c r="I28" s="52">
        <f t="shared" si="1"/>
        <v>346.21772369599586</v>
      </c>
      <c r="J28" s="36"/>
      <c r="L28" s="34"/>
      <c r="M28" s="34"/>
      <c r="N28" s="34"/>
      <c r="O28" s="16" t="s">
        <v>32</v>
      </c>
      <c r="P28" s="27">
        <f>P27/(P24-P30)+0.07</f>
        <v>0.2610491431301129</v>
      </c>
    </row>
    <row r="29" spans="1:16" ht="15.75">
      <c r="A29" s="16" t="s">
        <v>107</v>
      </c>
      <c r="B29" s="34" t="s">
        <v>166</v>
      </c>
      <c r="C29" s="34"/>
      <c r="D29" s="43" t="s">
        <v>167</v>
      </c>
      <c r="E29" s="34" t="s">
        <v>16</v>
      </c>
      <c r="F29" s="42" t="s">
        <v>35</v>
      </c>
      <c r="G29" s="8">
        <v>1</v>
      </c>
      <c r="H29" s="58">
        <v>5.4</v>
      </c>
      <c r="I29" s="52">
        <f t="shared" si="1"/>
        <v>346.21772369599586</v>
      </c>
      <c r="J29" s="36"/>
      <c r="L29" s="34"/>
      <c r="M29" s="34"/>
      <c r="N29" s="34"/>
      <c r="O29" s="16" t="s">
        <v>32</v>
      </c>
      <c r="P29" s="27">
        <f>P27/(P24-P30)+0.12</f>
        <v>0.3110491431301129</v>
      </c>
    </row>
    <row r="30" spans="1:16" ht="15.75">
      <c r="A30" s="16" t="s">
        <v>107</v>
      </c>
      <c r="B30" s="34" t="s">
        <v>168</v>
      </c>
      <c r="C30" s="34"/>
      <c r="D30" s="43" t="s">
        <v>169</v>
      </c>
      <c r="E30" s="34" t="s">
        <v>16</v>
      </c>
      <c r="F30" s="42" t="s">
        <v>25</v>
      </c>
      <c r="G30" s="8">
        <v>1</v>
      </c>
      <c r="H30" s="58">
        <v>5.4</v>
      </c>
      <c r="I30" s="52">
        <f t="shared" si="1"/>
        <v>346.21772369599586</v>
      </c>
      <c r="J30" s="36"/>
      <c r="L30" s="34"/>
      <c r="M30" s="34"/>
      <c r="N30" s="34"/>
      <c r="O30" s="16" t="s">
        <v>44</v>
      </c>
      <c r="P30" s="26">
        <v>55</v>
      </c>
    </row>
    <row r="31" spans="1:16" ht="15.75">
      <c r="A31" s="16" t="s">
        <v>107</v>
      </c>
      <c r="B31" s="34" t="s">
        <v>170</v>
      </c>
      <c r="C31" s="34"/>
      <c r="D31" s="43" t="s">
        <v>171</v>
      </c>
      <c r="E31" s="34" t="s">
        <v>16</v>
      </c>
      <c r="F31" s="42" t="s">
        <v>172</v>
      </c>
      <c r="G31" s="8">
        <v>1</v>
      </c>
      <c r="H31" s="58">
        <v>5.4</v>
      </c>
      <c r="I31" s="52">
        <f t="shared" si="1"/>
        <v>346.21772369599586</v>
      </c>
      <c r="J31" s="36"/>
      <c r="L31" s="34"/>
      <c r="M31" s="34"/>
      <c r="N31" s="34"/>
      <c r="O31" s="16" t="s">
        <v>45</v>
      </c>
      <c r="P31" s="26">
        <f>P30/P25</f>
        <v>0.19298245614035095</v>
      </c>
    </row>
    <row r="32" spans="1:16" ht="15.75">
      <c r="A32" s="16" t="s">
        <v>107</v>
      </c>
      <c r="B32" s="34" t="s">
        <v>173</v>
      </c>
      <c r="C32" s="34"/>
      <c r="D32" s="43" t="s">
        <v>174</v>
      </c>
      <c r="E32" s="34" t="s">
        <v>175</v>
      </c>
      <c r="F32" s="42" t="s">
        <v>172</v>
      </c>
      <c r="G32" s="8">
        <v>1</v>
      </c>
      <c r="H32" s="58">
        <v>24.75</v>
      </c>
      <c r="I32" s="52">
        <f t="shared" si="1"/>
        <v>1586.8312336066474</v>
      </c>
      <c r="J32" s="36"/>
      <c r="L32" s="34"/>
      <c r="M32" s="34"/>
      <c r="N32" s="34"/>
      <c r="O32" s="28" t="s">
        <v>42</v>
      </c>
      <c r="P32" s="27"/>
    </row>
    <row r="33" spans="1:16" ht="15.75">
      <c r="A33" s="16" t="s">
        <v>107</v>
      </c>
      <c r="B33" s="34" t="s">
        <v>176</v>
      </c>
      <c r="C33" s="34"/>
      <c r="D33" s="43" t="s">
        <v>177</v>
      </c>
      <c r="E33" s="34" t="s">
        <v>175</v>
      </c>
      <c r="F33" s="42" t="s">
        <v>178</v>
      </c>
      <c r="G33" s="8">
        <v>1</v>
      </c>
      <c r="H33" s="58">
        <v>24.75</v>
      </c>
      <c r="I33" s="52">
        <f t="shared" si="1"/>
        <v>1586.8312336066474</v>
      </c>
      <c r="J33" s="36"/>
      <c r="L33" s="34"/>
      <c r="M33" s="34"/>
      <c r="N33" s="34"/>
      <c r="O33" s="16" t="s">
        <v>30</v>
      </c>
      <c r="P33" s="29">
        <f>(1-P31)*(1+P28)</f>
        <v>1.0176887821751788</v>
      </c>
    </row>
    <row r="34" spans="1:16" ht="15.75">
      <c r="A34" s="16" t="s">
        <v>179</v>
      </c>
      <c r="B34" s="34" t="s">
        <v>180</v>
      </c>
      <c r="C34" s="34"/>
      <c r="D34" s="43" t="s">
        <v>181</v>
      </c>
      <c r="E34" s="34" t="s">
        <v>16</v>
      </c>
      <c r="F34" s="42" t="s">
        <v>35</v>
      </c>
      <c r="G34" s="8">
        <v>1</v>
      </c>
      <c r="H34" s="58">
        <v>5.4</v>
      </c>
      <c r="I34" s="52">
        <f t="shared" si="1"/>
        <v>346.21772369599586</v>
      </c>
      <c r="J34" s="36"/>
      <c r="L34" s="34"/>
      <c r="M34" s="34"/>
      <c r="N34" s="34"/>
      <c r="O34" s="16" t="s">
        <v>31</v>
      </c>
      <c r="P34" s="29">
        <f>(1-P31)*(1+P29)</f>
        <v>1.0580396593681611</v>
      </c>
    </row>
    <row r="35" spans="1:16" ht="15.75">
      <c r="A35" s="16" t="s">
        <v>179</v>
      </c>
      <c r="B35" s="12" t="s">
        <v>182</v>
      </c>
      <c r="D35" s="43" t="s">
        <v>183</v>
      </c>
      <c r="E35" s="34" t="s">
        <v>16</v>
      </c>
      <c r="F35" s="42" t="s">
        <v>37</v>
      </c>
      <c r="G35" s="8">
        <v>1</v>
      </c>
      <c r="H35" s="58">
        <v>5.4</v>
      </c>
      <c r="I35" s="52">
        <f t="shared" si="1"/>
        <v>346.21772369599586</v>
      </c>
      <c r="J35" s="36"/>
      <c r="O35" s="28" t="s">
        <v>43</v>
      </c>
      <c r="P35" s="26"/>
    </row>
    <row r="36" spans="1:16" ht="15.75">
      <c r="A36" s="16" t="s">
        <v>179</v>
      </c>
      <c r="B36" s="12" t="s">
        <v>184</v>
      </c>
      <c r="D36" s="43" t="s">
        <v>185</v>
      </c>
      <c r="E36" s="34" t="s">
        <v>16</v>
      </c>
      <c r="F36" s="42" t="s">
        <v>186</v>
      </c>
      <c r="G36" s="8">
        <v>1</v>
      </c>
      <c r="H36" s="58">
        <v>5.4</v>
      </c>
      <c r="I36" s="52">
        <f t="shared" si="1"/>
        <v>346.21772369599586</v>
      </c>
      <c r="J36" s="36"/>
      <c r="O36" s="16" t="s">
        <v>30</v>
      </c>
      <c r="P36" s="30">
        <f>1+P28</f>
        <v>1.261049143130113</v>
      </c>
    </row>
    <row r="37" spans="1:16" ht="15.75">
      <c r="A37" s="16" t="s">
        <v>179</v>
      </c>
      <c r="B37" s="12" t="s">
        <v>101</v>
      </c>
      <c r="D37" s="43" t="s">
        <v>187</v>
      </c>
      <c r="E37" s="34" t="s">
        <v>16</v>
      </c>
      <c r="F37" s="42" t="s">
        <v>27</v>
      </c>
      <c r="G37" s="8">
        <v>1</v>
      </c>
      <c r="H37" s="58">
        <v>5.4</v>
      </c>
      <c r="I37" s="52">
        <f t="shared" si="1"/>
        <v>346.21772369599586</v>
      </c>
      <c r="J37" s="36"/>
      <c r="O37" s="16" t="s">
        <v>31</v>
      </c>
      <c r="P37" s="30">
        <f>1+P29</f>
        <v>1.3110491431301128</v>
      </c>
    </row>
    <row r="38" spans="1:16" ht="16.5" thickBot="1">
      <c r="A38" s="16" t="s">
        <v>179</v>
      </c>
      <c r="B38" s="12" t="s">
        <v>101</v>
      </c>
      <c r="D38" s="43" t="s">
        <v>188</v>
      </c>
      <c r="E38" s="34" t="s">
        <v>16</v>
      </c>
      <c r="F38" s="42" t="s">
        <v>28</v>
      </c>
      <c r="G38" s="8">
        <v>1</v>
      </c>
      <c r="H38" s="58">
        <v>5.4</v>
      </c>
      <c r="I38" s="52">
        <f t="shared" si="1"/>
        <v>346.21772369599586</v>
      </c>
      <c r="J38" s="36">
        <f>1731-1755</f>
        <v>-24</v>
      </c>
      <c r="O38" s="31" t="s">
        <v>33</v>
      </c>
      <c r="P38" s="32">
        <v>63</v>
      </c>
    </row>
    <row r="39" spans="1:15" ht="15.75">
      <c r="A39" s="8" t="s">
        <v>15</v>
      </c>
      <c r="B39" s="12" t="s">
        <v>189</v>
      </c>
      <c r="D39" s="43" t="s">
        <v>190</v>
      </c>
      <c r="E39" s="9" t="s">
        <v>16</v>
      </c>
      <c r="F39" s="42" t="s">
        <v>191</v>
      </c>
      <c r="G39" s="8">
        <v>1</v>
      </c>
      <c r="H39" s="61">
        <v>29.99</v>
      </c>
      <c r="I39" s="37"/>
      <c r="J39" s="37">
        <f aca="true" t="shared" si="2" ref="J39:J44">H39*G39*$P$37*$P$38</f>
        <v>2477.056919555741</v>
      </c>
      <c r="L39" s="34"/>
      <c r="M39" s="34"/>
      <c r="N39" s="34"/>
      <c r="O39" s="34"/>
    </row>
    <row r="40" spans="1:9" ht="15.75">
      <c r="A40" s="16" t="s">
        <v>127</v>
      </c>
      <c r="B40" s="62" t="s">
        <v>192</v>
      </c>
      <c r="C40" s="44"/>
      <c r="D40" s="46" t="s">
        <v>193</v>
      </c>
      <c r="E40" s="8" t="s">
        <v>7</v>
      </c>
      <c r="F40" s="45" t="s">
        <v>55</v>
      </c>
      <c r="G40" s="8">
        <v>1</v>
      </c>
      <c r="H40" s="63">
        <v>16.99</v>
      </c>
      <c r="I40" s="53">
        <f>H40*G40*$P$36*$P$38</f>
        <v>1349.7891713321787</v>
      </c>
    </row>
    <row r="41" spans="1:10" ht="15.75">
      <c r="A41" s="8" t="s">
        <v>58</v>
      </c>
      <c r="B41" s="21" t="s">
        <v>194</v>
      </c>
      <c r="C41" s="8"/>
      <c r="D41" s="22" t="s">
        <v>195</v>
      </c>
      <c r="E41" s="16" t="s">
        <v>16</v>
      </c>
      <c r="F41" s="18" t="s">
        <v>196</v>
      </c>
      <c r="G41" s="8">
        <v>1</v>
      </c>
      <c r="H41" s="63">
        <v>9.99</v>
      </c>
      <c r="I41" s="37"/>
      <c r="J41" s="37">
        <f t="shared" si="2"/>
        <v>825.1349992117991</v>
      </c>
    </row>
    <row r="42" spans="1:17" ht="15.75">
      <c r="A42" s="16" t="s">
        <v>17</v>
      </c>
      <c r="B42" s="21" t="s">
        <v>197</v>
      </c>
      <c r="C42" s="8"/>
      <c r="D42" s="22" t="s">
        <v>198</v>
      </c>
      <c r="E42" s="8" t="s">
        <v>53</v>
      </c>
      <c r="F42" s="68" t="s">
        <v>199</v>
      </c>
      <c r="G42" s="8">
        <v>1</v>
      </c>
      <c r="H42" s="63">
        <v>19.99</v>
      </c>
      <c r="I42" s="37"/>
      <c r="J42" s="37">
        <f t="shared" si="2"/>
        <v>1651.0959593837702</v>
      </c>
      <c r="L42" s="44"/>
      <c r="M42" s="44"/>
      <c r="N42" s="44"/>
      <c r="O42" s="44"/>
      <c r="P42" s="44"/>
      <c r="Q42" s="44"/>
    </row>
    <row r="43" spans="1:17" ht="15.75">
      <c r="A43" s="8" t="s">
        <v>17</v>
      </c>
      <c r="B43" s="21" t="s">
        <v>82</v>
      </c>
      <c r="C43" s="8"/>
      <c r="D43" s="22" t="s">
        <v>83</v>
      </c>
      <c r="E43" s="8" t="s">
        <v>77</v>
      </c>
      <c r="F43" s="18" t="s">
        <v>84</v>
      </c>
      <c r="G43" s="8">
        <v>1</v>
      </c>
      <c r="H43" s="63">
        <v>12.99</v>
      </c>
      <c r="I43" s="37"/>
      <c r="J43" s="37">
        <f t="shared" si="2"/>
        <v>1072.9232872633904</v>
      </c>
      <c r="L43" s="8"/>
      <c r="M43" s="8"/>
      <c r="N43" s="8"/>
      <c r="O43" s="8"/>
      <c r="P43" s="8"/>
      <c r="Q43" s="8"/>
    </row>
    <row r="44" spans="1:17" ht="15.75">
      <c r="A44" s="16" t="s">
        <v>17</v>
      </c>
      <c r="B44" s="21" t="s">
        <v>200</v>
      </c>
      <c r="C44" s="8"/>
      <c r="D44" s="22" t="s">
        <v>201</v>
      </c>
      <c r="E44" s="8" t="s">
        <v>202</v>
      </c>
      <c r="F44" s="18" t="s">
        <v>18</v>
      </c>
      <c r="G44" s="8">
        <v>1</v>
      </c>
      <c r="H44" s="63">
        <v>14.99</v>
      </c>
      <c r="I44" s="37"/>
      <c r="J44" s="37">
        <f t="shared" si="2"/>
        <v>1238.1154792977845</v>
      </c>
      <c r="L44" s="8"/>
      <c r="M44" s="8"/>
      <c r="N44" s="8"/>
      <c r="O44" s="8"/>
      <c r="P44" s="16"/>
      <c r="Q44" s="28"/>
    </row>
    <row r="45" ht="15.75" thickBot="1">
      <c r="A45" s="9">
        <v>1</v>
      </c>
    </row>
    <row r="46" spans="1:12" s="57" customFormat="1" ht="16.5" thickBot="1">
      <c r="A46" s="55" t="s">
        <v>204</v>
      </c>
      <c r="F46" s="56" t="s">
        <v>348</v>
      </c>
      <c r="H46" s="58"/>
      <c r="I46" s="58"/>
      <c r="K46" s="73"/>
      <c r="L46" s="74"/>
    </row>
    <row r="47" spans="1:16" ht="15.75">
      <c r="A47" s="8" t="s">
        <v>205</v>
      </c>
      <c r="B47" s="12" t="s">
        <v>206</v>
      </c>
      <c r="D47" s="43" t="s">
        <v>207</v>
      </c>
      <c r="E47" s="9" t="s">
        <v>19</v>
      </c>
      <c r="F47" s="6" t="s">
        <v>208</v>
      </c>
      <c r="G47" s="8">
        <v>1</v>
      </c>
      <c r="H47" s="5">
        <v>5</v>
      </c>
      <c r="I47" s="36"/>
      <c r="J47" s="36">
        <f aca="true" t="shared" si="3" ref="J47:J74">H47*G47*$P$57*$P$61</f>
        <v>330.48454636091725</v>
      </c>
      <c r="L47" s="8"/>
      <c r="M47" s="8"/>
      <c r="N47" s="8"/>
      <c r="O47" s="65" t="s">
        <v>41</v>
      </c>
      <c r="P47" s="64">
        <f>SUM(H47:H76)</f>
        <v>250.74999999999991</v>
      </c>
    </row>
    <row r="48" spans="1:16" ht="15.75">
      <c r="A48" s="8" t="s">
        <v>205</v>
      </c>
      <c r="B48" s="12" t="s">
        <v>206</v>
      </c>
      <c r="D48" s="43" t="s">
        <v>207</v>
      </c>
      <c r="E48" s="9" t="s">
        <v>19</v>
      </c>
      <c r="F48" s="6" t="s">
        <v>209</v>
      </c>
      <c r="G48" s="8">
        <v>1</v>
      </c>
      <c r="H48" s="5">
        <v>5</v>
      </c>
      <c r="I48" s="36"/>
      <c r="J48" s="36">
        <f t="shared" si="3"/>
        <v>330.48454636091725</v>
      </c>
      <c r="L48" s="8"/>
      <c r="M48" s="8"/>
      <c r="N48" s="8"/>
      <c r="O48" s="47" t="s">
        <v>42</v>
      </c>
      <c r="P48" s="25">
        <f>SUM(H47:H76)</f>
        <v>250.74999999999991</v>
      </c>
    </row>
    <row r="49" spans="1:16" ht="15.75">
      <c r="A49" s="8" t="s">
        <v>205</v>
      </c>
      <c r="B49" s="60" t="s">
        <v>206</v>
      </c>
      <c r="C49" s="34"/>
      <c r="D49" s="43" t="s">
        <v>207</v>
      </c>
      <c r="E49" s="9" t="s">
        <v>19</v>
      </c>
      <c r="F49" s="6" t="s">
        <v>210</v>
      </c>
      <c r="G49" s="8">
        <v>1</v>
      </c>
      <c r="H49" s="35">
        <v>5</v>
      </c>
      <c r="I49" s="36"/>
      <c r="J49" s="36">
        <f t="shared" si="3"/>
        <v>330.48454636091725</v>
      </c>
      <c r="L49" s="34"/>
      <c r="M49" s="34"/>
      <c r="N49" s="34"/>
      <c r="O49" s="47" t="s">
        <v>43</v>
      </c>
      <c r="P49" s="25">
        <v>0</v>
      </c>
    </row>
    <row r="50" spans="1:16" ht="15.75">
      <c r="A50" s="16" t="s">
        <v>57</v>
      </c>
      <c r="B50" s="12" t="s">
        <v>206</v>
      </c>
      <c r="D50" s="43" t="s">
        <v>207</v>
      </c>
      <c r="E50" s="9" t="s">
        <v>19</v>
      </c>
      <c r="F50" s="6" t="s">
        <v>211</v>
      </c>
      <c r="G50" s="8">
        <v>1</v>
      </c>
      <c r="H50" s="5">
        <v>5</v>
      </c>
      <c r="I50" s="36"/>
      <c r="J50" s="36">
        <f t="shared" si="3"/>
        <v>330.48454636091725</v>
      </c>
      <c r="O50" s="47" t="s">
        <v>29</v>
      </c>
      <c r="P50" s="26">
        <v>56.99</v>
      </c>
    </row>
    <row r="51" spans="1:16" ht="15.75">
      <c r="A51" s="16" t="s">
        <v>24</v>
      </c>
      <c r="B51" s="12" t="s">
        <v>212</v>
      </c>
      <c r="D51" s="43" t="s">
        <v>213</v>
      </c>
      <c r="E51" s="9" t="s">
        <v>19</v>
      </c>
      <c r="F51" s="6" t="s">
        <v>214</v>
      </c>
      <c r="G51" s="8">
        <v>1</v>
      </c>
      <c r="H51" s="5">
        <v>5</v>
      </c>
      <c r="I51" s="36"/>
      <c r="J51" s="36">
        <f t="shared" si="3"/>
        <v>330.48454636091725</v>
      </c>
      <c r="L51" s="50" t="s">
        <v>352</v>
      </c>
      <c r="O51" s="47" t="s">
        <v>32</v>
      </c>
      <c r="P51" s="27">
        <f>P50/(P47-P53)+0.07</f>
        <v>0.3611366538952747</v>
      </c>
    </row>
    <row r="52" spans="1:16" ht="15.75">
      <c r="A52" s="16" t="s">
        <v>100</v>
      </c>
      <c r="B52" s="12" t="s">
        <v>215</v>
      </c>
      <c r="D52" s="43" t="s">
        <v>216</v>
      </c>
      <c r="E52" s="9" t="s">
        <v>19</v>
      </c>
      <c r="F52" s="6" t="s">
        <v>217</v>
      </c>
      <c r="G52" s="8">
        <v>1</v>
      </c>
      <c r="H52" s="5">
        <v>5</v>
      </c>
      <c r="I52" s="36"/>
      <c r="J52" s="36">
        <f t="shared" si="3"/>
        <v>330.48454636091725</v>
      </c>
      <c r="O52" s="47" t="s">
        <v>32</v>
      </c>
      <c r="P52" s="27">
        <f>P50/(P47-P53)+0.12</f>
        <v>0.4111366538952747</v>
      </c>
    </row>
    <row r="53" spans="1:16" ht="15.75">
      <c r="A53" s="16" t="s">
        <v>218</v>
      </c>
      <c r="B53" s="12" t="s">
        <v>215</v>
      </c>
      <c r="D53" s="43" t="s">
        <v>216</v>
      </c>
      <c r="E53" s="9" t="s">
        <v>19</v>
      </c>
      <c r="F53" s="6" t="s">
        <v>219</v>
      </c>
      <c r="G53" s="8">
        <v>1</v>
      </c>
      <c r="H53" s="35">
        <v>5</v>
      </c>
      <c r="I53" s="36"/>
      <c r="J53" s="36">
        <f t="shared" si="3"/>
        <v>330.48454636091725</v>
      </c>
      <c r="O53" s="47" t="s">
        <v>44</v>
      </c>
      <c r="P53" s="26">
        <v>55</v>
      </c>
    </row>
    <row r="54" spans="1:16" ht="15.75">
      <c r="A54" s="16" t="s">
        <v>62</v>
      </c>
      <c r="B54" s="12" t="s">
        <v>220</v>
      </c>
      <c r="D54" s="43" t="s">
        <v>221</v>
      </c>
      <c r="E54" s="9" t="s">
        <v>19</v>
      </c>
      <c r="F54" s="6" t="s">
        <v>222</v>
      </c>
      <c r="G54" s="8">
        <v>1</v>
      </c>
      <c r="H54" s="5">
        <v>5</v>
      </c>
      <c r="I54" s="52">
        <f>H54*G54*$P$56*$P$61</f>
        <v>318.77467597208374</v>
      </c>
      <c r="J54" s="36"/>
      <c r="O54" s="47" t="s">
        <v>45</v>
      </c>
      <c r="P54" s="26">
        <f>P53/P48</f>
        <v>0.2193419740777668</v>
      </c>
    </row>
    <row r="55" spans="1:16" ht="15.75">
      <c r="A55" s="16" t="s">
        <v>62</v>
      </c>
      <c r="B55" s="12" t="s">
        <v>223</v>
      </c>
      <c r="D55" s="43" t="s">
        <v>216</v>
      </c>
      <c r="E55" s="9" t="s">
        <v>19</v>
      </c>
      <c r="F55" s="6" t="s">
        <v>224</v>
      </c>
      <c r="G55" s="8">
        <v>1</v>
      </c>
      <c r="H55" s="5">
        <v>5</v>
      </c>
      <c r="I55" s="52">
        <f>H55*G55*$P$56*$P$61</f>
        <v>318.77467597208374</v>
      </c>
      <c r="J55" s="36"/>
      <c r="O55" s="48" t="s">
        <v>42</v>
      </c>
      <c r="P55" s="27"/>
    </row>
    <row r="56" spans="1:16" ht="15.75">
      <c r="A56" s="16" t="s">
        <v>24</v>
      </c>
      <c r="B56" s="60" t="s">
        <v>225</v>
      </c>
      <c r="C56" s="34"/>
      <c r="D56" s="43" t="s">
        <v>226</v>
      </c>
      <c r="E56" s="9" t="s">
        <v>19</v>
      </c>
      <c r="F56" s="6" t="s">
        <v>227</v>
      </c>
      <c r="G56" s="8">
        <v>1</v>
      </c>
      <c r="H56" s="5">
        <v>5</v>
      </c>
      <c r="I56" s="36"/>
      <c r="J56" s="36">
        <f t="shared" si="3"/>
        <v>330.48454636091725</v>
      </c>
      <c r="L56" s="50" t="s">
        <v>228</v>
      </c>
      <c r="O56" s="47" t="s">
        <v>30</v>
      </c>
      <c r="P56" s="29">
        <f>(1-P54)*(1+P51)</f>
        <v>1.062582253240279</v>
      </c>
    </row>
    <row r="57" spans="1:16" ht="15.75">
      <c r="A57" s="16" t="s">
        <v>127</v>
      </c>
      <c r="B57" s="60" t="s">
        <v>229</v>
      </c>
      <c r="C57" s="34"/>
      <c r="D57" s="34" t="s">
        <v>230</v>
      </c>
      <c r="E57" s="34" t="s">
        <v>7</v>
      </c>
      <c r="F57" s="6" t="s">
        <v>35</v>
      </c>
      <c r="G57" s="8">
        <v>1</v>
      </c>
      <c r="H57" s="35">
        <v>26.5</v>
      </c>
      <c r="I57" s="36"/>
      <c r="J57" s="36">
        <f t="shared" si="3"/>
        <v>1751.5680957128613</v>
      </c>
      <c r="L57" s="34"/>
      <c r="M57" s="34"/>
      <c r="N57" s="34"/>
      <c r="O57" s="47" t="s">
        <v>31</v>
      </c>
      <c r="P57" s="29">
        <f>(1-P54)*(1+P52)</f>
        <v>1.1016151545363908</v>
      </c>
    </row>
    <row r="58" spans="1:16" ht="15.75">
      <c r="A58" s="16" t="s">
        <v>14</v>
      </c>
      <c r="B58" s="12" t="s">
        <v>231</v>
      </c>
      <c r="D58" s="43" t="s">
        <v>232</v>
      </c>
      <c r="E58" s="9" t="s">
        <v>64</v>
      </c>
      <c r="F58" s="6" t="s">
        <v>233</v>
      </c>
      <c r="G58" s="8">
        <v>1</v>
      </c>
      <c r="H58" s="5">
        <v>49.5</v>
      </c>
      <c r="I58" s="36"/>
      <c r="J58" s="36">
        <f t="shared" si="3"/>
        <v>3271.7970089730807</v>
      </c>
      <c r="O58" s="48"/>
      <c r="P58" s="26"/>
    </row>
    <row r="59" spans="1:16" ht="15.75">
      <c r="A59" s="16" t="s">
        <v>234</v>
      </c>
      <c r="B59" s="12" t="s">
        <v>235</v>
      </c>
      <c r="D59" s="43" t="s">
        <v>236</v>
      </c>
      <c r="E59" s="9" t="s">
        <v>237</v>
      </c>
      <c r="F59" s="6" t="s">
        <v>238</v>
      </c>
      <c r="G59" s="8">
        <v>1</v>
      </c>
      <c r="H59" s="5">
        <v>46.5</v>
      </c>
      <c r="I59" s="52">
        <f>H59*G59*$P$56*$P$61</f>
        <v>2964.6044865403787</v>
      </c>
      <c r="J59" s="36">
        <f>4272-4977</f>
        <v>-705</v>
      </c>
      <c r="O59" s="47"/>
      <c r="P59" s="30"/>
    </row>
    <row r="60" spans="1:16" ht="15.75">
      <c r="A60" s="16" t="s">
        <v>234</v>
      </c>
      <c r="B60" s="12" t="s">
        <v>235</v>
      </c>
      <c r="D60" s="43" t="s">
        <v>239</v>
      </c>
      <c r="E60" s="9" t="s">
        <v>7</v>
      </c>
      <c r="F60" s="6" t="s">
        <v>35</v>
      </c>
      <c r="G60" s="8">
        <v>1</v>
      </c>
      <c r="H60" s="5">
        <v>20.5</v>
      </c>
      <c r="I60" s="52">
        <f>H60*G60*$P$56*$P$61</f>
        <v>1306.9761714855433</v>
      </c>
      <c r="J60" s="36"/>
      <c r="L60" s="50" t="s">
        <v>240</v>
      </c>
      <c r="O60" s="47"/>
      <c r="P60" s="30"/>
    </row>
    <row r="61" spans="1:16" ht="16.5" thickBot="1">
      <c r="A61" s="16" t="s">
        <v>100</v>
      </c>
      <c r="B61" s="12" t="s">
        <v>241</v>
      </c>
      <c r="D61" s="43" t="s">
        <v>242</v>
      </c>
      <c r="E61" s="9" t="s">
        <v>13</v>
      </c>
      <c r="F61" s="6" t="s">
        <v>243</v>
      </c>
      <c r="G61" s="8">
        <v>1</v>
      </c>
      <c r="H61" s="5">
        <v>3.85</v>
      </c>
      <c r="I61" s="36"/>
      <c r="J61" s="36">
        <f t="shared" si="3"/>
        <v>254.47310069790626</v>
      </c>
      <c r="O61" s="49" t="s">
        <v>33</v>
      </c>
      <c r="P61" s="32">
        <v>60</v>
      </c>
    </row>
    <row r="62" spans="1:10" ht="15.75">
      <c r="A62" s="16" t="s">
        <v>100</v>
      </c>
      <c r="B62" s="12" t="s">
        <v>244</v>
      </c>
      <c r="D62" s="43" t="s">
        <v>245</v>
      </c>
      <c r="E62" s="9" t="s">
        <v>13</v>
      </c>
      <c r="F62" s="6" t="s">
        <v>246</v>
      </c>
      <c r="G62" s="8">
        <v>1</v>
      </c>
      <c r="H62" s="5">
        <v>3.85</v>
      </c>
      <c r="I62" s="36"/>
      <c r="J62" s="36">
        <f t="shared" si="3"/>
        <v>254.47310069790626</v>
      </c>
    </row>
    <row r="63" spans="1:10" ht="15.75">
      <c r="A63" s="16" t="s">
        <v>247</v>
      </c>
      <c r="B63" s="12" t="s">
        <v>248</v>
      </c>
      <c r="D63" s="43" t="s">
        <v>249</v>
      </c>
      <c r="E63" s="9" t="s">
        <v>13</v>
      </c>
      <c r="F63" s="6" t="s">
        <v>250</v>
      </c>
      <c r="G63" s="8">
        <v>1</v>
      </c>
      <c r="H63" s="5">
        <v>3.85</v>
      </c>
      <c r="I63" s="52">
        <f>H63*G63*$P$56*$P$61</f>
        <v>245.45650049850448</v>
      </c>
      <c r="J63" s="36"/>
    </row>
    <row r="64" spans="1:10" ht="15.75">
      <c r="A64" s="16" t="s">
        <v>247</v>
      </c>
      <c r="B64" s="12" t="s">
        <v>251</v>
      </c>
      <c r="D64" s="43" t="s">
        <v>252</v>
      </c>
      <c r="E64" s="9" t="s">
        <v>13</v>
      </c>
      <c r="F64" s="6" t="s">
        <v>253</v>
      </c>
      <c r="G64" s="8">
        <v>1</v>
      </c>
      <c r="H64" s="5">
        <v>3.85</v>
      </c>
      <c r="I64" s="52">
        <f>H64*G64*$P$56*$P$61</f>
        <v>245.45650049850448</v>
      </c>
      <c r="J64" s="36">
        <f>736-750</f>
        <v>-14</v>
      </c>
    </row>
    <row r="65" spans="1:10" ht="15.75">
      <c r="A65" s="16" t="s">
        <v>247</v>
      </c>
      <c r="B65" s="12" t="s">
        <v>254</v>
      </c>
      <c r="D65" s="43" t="s">
        <v>255</v>
      </c>
      <c r="E65" s="9" t="s">
        <v>13</v>
      </c>
      <c r="F65" s="6" t="s">
        <v>256</v>
      </c>
      <c r="G65" s="8">
        <v>1</v>
      </c>
      <c r="H65" s="5">
        <v>3.85</v>
      </c>
      <c r="I65" s="52">
        <f>H65*G65*$P$56*$P$61</f>
        <v>245.45650049850448</v>
      </c>
      <c r="J65" s="36"/>
    </row>
    <row r="66" spans="1:10" ht="15.75">
      <c r="A66" s="16" t="s">
        <v>218</v>
      </c>
      <c r="B66" s="12" t="s">
        <v>244</v>
      </c>
      <c r="D66" s="43" t="s">
        <v>245</v>
      </c>
      <c r="E66" s="9" t="s">
        <v>7</v>
      </c>
      <c r="F66" s="6" t="s">
        <v>246</v>
      </c>
      <c r="G66" s="8">
        <v>1</v>
      </c>
      <c r="H66" s="5">
        <v>3.85</v>
      </c>
      <c r="I66" s="36"/>
      <c r="J66" s="36">
        <f t="shared" si="3"/>
        <v>254.47310069790626</v>
      </c>
    </row>
    <row r="67" spans="1:10" ht="15.75">
      <c r="A67" s="16" t="s">
        <v>218</v>
      </c>
      <c r="B67" s="12" t="s">
        <v>257</v>
      </c>
      <c r="D67" s="43" t="s">
        <v>258</v>
      </c>
      <c r="E67" s="9" t="s">
        <v>7</v>
      </c>
      <c r="F67" s="6" t="s">
        <v>35</v>
      </c>
      <c r="G67" s="8">
        <v>1</v>
      </c>
      <c r="H67" s="5">
        <v>3.85</v>
      </c>
      <c r="I67" s="36"/>
      <c r="J67" s="36">
        <f t="shared" si="3"/>
        <v>254.47310069790626</v>
      </c>
    </row>
    <row r="68" spans="1:10" ht="15.75">
      <c r="A68" s="16" t="s">
        <v>56</v>
      </c>
      <c r="B68" s="12" t="s">
        <v>180</v>
      </c>
      <c r="D68" s="43" t="s">
        <v>259</v>
      </c>
      <c r="E68" s="9" t="s">
        <v>7</v>
      </c>
      <c r="F68" s="6" t="s">
        <v>108</v>
      </c>
      <c r="G68" s="8">
        <v>1</v>
      </c>
      <c r="H68" s="5">
        <v>3.85</v>
      </c>
      <c r="I68" s="36"/>
      <c r="J68" s="36">
        <f t="shared" si="3"/>
        <v>254.47310069790626</v>
      </c>
    </row>
    <row r="69" spans="1:10" ht="15.75">
      <c r="A69" s="16" t="s">
        <v>56</v>
      </c>
      <c r="B69" s="12" t="s">
        <v>260</v>
      </c>
      <c r="D69" s="43" t="s">
        <v>261</v>
      </c>
      <c r="E69" s="9" t="s">
        <v>7</v>
      </c>
      <c r="F69" s="6" t="s">
        <v>262</v>
      </c>
      <c r="G69" s="8">
        <v>1</v>
      </c>
      <c r="H69" s="5">
        <v>3.85</v>
      </c>
      <c r="I69" s="36"/>
      <c r="J69" s="36">
        <f t="shared" si="3"/>
        <v>254.47310069790626</v>
      </c>
    </row>
    <row r="70" spans="1:10" ht="15.75">
      <c r="A70" s="16" t="s">
        <v>56</v>
      </c>
      <c r="B70" s="12" t="s">
        <v>260</v>
      </c>
      <c r="D70" s="43" t="s">
        <v>263</v>
      </c>
      <c r="E70" s="9" t="s">
        <v>7</v>
      </c>
      <c r="F70" s="6" t="s">
        <v>264</v>
      </c>
      <c r="G70" s="8">
        <v>1</v>
      </c>
      <c r="H70" s="5">
        <v>3.85</v>
      </c>
      <c r="I70" s="36"/>
      <c r="J70" s="36">
        <f t="shared" si="3"/>
        <v>254.47310069790626</v>
      </c>
    </row>
    <row r="71" spans="1:10" ht="15.75">
      <c r="A71" s="16" t="s">
        <v>56</v>
      </c>
      <c r="B71" s="12" t="s">
        <v>244</v>
      </c>
      <c r="D71" s="43" t="s">
        <v>245</v>
      </c>
      <c r="E71" s="9" t="s">
        <v>7</v>
      </c>
      <c r="F71" s="6" t="s">
        <v>265</v>
      </c>
      <c r="G71" s="8">
        <v>1</v>
      </c>
      <c r="H71" s="5">
        <v>3.85</v>
      </c>
      <c r="I71" s="36"/>
      <c r="J71" s="36">
        <f t="shared" si="3"/>
        <v>254.47310069790626</v>
      </c>
    </row>
    <row r="72" spans="1:10" ht="15.75">
      <c r="A72" s="16" t="s">
        <v>56</v>
      </c>
      <c r="B72" s="12" t="s">
        <v>244</v>
      </c>
      <c r="D72" s="43" t="s">
        <v>245</v>
      </c>
      <c r="E72" s="9" t="s">
        <v>7</v>
      </c>
      <c r="F72" s="6" t="s">
        <v>266</v>
      </c>
      <c r="G72" s="8">
        <v>1</v>
      </c>
      <c r="H72" s="5">
        <v>3.85</v>
      </c>
      <c r="I72" s="36"/>
      <c r="J72" s="36">
        <f t="shared" si="3"/>
        <v>254.47310069790626</v>
      </c>
    </row>
    <row r="73" spans="1:10" ht="15.75">
      <c r="A73" s="16" t="s">
        <v>267</v>
      </c>
      <c r="B73" s="12" t="s">
        <v>268</v>
      </c>
      <c r="D73" s="43" t="s">
        <v>269</v>
      </c>
      <c r="E73" s="9" t="s">
        <v>13</v>
      </c>
      <c r="F73" s="6" t="s">
        <v>270</v>
      </c>
      <c r="G73" s="8">
        <v>1</v>
      </c>
      <c r="H73" s="5">
        <v>3.85</v>
      </c>
      <c r="I73" s="52">
        <f>H73*G73*$P$56*$P$61</f>
        <v>245.45650049850448</v>
      </c>
      <c r="J73" s="36"/>
    </row>
    <row r="74" spans="1:10" ht="15.75">
      <c r="A74" s="16" t="s">
        <v>24</v>
      </c>
      <c r="B74" s="12" t="s">
        <v>271</v>
      </c>
      <c r="D74" s="43" t="s">
        <v>272</v>
      </c>
      <c r="E74" s="9" t="s">
        <v>13</v>
      </c>
      <c r="F74" s="6" t="s">
        <v>273</v>
      </c>
      <c r="G74" s="8">
        <v>1</v>
      </c>
      <c r="H74" s="5">
        <v>3.85</v>
      </c>
      <c r="I74" s="36"/>
      <c r="J74" s="36">
        <f t="shared" si="3"/>
        <v>254.47310069790626</v>
      </c>
    </row>
    <row r="75" spans="1:10" ht="15.75">
      <c r="A75" s="16" t="s">
        <v>274</v>
      </c>
      <c r="B75" s="12" t="s">
        <v>275</v>
      </c>
      <c r="D75" s="43" t="s">
        <v>276</v>
      </c>
      <c r="E75" s="9" t="s">
        <v>7</v>
      </c>
      <c r="F75" s="6" t="s">
        <v>25</v>
      </c>
      <c r="G75" s="8">
        <v>1</v>
      </c>
      <c r="H75" s="5">
        <v>3.85</v>
      </c>
      <c r="I75" s="52">
        <f>H75*G75*$P$56*$P$61</f>
        <v>245.45650049850448</v>
      </c>
      <c r="J75" s="36"/>
    </row>
    <row r="76" spans="1:10" ht="16.5" thickBot="1">
      <c r="A76" s="16">
        <v>1</v>
      </c>
      <c r="B76" s="12"/>
      <c r="D76" s="43"/>
      <c r="F76" s="68"/>
      <c r="G76" s="8"/>
      <c r="I76" s="36"/>
      <c r="J76" s="36"/>
    </row>
    <row r="77" spans="1:12" s="57" customFormat="1" ht="16.5" thickBot="1">
      <c r="A77" s="55" t="s">
        <v>277</v>
      </c>
      <c r="F77" s="56" t="s">
        <v>349</v>
      </c>
      <c r="H77" s="58"/>
      <c r="J77" s="73"/>
      <c r="L77" s="74"/>
    </row>
    <row r="78" spans="1:16" ht="15.75">
      <c r="A78" s="16" t="s">
        <v>38</v>
      </c>
      <c r="B78" s="12" t="s">
        <v>244</v>
      </c>
      <c r="D78" s="43" t="s">
        <v>245</v>
      </c>
      <c r="E78" s="9" t="s">
        <v>7</v>
      </c>
      <c r="F78" s="6" t="s">
        <v>265</v>
      </c>
      <c r="G78" s="8">
        <v>1</v>
      </c>
      <c r="H78" s="5">
        <v>3.85</v>
      </c>
      <c r="I78" s="36"/>
      <c r="J78" s="36">
        <f aca="true" t="shared" si="4" ref="J78:J119">H78*G78*$P$88*$P$92</f>
        <v>254.46461538461543</v>
      </c>
      <c r="O78" s="67" t="s">
        <v>41</v>
      </c>
      <c r="P78" s="64">
        <f>SUM(H78:H119)</f>
        <v>250.24999999999986</v>
      </c>
    </row>
    <row r="79" spans="1:16" ht="15.75">
      <c r="A79" s="16" t="s">
        <v>24</v>
      </c>
      <c r="B79" s="12" t="s">
        <v>278</v>
      </c>
      <c r="D79" s="43" t="s">
        <v>279</v>
      </c>
      <c r="E79" s="9" t="s">
        <v>70</v>
      </c>
      <c r="F79" s="6" t="s">
        <v>280</v>
      </c>
      <c r="G79" s="8">
        <v>1</v>
      </c>
      <c r="H79" s="5">
        <v>29.5</v>
      </c>
      <c r="I79" s="36"/>
      <c r="J79" s="36">
        <f t="shared" si="4"/>
        <v>1949.7938061938064</v>
      </c>
      <c r="L79" s="50" t="s">
        <v>350</v>
      </c>
      <c r="O79" s="16" t="s">
        <v>42</v>
      </c>
      <c r="P79" s="25">
        <f>SUM(H78:H119)</f>
        <v>250.24999999999986</v>
      </c>
    </row>
    <row r="80" spans="1:16" ht="15.75">
      <c r="A80" s="16" t="s">
        <v>38</v>
      </c>
      <c r="B80" s="12" t="s">
        <v>281</v>
      </c>
      <c r="D80" s="43" t="s">
        <v>282</v>
      </c>
      <c r="E80" s="9" t="s">
        <v>7</v>
      </c>
      <c r="F80" s="6" t="s">
        <v>283</v>
      </c>
      <c r="G80" s="8">
        <v>1</v>
      </c>
      <c r="H80" s="5">
        <v>3.85</v>
      </c>
      <c r="I80" s="36"/>
      <c r="J80" s="36">
        <f t="shared" si="4"/>
        <v>254.46461538461543</v>
      </c>
      <c r="O80" s="16" t="s">
        <v>43</v>
      </c>
      <c r="P80" s="25">
        <v>0</v>
      </c>
    </row>
    <row r="81" spans="1:16" ht="15.75">
      <c r="A81" s="16" t="s">
        <v>38</v>
      </c>
      <c r="B81" s="12" t="s">
        <v>284</v>
      </c>
      <c r="D81" s="43" t="s">
        <v>285</v>
      </c>
      <c r="E81" s="9" t="s">
        <v>7</v>
      </c>
      <c r="F81" s="6" t="s">
        <v>26</v>
      </c>
      <c r="G81" s="8">
        <v>1</v>
      </c>
      <c r="H81" s="5">
        <v>3.85</v>
      </c>
      <c r="I81" s="36"/>
      <c r="J81" s="36">
        <f t="shared" si="4"/>
        <v>254.46461538461543</v>
      </c>
      <c r="O81" s="16" t="s">
        <v>29</v>
      </c>
      <c r="P81" s="26">
        <v>56.99</v>
      </c>
    </row>
    <row r="82" spans="1:16" ht="15.75">
      <c r="A82" s="16" t="s">
        <v>38</v>
      </c>
      <c r="B82" s="12" t="s">
        <v>286</v>
      </c>
      <c r="D82" s="43" t="s">
        <v>287</v>
      </c>
      <c r="E82" s="9" t="s">
        <v>7</v>
      </c>
      <c r="F82" s="6" t="s">
        <v>288</v>
      </c>
      <c r="G82" s="8">
        <v>1</v>
      </c>
      <c r="H82" s="5">
        <v>3.85</v>
      </c>
      <c r="I82" s="36"/>
      <c r="J82" s="36">
        <f t="shared" si="4"/>
        <v>254.46461538461543</v>
      </c>
      <c r="O82" s="16" t="s">
        <v>32</v>
      </c>
      <c r="P82" s="27">
        <f>P81/(P78-P84)+0.07</f>
        <v>0.3618822023047377</v>
      </c>
    </row>
    <row r="83" spans="1:16" ht="15.75">
      <c r="A83" s="16" t="s">
        <v>289</v>
      </c>
      <c r="B83" s="12" t="s">
        <v>290</v>
      </c>
      <c r="C83" s="34"/>
      <c r="D83" s="43" t="s">
        <v>291</v>
      </c>
      <c r="E83" s="9" t="s">
        <v>16</v>
      </c>
      <c r="F83" s="20" t="s">
        <v>292</v>
      </c>
      <c r="G83" s="8">
        <v>1</v>
      </c>
      <c r="H83" s="5">
        <v>3.85</v>
      </c>
      <c r="I83" s="36"/>
      <c r="J83" s="36">
        <f t="shared" si="4"/>
        <v>254.46461538461543</v>
      </c>
      <c r="L83" s="34"/>
      <c r="M83" s="34"/>
      <c r="N83" s="34"/>
      <c r="O83" s="16" t="s">
        <v>32</v>
      </c>
      <c r="P83" s="27">
        <f>P81/(P78-P84)+0.12</f>
        <v>0.4118822023047377</v>
      </c>
    </row>
    <row r="84" spans="1:16" ht="15.75">
      <c r="A84" s="16" t="s">
        <v>289</v>
      </c>
      <c r="B84" s="9" t="s">
        <v>290</v>
      </c>
      <c r="C84" s="34"/>
      <c r="D84" s="43" t="s">
        <v>291</v>
      </c>
      <c r="E84" s="9" t="s">
        <v>16</v>
      </c>
      <c r="F84" s="6" t="s">
        <v>283</v>
      </c>
      <c r="G84" s="8">
        <v>1</v>
      </c>
      <c r="H84" s="5">
        <v>3.85</v>
      </c>
      <c r="I84" s="36"/>
      <c r="J84" s="36">
        <f t="shared" si="4"/>
        <v>254.46461538461543</v>
      </c>
      <c r="L84" s="34"/>
      <c r="M84" s="34"/>
      <c r="N84" s="34"/>
      <c r="O84" s="16" t="s">
        <v>44</v>
      </c>
      <c r="P84" s="26">
        <v>55</v>
      </c>
    </row>
    <row r="85" spans="1:16" ht="15.75">
      <c r="A85" s="16" t="s">
        <v>289</v>
      </c>
      <c r="B85" s="9" t="s">
        <v>290</v>
      </c>
      <c r="C85" s="34"/>
      <c r="D85" s="43" t="s">
        <v>291</v>
      </c>
      <c r="E85" s="9" t="s">
        <v>20</v>
      </c>
      <c r="F85" s="6" t="s">
        <v>293</v>
      </c>
      <c r="G85" s="8">
        <v>1</v>
      </c>
      <c r="H85" s="5">
        <v>3.85</v>
      </c>
      <c r="I85" s="36"/>
      <c r="J85" s="36">
        <f t="shared" si="4"/>
        <v>254.46461538461543</v>
      </c>
      <c r="L85" s="34"/>
      <c r="M85" s="34"/>
      <c r="N85" s="34"/>
      <c r="O85" s="16" t="s">
        <v>45</v>
      </c>
      <c r="P85" s="26">
        <f>P84/P79</f>
        <v>0.21978021978021992</v>
      </c>
    </row>
    <row r="86" spans="1:16" ht="15.75">
      <c r="A86" s="16" t="s">
        <v>289</v>
      </c>
      <c r="B86" s="9" t="s">
        <v>290</v>
      </c>
      <c r="C86" s="34"/>
      <c r="D86" s="43" t="s">
        <v>291</v>
      </c>
      <c r="E86" s="9" t="s">
        <v>20</v>
      </c>
      <c r="F86" s="6" t="s">
        <v>294</v>
      </c>
      <c r="G86" s="8">
        <v>1</v>
      </c>
      <c r="H86" s="5">
        <v>3.85</v>
      </c>
      <c r="I86" s="36"/>
      <c r="J86" s="36">
        <f t="shared" si="4"/>
        <v>254.46461538461543</v>
      </c>
      <c r="L86" s="34"/>
      <c r="M86" s="34"/>
      <c r="N86" s="34"/>
      <c r="O86" s="28" t="s">
        <v>42</v>
      </c>
      <c r="P86" s="27"/>
    </row>
    <row r="87" spans="1:16" ht="15.75">
      <c r="A87" s="16" t="s">
        <v>56</v>
      </c>
      <c r="B87" s="12" t="s">
        <v>180</v>
      </c>
      <c r="D87" s="43" t="s">
        <v>259</v>
      </c>
      <c r="E87" s="9" t="s">
        <v>7</v>
      </c>
      <c r="F87" s="6" t="s">
        <v>295</v>
      </c>
      <c r="G87" s="8">
        <v>1</v>
      </c>
      <c r="H87" s="5">
        <v>3.85</v>
      </c>
      <c r="I87" s="36"/>
      <c r="J87" s="36">
        <f t="shared" si="4"/>
        <v>254.46461538461543</v>
      </c>
      <c r="O87" s="16" t="s">
        <v>30</v>
      </c>
      <c r="P87" s="29">
        <f>(1-P85)*(1+P82)</f>
        <v>1.0625674325674326</v>
      </c>
    </row>
    <row r="88" spans="1:16" ht="15.75">
      <c r="A88" s="16" t="s">
        <v>62</v>
      </c>
      <c r="B88" s="12" t="s">
        <v>296</v>
      </c>
      <c r="D88" s="43" t="s">
        <v>297</v>
      </c>
      <c r="E88" s="9" t="s">
        <v>20</v>
      </c>
      <c r="F88" s="6" t="s">
        <v>298</v>
      </c>
      <c r="G88" s="8">
        <v>1</v>
      </c>
      <c r="H88" s="5">
        <v>3.85</v>
      </c>
      <c r="I88" s="52">
        <f aca="true" t="shared" si="5" ref="I88:I119">H88*G88*$P$87*$P$92</f>
        <v>245.4530769230769</v>
      </c>
      <c r="J88" s="36"/>
      <c r="O88" s="16" t="s">
        <v>31</v>
      </c>
      <c r="P88" s="29">
        <f>(1-P85)*(1+P83)</f>
        <v>1.1015784215784217</v>
      </c>
    </row>
    <row r="89" spans="1:16" ht="15.75">
      <c r="A89" s="16" t="s">
        <v>62</v>
      </c>
      <c r="B89" s="12" t="s">
        <v>299</v>
      </c>
      <c r="D89" s="43" t="s">
        <v>300</v>
      </c>
      <c r="E89" s="9" t="s">
        <v>20</v>
      </c>
      <c r="F89" s="6" t="s">
        <v>301</v>
      </c>
      <c r="G89" s="8">
        <v>1</v>
      </c>
      <c r="H89" s="5">
        <v>3.85</v>
      </c>
      <c r="I89" s="52">
        <f t="shared" si="5"/>
        <v>245.4530769230769</v>
      </c>
      <c r="J89" s="36"/>
      <c r="O89" s="28"/>
      <c r="P89" s="26"/>
    </row>
    <row r="90" spans="1:16" ht="15.75">
      <c r="A90" s="16" t="s">
        <v>62</v>
      </c>
      <c r="B90" s="12" t="s">
        <v>302</v>
      </c>
      <c r="D90" s="43" t="s">
        <v>303</v>
      </c>
      <c r="E90" s="9" t="s">
        <v>20</v>
      </c>
      <c r="F90" s="6" t="s">
        <v>304</v>
      </c>
      <c r="G90" s="8">
        <v>1</v>
      </c>
      <c r="H90" s="5">
        <v>3.85</v>
      </c>
      <c r="I90" s="52">
        <f t="shared" si="5"/>
        <v>245.4530769230769</v>
      </c>
      <c r="J90" s="36"/>
      <c r="O90" s="16"/>
      <c r="P90" s="30"/>
    </row>
    <row r="91" spans="1:16" ht="15.75">
      <c r="A91" s="16" t="s">
        <v>62</v>
      </c>
      <c r="B91" s="12" t="s">
        <v>305</v>
      </c>
      <c r="D91" s="43" t="s">
        <v>306</v>
      </c>
      <c r="E91" s="9" t="s">
        <v>20</v>
      </c>
      <c r="F91" s="6" t="s">
        <v>307</v>
      </c>
      <c r="G91" s="8">
        <v>1</v>
      </c>
      <c r="H91" s="5">
        <v>11</v>
      </c>
      <c r="I91" s="52">
        <f t="shared" si="5"/>
        <v>701.2945054945055</v>
      </c>
      <c r="J91" s="36"/>
      <c r="O91" s="16"/>
      <c r="P91" s="30"/>
    </row>
    <row r="92" spans="1:16" ht="16.5" thickBot="1">
      <c r="A92" s="8" t="s">
        <v>308</v>
      </c>
      <c r="B92" s="8" t="s">
        <v>305</v>
      </c>
      <c r="C92" s="8"/>
      <c r="D92" s="40" t="s">
        <v>309</v>
      </c>
      <c r="E92" s="9" t="s">
        <v>20</v>
      </c>
      <c r="F92" s="6" t="s">
        <v>35</v>
      </c>
      <c r="G92" s="8">
        <v>1</v>
      </c>
      <c r="H92" s="5">
        <v>11</v>
      </c>
      <c r="I92" s="36"/>
      <c r="J92" s="36">
        <f t="shared" si="4"/>
        <v>727.0417582417583</v>
      </c>
      <c r="L92" s="8"/>
      <c r="M92" s="8"/>
      <c r="N92" s="8"/>
      <c r="O92" s="31" t="s">
        <v>33</v>
      </c>
      <c r="P92" s="32">
        <v>60</v>
      </c>
    </row>
    <row r="93" spans="1:17" ht="15.75">
      <c r="A93" s="8" t="s">
        <v>308</v>
      </c>
      <c r="B93" s="9" t="s">
        <v>305</v>
      </c>
      <c r="C93" s="34"/>
      <c r="D93" s="40" t="s">
        <v>309</v>
      </c>
      <c r="E93" s="9" t="s">
        <v>20</v>
      </c>
      <c r="F93" s="6" t="s">
        <v>37</v>
      </c>
      <c r="G93" s="8">
        <v>1</v>
      </c>
      <c r="H93" s="5">
        <v>11</v>
      </c>
      <c r="I93" s="36"/>
      <c r="J93" s="36">
        <f t="shared" si="4"/>
        <v>727.0417582417583</v>
      </c>
      <c r="L93" s="34"/>
      <c r="M93" s="34"/>
      <c r="N93" s="34"/>
      <c r="O93" s="34"/>
      <c r="P93" s="34"/>
      <c r="Q93" s="34"/>
    </row>
    <row r="94" spans="1:17" ht="15.75">
      <c r="A94" s="8" t="s">
        <v>308</v>
      </c>
      <c r="B94" s="9" t="s">
        <v>305</v>
      </c>
      <c r="C94" s="34"/>
      <c r="D94" s="43" t="s">
        <v>306</v>
      </c>
      <c r="E94" s="9" t="s">
        <v>20</v>
      </c>
      <c r="F94" s="6" t="s">
        <v>310</v>
      </c>
      <c r="G94" s="8">
        <v>1</v>
      </c>
      <c r="H94" s="5">
        <v>11</v>
      </c>
      <c r="I94" s="36"/>
      <c r="J94" s="36">
        <f t="shared" si="4"/>
        <v>727.0417582417583</v>
      </c>
      <c r="L94" s="50" t="s">
        <v>240</v>
      </c>
      <c r="M94" s="34"/>
      <c r="N94" s="34"/>
      <c r="O94" s="34"/>
      <c r="P94" s="34"/>
      <c r="Q94" s="34"/>
    </row>
    <row r="95" spans="1:10" ht="15.75">
      <c r="A95" s="16" t="s">
        <v>62</v>
      </c>
      <c r="B95" s="12" t="s">
        <v>311</v>
      </c>
      <c r="D95" s="43" t="s">
        <v>312</v>
      </c>
      <c r="E95" s="9" t="s">
        <v>313</v>
      </c>
      <c r="F95" s="6" t="s">
        <v>27</v>
      </c>
      <c r="G95" s="8">
        <v>1</v>
      </c>
      <c r="H95" s="5">
        <v>21</v>
      </c>
      <c r="I95" s="52">
        <f t="shared" si="5"/>
        <v>1338.834965034965</v>
      </c>
      <c r="J95" s="36"/>
    </row>
    <row r="96" spans="1:11" ht="15.75">
      <c r="A96" s="16" t="s">
        <v>62</v>
      </c>
      <c r="B96" s="12" t="s">
        <v>311</v>
      </c>
      <c r="D96" s="43" t="s">
        <v>312</v>
      </c>
      <c r="E96" s="9" t="s">
        <v>313</v>
      </c>
      <c r="F96" s="6" t="s">
        <v>314</v>
      </c>
      <c r="G96" s="8">
        <v>1</v>
      </c>
      <c r="H96" s="5">
        <v>21</v>
      </c>
      <c r="I96" s="52">
        <f t="shared" si="5"/>
        <v>1338.834965034965</v>
      </c>
      <c r="J96" s="36">
        <f>4753-4927</f>
        <v>-174</v>
      </c>
      <c r="K96" s="9">
        <v>4927</v>
      </c>
    </row>
    <row r="97" spans="1:12" ht="15.75">
      <c r="A97" s="16" t="s">
        <v>57</v>
      </c>
      <c r="B97" s="12" t="s">
        <v>315</v>
      </c>
      <c r="D97" s="43" t="s">
        <v>316</v>
      </c>
      <c r="E97" s="9" t="s">
        <v>13</v>
      </c>
      <c r="F97" s="6" t="s">
        <v>317</v>
      </c>
      <c r="G97" s="8">
        <v>1</v>
      </c>
      <c r="H97" s="5">
        <v>3.85</v>
      </c>
      <c r="I97" s="36"/>
      <c r="J97" s="36">
        <f t="shared" si="4"/>
        <v>254.46461538461543</v>
      </c>
      <c r="L97" s="50" t="s">
        <v>240</v>
      </c>
    </row>
    <row r="98" spans="1:10" ht="15.75">
      <c r="A98" s="16" t="s">
        <v>57</v>
      </c>
      <c r="B98" s="12" t="s">
        <v>251</v>
      </c>
      <c r="D98" s="43" t="s">
        <v>316</v>
      </c>
      <c r="E98" s="9" t="s">
        <v>13</v>
      </c>
      <c r="F98" s="6" t="s">
        <v>318</v>
      </c>
      <c r="G98" s="8">
        <v>1</v>
      </c>
      <c r="H98" s="5">
        <v>3.85</v>
      </c>
      <c r="I98" s="36"/>
      <c r="J98" s="36">
        <f t="shared" si="4"/>
        <v>254.46461538461543</v>
      </c>
    </row>
    <row r="99" spans="1:10" ht="15.75">
      <c r="A99" s="16" t="s">
        <v>57</v>
      </c>
      <c r="B99" s="12" t="s">
        <v>251</v>
      </c>
      <c r="D99" s="43" t="s">
        <v>316</v>
      </c>
      <c r="E99" s="9" t="s">
        <v>20</v>
      </c>
      <c r="F99" s="6" t="s">
        <v>243</v>
      </c>
      <c r="G99" s="8">
        <v>1</v>
      </c>
      <c r="H99" s="5">
        <v>3.85</v>
      </c>
      <c r="I99" s="36"/>
      <c r="J99" s="36">
        <f t="shared" si="4"/>
        <v>254.46461538461543</v>
      </c>
    </row>
    <row r="100" spans="1:10" ht="15.75">
      <c r="A100" s="16" t="s">
        <v>274</v>
      </c>
      <c r="B100" s="12" t="s">
        <v>319</v>
      </c>
      <c r="D100" s="43" t="s">
        <v>320</v>
      </c>
      <c r="E100" s="9" t="s">
        <v>7</v>
      </c>
      <c r="F100" s="6" t="s">
        <v>37</v>
      </c>
      <c r="G100" s="8">
        <v>1</v>
      </c>
      <c r="H100" s="5">
        <v>3.85</v>
      </c>
      <c r="I100" s="52">
        <f t="shared" si="5"/>
        <v>245.4530769230769</v>
      </c>
      <c r="J100" s="36"/>
    </row>
    <row r="101" spans="1:10" ht="15.75">
      <c r="A101" s="16" t="s">
        <v>274</v>
      </c>
      <c r="B101" s="12" t="s">
        <v>319</v>
      </c>
      <c r="D101" s="43" t="s">
        <v>320</v>
      </c>
      <c r="E101" s="9" t="s">
        <v>7</v>
      </c>
      <c r="F101" s="6" t="s">
        <v>321</v>
      </c>
      <c r="G101" s="8">
        <v>1</v>
      </c>
      <c r="H101" s="5">
        <v>3.85</v>
      </c>
      <c r="I101" s="52">
        <f t="shared" si="5"/>
        <v>245.4530769230769</v>
      </c>
      <c r="J101" s="36"/>
    </row>
    <row r="102" spans="1:10" ht="15.75">
      <c r="A102" s="16" t="s">
        <v>322</v>
      </c>
      <c r="B102" s="12" t="s">
        <v>323</v>
      </c>
      <c r="D102" s="43" t="s">
        <v>324</v>
      </c>
      <c r="E102" s="9" t="s">
        <v>13</v>
      </c>
      <c r="F102" s="6" t="s">
        <v>35</v>
      </c>
      <c r="G102" s="8">
        <v>1</v>
      </c>
      <c r="H102" s="5">
        <v>3.85</v>
      </c>
      <c r="I102" s="52">
        <f t="shared" si="5"/>
        <v>245.4530769230769</v>
      </c>
      <c r="J102" s="36"/>
    </row>
    <row r="103" spans="1:12" ht="15.75">
      <c r="A103" s="16" t="s">
        <v>325</v>
      </c>
      <c r="B103" s="12" t="s">
        <v>182</v>
      </c>
      <c r="D103" s="43" t="s">
        <v>326</v>
      </c>
      <c r="E103" s="9" t="s">
        <v>13</v>
      </c>
      <c r="F103" s="6" t="s">
        <v>35</v>
      </c>
      <c r="G103" s="8">
        <v>1</v>
      </c>
      <c r="H103" s="5">
        <v>3.85</v>
      </c>
      <c r="I103" s="36"/>
      <c r="J103" s="36">
        <f t="shared" si="4"/>
        <v>254.46461538461543</v>
      </c>
      <c r="L103" s="50" t="s">
        <v>351</v>
      </c>
    </row>
    <row r="104" spans="1:10" ht="15.75">
      <c r="A104" s="16" t="s">
        <v>325</v>
      </c>
      <c r="B104" s="12" t="s">
        <v>182</v>
      </c>
      <c r="D104" s="43" t="s">
        <v>326</v>
      </c>
      <c r="E104" s="9" t="s">
        <v>13</v>
      </c>
      <c r="F104" s="6" t="s">
        <v>327</v>
      </c>
      <c r="G104" s="8">
        <v>1</v>
      </c>
      <c r="H104" s="5">
        <v>3.85</v>
      </c>
      <c r="I104" s="36"/>
      <c r="J104" s="36">
        <f t="shared" si="4"/>
        <v>254.46461538461543</v>
      </c>
    </row>
    <row r="105" spans="1:10" ht="15.75">
      <c r="A105" s="16" t="s">
        <v>325</v>
      </c>
      <c r="B105" s="12" t="s">
        <v>182</v>
      </c>
      <c r="D105" s="43" t="s">
        <v>326</v>
      </c>
      <c r="E105" s="9" t="s">
        <v>13</v>
      </c>
      <c r="F105" s="6" t="s">
        <v>37</v>
      </c>
      <c r="G105" s="8">
        <v>1</v>
      </c>
      <c r="H105" s="5">
        <v>3.85</v>
      </c>
      <c r="I105" s="36"/>
      <c r="J105" s="36">
        <f t="shared" si="4"/>
        <v>254.46461538461543</v>
      </c>
    </row>
    <row r="106" spans="1:12" ht="15.75">
      <c r="A106" s="16" t="s">
        <v>322</v>
      </c>
      <c r="B106" s="12" t="s">
        <v>182</v>
      </c>
      <c r="D106" s="43" t="s">
        <v>326</v>
      </c>
      <c r="E106" s="9" t="s">
        <v>13</v>
      </c>
      <c r="F106" s="6" t="s">
        <v>35</v>
      </c>
      <c r="G106" s="8">
        <v>1</v>
      </c>
      <c r="H106" s="5">
        <v>3.85</v>
      </c>
      <c r="I106" s="52">
        <f t="shared" si="5"/>
        <v>245.4530769230769</v>
      </c>
      <c r="J106" s="36"/>
      <c r="L106" s="50" t="s">
        <v>351</v>
      </c>
    </row>
    <row r="107" spans="1:10" ht="15.75">
      <c r="A107" s="16" t="s">
        <v>322</v>
      </c>
      <c r="B107" s="12" t="s">
        <v>182</v>
      </c>
      <c r="D107" s="43" t="s">
        <v>326</v>
      </c>
      <c r="E107" s="9" t="s">
        <v>13</v>
      </c>
      <c r="F107" s="6" t="s">
        <v>327</v>
      </c>
      <c r="G107" s="8">
        <v>1</v>
      </c>
      <c r="H107" s="5">
        <v>3.85</v>
      </c>
      <c r="I107" s="52">
        <f t="shared" si="5"/>
        <v>245.4530769230769</v>
      </c>
      <c r="J107" s="36"/>
    </row>
    <row r="108" spans="1:10" ht="15.75">
      <c r="A108" s="16" t="s">
        <v>322</v>
      </c>
      <c r="B108" s="12" t="s">
        <v>182</v>
      </c>
      <c r="D108" s="43" t="s">
        <v>326</v>
      </c>
      <c r="E108" s="9" t="s">
        <v>13</v>
      </c>
      <c r="F108" s="6" t="s">
        <v>37</v>
      </c>
      <c r="G108" s="8">
        <v>1</v>
      </c>
      <c r="H108" s="5">
        <v>3.85</v>
      </c>
      <c r="I108" s="52">
        <f t="shared" si="5"/>
        <v>245.4530769230769</v>
      </c>
      <c r="J108" s="36"/>
    </row>
    <row r="109" spans="1:10" ht="15.75">
      <c r="A109" s="16" t="s">
        <v>325</v>
      </c>
      <c r="B109" s="12" t="s">
        <v>328</v>
      </c>
      <c r="D109" s="43" t="s">
        <v>329</v>
      </c>
      <c r="E109" s="9" t="s">
        <v>13</v>
      </c>
      <c r="F109" s="6" t="s">
        <v>47</v>
      </c>
      <c r="G109" s="8">
        <v>1</v>
      </c>
      <c r="H109" s="5">
        <v>3.85</v>
      </c>
      <c r="I109" s="36"/>
      <c r="J109" s="36">
        <f t="shared" si="4"/>
        <v>254.46461538461543</v>
      </c>
    </row>
    <row r="110" spans="1:10" ht="15.75">
      <c r="A110" s="16" t="s">
        <v>325</v>
      </c>
      <c r="B110" s="12" t="s">
        <v>101</v>
      </c>
      <c r="D110" s="43" t="s">
        <v>291</v>
      </c>
      <c r="E110" s="9" t="s">
        <v>13</v>
      </c>
      <c r="F110" s="6" t="s">
        <v>330</v>
      </c>
      <c r="G110" s="8">
        <v>1</v>
      </c>
      <c r="H110" s="5">
        <v>3.85</v>
      </c>
      <c r="I110" s="36"/>
      <c r="J110" s="36">
        <f t="shared" si="4"/>
        <v>254.46461538461543</v>
      </c>
    </row>
    <row r="111" spans="1:10" ht="15.75">
      <c r="A111" s="16" t="s">
        <v>325</v>
      </c>
      <c r="B111" s="12" t="s">
        <v>331</v>
      </c>
      <c r="D111" s="43" t="s">
        <v>287</v>
      </c>
      <c r="E111" s="9" t="s">
        <v>13</v>
      </c>
      <c r="F111" s="6" t="s">
        <v>288</v>
      </c>
      <c r="G111" s="8">
        <v>1</v>
      </c>
      <c r="H111" s="5">
        <v>3.85</v>
      </c>
      <c r="I111" s="36"/>
      <c r="J111" s="36">
        <f t="shared" si="4"/>
        <v>254.46461538461543</v>
      </c>
    </row>
    <row r="112" spans="1:10" ht="15.75">
      <c r="A112" s="16" t="s">
        <v>332</v>
      </c>
      <c r="B112" s="12" t="s">
        <v>333</v>
      </c>
      <c r="D112" s="43" t="s">
        <v>334</v>
      </c>
      <c r="E112" s="9" t="s">
        <v>7</v>
      </c>
      <c r="F112" s="42" t="s">
        <v>335</v>
      </c>
      <c r="G112" s="8">
        <v>1</v>
      </c>
      <c r="H112" s="5">
        <v>3.85</v>
      </c>
      <c r="I112" s="36"/>
      <c r="J112" s="36">
        <f t="shared" si="4"/>
        <v>254.46461538461543</v>
      </c>
    </row>
    <row r="113" spans="1:17" ht="15.75">
      <c r="A113" s="16" t="s">
        <v>267</v>
      </c>
      <c r="B113" s="60" t="s">
        <v>336</v>
      </c>
      <c r="C113" s="34"/>
      <c r="D113" s="43" t="s">
        <v>337</v>
      </c>
      <c r="E113" s="9" t="s">
        <v>20</v>
      </c>
      <c r="F113" s="40" t="s">
        <v>338</v>
      </c>
      <c r="G113" s="8">
        <v>1</v>
      </c>
      <c r="H113" s="5">
        <v>3.85</v>
      </c>
      <c r="I113" s="52">
        <f t="shared" si="5"/>
        <v>245.4530769230769</v>
      </c>
      <c r="J113" s="36">
        <v>1</v>
      </c>
      <c r="L113" s="34"/>
      <c r="M113" s="34"/>
      <c r="N113" s="34"/>
      <c r="O113" s="34"/>
      <c r="P113" s="34"/>
      <c r="Q113" s="34"/>
    </row>
    <row r="114" spans="1:17" ht="15.75">
      <c r="A114" s="16" t="s">
        <v>58</v>
      </c>
      <c r="B114" s="12" t="s">
        <v>339</v>
      </c>
      <c r="C114" s="34"/>
      <c r="D114" s="43" t="s">
        <v>291</v>
      </c>
      <c r="E114" s="9" t="s">
        <v>16</v>
      </c>
      <c r="F114" s="42" t="s">
        <v>340</v>
      </c>
      <c r="G114" s="8">
        <v>1</v>
      </c>
      <c r="H114" s="5">
        <v>3.85</v>
      </c>
      <c r="I114" s="36">
        <f t="shared" si="5"/>
        <v>245.4530769230769</v>
      </c>
      <c r="J114" s="36">
        <f t="shared" si="4"/>
        <v>254.46461538461543</v>
      </c>
      <c r="L114" s="34"/>
      <c r="M114" s="34"/>
      <c r="N114" s="34"/>
      <c r="O114" s="34"/>
      <c r="P114" s="34"/>
      <c r="Q114" s="34"/>
    </row>
    <row r="115" spans="1:10" ht="15.75">
      <c r="A115" s="16" t="s">
        <v>274</v>
      </c>
      <c r="B115" s="12" t="s">
        <v>341</v>
      </c>
      <c r="D115" s="43" t="s">
        <v>342</v>
      </c>
      <c r="E115" s="9" t="s">
        <v>7</v>
      </c>
      <c r="F115" s="42" t="s">
        <v>99</v>
      </c>
      <c r="G115" s="8">
        <v>1</v>
      </c>
      <c r="H115" s="5">
        <v>3.85</v>
      </c>
      <c r="I115" s="52">
        <f t="shared" si="5"/>
        <v>245.4530769230769</v>
      </c>
      <c r="J115" s="36"/>
    </row>
    <row r="116" spans="1:10" ht="15.75">
      <c r="A116" s="16" t="s">
        <v>274</v>
      </c>
      <c r="B116" s="12" t="s">
        <v>244</v>
      </c>
      <c r="D116" s="43" t="s">
        <v>343</v>
      </c>
      <c r="E116" s="9" t="s">
        <v>7</v>
      </c>
      <c r="F116" s="42" t="s">
        <v>344</v>
      </c>
      <c r="G116" s="8">
        <v>1</v>
      </c>
      <c r="H116" s="5">
        <v>3.85</v>
      </c>
      <c r="I116" s="52">
        <f t="shared" si="5"/>
        <v>245.4530769230769</v>
      </c>
      <c r="J116" s="36"/>
    </row>
    <row r="117" spans="1:17" ht="15.75">
      <c r="A117" s="16" t="s">
        <v>274</v>
      </c>
      <c r="B117" s="34" t="s">
        <v>284</v>
      </c>
      <c r="C117" s="34"/>
      <c r="D117" s="43" t="s">
        <v>285</v>
      </c>
      <c r="E117" s="9" t="s">
        <v>7</v>
      </c>
      <c r="F117" s="42" t="s">
        <v>34</v>
      </c>
      <c r="G117" s="8">
        <v>1</v>
      </c>
      <c r="H117" s="5">
        <v>3.85</v>
      </c>
      <c r="I117" s="52">
        <f t="shared" si="5"/>
        <v>245.4530769230769</v>
      </c>
      <c r="J117" s="36"/>
      <c r="L117" s="34"/>
      <c r="M117" s="34"/>
      <c r="N117" s="34"/>
      <c r="O117" s="34"/>
      <c r="P117" s="34"/>
      <c r="Q117" s="34"/>
    </row>
    <row r="118" spans="1:10" ht="15.75">
      <c r="A118" s="16" t="s">
        <v>274</v>
      </c>
      <c r="B118" s="12" t="s">
        <v>345</v>
      </c>
      <c r="D118" s="43" t="s">
        <v>346</v>
      </c>
      <c r="E118" s="9" t="s">
        <v>7</v>
      </c>
      <c r="F118" s="42" t="s">
        <v>28</v>
      </c>
      <c r="G118" s="8">
        <v>1</v>
      </c>
      <c r="H118" s="5">
        <v>3.85</v>
      </c>
      <c r="I118" s="52">
        <f t="shared" si="5"/>
        <v>245.4530769230769</v>
      </c>
      <c r="J118" s="36">
        <v>3</v>
      </c>
    </row>
    <row r="119" spans="1:17" ht="16.5" thickBot="1">
      <c r="A119" s="16" t="s">
        <v>58</v>
      </c>
      <c r="B119" s="12" t="s">
        <v>296</v>
      </c>
      <c r="D119" s="43" t="s">
        <v>297</v>
      </c>
      <c r="E119" s="34" t="s">
        <v>20</v>
      </c>
      <c r="F119" s="42" t="s">
        <v>347</v>
      </c>
      <c r="G119" s="8">
        <v>1</v>
      </c>
      <c r="H119" s="5">
        <v>3.85</v>
      </c>
      <c r="I119" s="36">
        <f t="shared" si="5"/>
        <v>245.4530769230769</v>
      </c>
      <c r="J119" s="36">
        <f t="shared" si="4"/>
        <v>254.46461538461543</v>
      </c>
      <c r="L119" s="34"/>
      <c r="M119" s="34"/>
      <c r="N119" s="34"/>
      <c r="O119" s="34"/>
      <c r="P119" s="34"/>
      <c r="Q119" s="34"/>
    </row>
    <row r="120" spans="1:9" s="57" customFormat="1" ht="16.5" thickBot="1">
      <c r="A120" s="55" t="s">
        <v>353</v>
      </c>
      <c r="F120" s="56" t="s">
        <v>408</v>
      </c>
      <c r="H120" s="58"/>
      <c r="I120" s="58"/>
    </row>
    <row r="121" spans="1:16" ht="15.75">
      <c r="A121" s="16" t="s">
        <v>65</v>
      </c>
      <c r="B121" s="9" t="s">
        <v>354</v>
      </c>
      <c r="C121" s="34"/>
      <c r="D121" s="43" t="s">
        <v>355</v>
      </c>
      <c r="E121" s="34" t="s">
        <v>19</v>
      </c>
      <c r="F121" s="42" t="s">
        <v>356</v>
      </c>
      <c r="G121" s="8">
        <v>1</v>
      </c>
      <c r="H121" s="58">
        <v>6</v>
      </c>
      <c r="I121" s="36"/>
      <c r="J121" s="36">
        <f>H121*G121*$P$131*$P$135</f>
        <v>370.496018262326</v>
      </c>
      <c r="K121" s="34"/>
      <c r="M121" s="34"/>
      <c r="N121" s="34"/>
      <c r="O121" s="67" t="s">
        <v>41</v>
      </c>
      <c r="P121" s="64">
        <f>SUM(H121:H145)</f>
        <v>294.89000000000004</v>
      </c>
    </row>
    <row r="122" spans="1:16" ht="15.75">
      <c r="A122" s="16" t="s">
        <v>65</v>
      </c>
      <c r="B122" s="9" t="s">
        <v>357</v>
      </c>
      <c r="C122" s="34"/>
      <c r="D122" s="43" t="s">
        <v>358</v>
      </c>
      <c r="E122" s="34" t="s">
        <v>19</v>
      </c>
      <c r="F122" s="42" t="s">
        <v>356</v>
      </c>
      <c r="G122" s="8">
        <v>1</v>
      </c>
      <c r="H122" s="58">
        <v>6</v>
      </c>
      <c r="I122" s="36"/>
      <c r="J122" s="36">
        <f>H122*G122*$P$131*$P$135</f>
        <v>370.496018262326</v>
      </c>
      <c r="K122" s="34"/>
      <c r="M122" s="34"/>
      <c r="N122" s="34"/>
      <c r="O122" s="16" t="s">
        <v>42</v>
      </c>
      <c r="P122" s="25">
        <f>SUM(H121:H144)</f>
        <v>254.90000000000003</v>
      </c>
    </row>
    <row r="123" spans="1:16" ht="15.75">
      <c r="A123" s="16" t="s">
        <v>359</v>
      </c>
      <c r="B123" s="9" t="s">
        <v>360</v>
      </c>
      <c r="C123" s="34"/>
      <c r="D123" s="43" t="s">
        <v>361</v>
      </c>
      <c r="E123" s="34" t="s">
        <v>19</v>
      </c>
      <c r="F123" s="42" t="s">
        <v>72</v>
      </c>
      <c r="G123" s="8">
        <v>1</v>
      </c>
      <c r="H123" s="58">
        <v>6</v>
      </c>
      <c r="I123" s="52">
        <f aca="true" t="shared" si="6" ref="I123:I143">H123*G123*$P$130*$P$135</f>
        <v>356.8504317578145</v>
      </c>
      <c r="J123" s="36"/>
      <c r="K123" s="34"/>
      <c r="M123" s="34"/>
      <c r="N123" s="34"/>
      <c r="O123" s="16" t="s">
        <v>43</v>
      </c>
      <c r="P123" s="25">
        <f>H145</f>
        <v>39.99</v>
      </c>
    </row>
    <row r="124" spans="1:16" ht="15.75">
      <c r="A124" s="16" t="s">
        <v>359</v>
      </c>
      <c r="B124" s="9" t="s">
        <v>362</v>
      </c>
      <c r="C124" s="34"/>
      <c r="D124" s="43" t="s">
        <v>363</v>
      </c>
      <c r="E124" s="34" t="s">
        <v>19</v>
      </c>
      <c r="F124" s="42" t="s">
        <v>356</v>
      </c>
      <c r="G124" s="8">
        <v>1</v>
      </c>
      <c r="H124" s="58">
        <v>6</v>
      </c>
      <c r="I124" s="52">
        <f t="shared" si="6"/>
        <v>356.8504317578145</v>
      </c>
      <c r="J124" s="36"/>
      <c r="K124" s="34"/>
      <c r="M124" s="34"/>
      <c r="N124" s="34"/>
      <c r="O124" s="16" t="s">
        <v>29</v>
      </c>
      <c r="P124" s="26">
        <v>56.99</v>
      </c>
    </row>
    <row r="125" spans="1:16" ht="15.75">
      <c r="A125" s="16" t="s">
        <v>359</v>
      </c>
      <c r="B125" s="9" t="s">
        <v>364</v>
      </c>
      <c r="C125" s="34"/>
      <c r="D125" s="43" t="s">
        <v>365</v>
      </c>
      <c r="E125" s="34" t="s">
        <v>19</v>
      </c>
      <c r="F125" s="42" t="s">
        <v>51</v>
      </c>
      <c r="G125" s="8">
        <v>1</v>
      </c>
      <c r="H125" s="58">
        <v>6</v>
      </c>
      <c r="I125" s="52">
        <f t="shared" si="6"/>
        <v>356.8504317578145</v>
      </c>
      <c r="J125" s="36">
        <v>-9</v>
      </c>
      <c r="L125" s="50" t="s">
        <v>366</v>
      </c>
      <c r="M125" s="34"/>
      <c r="N125" s="34"/>
      <c r="O125" s="16" t="s">
        <v>32</v>
      </c>
      <c r="P125" s="27">
        <f>P124/(P121-P127)+0.07</f>
        <v>0.3075672183083913</v>
      </c>
    </row>
    <row r="126" spans="1:16" ht="15.75">
      <c r="A126" s="16" t="s">
        <v>107</v>
      </c>
      <c r="B126" s="9" t="s">
        <v>354</v>
      </c>
      <c r="C126" s="34"/>
      <c r="D126" s="43" t="s">
        <v>355</v>
      </c>
      <c r="E126" s="34" t="s">
        <v>19</v>
      </c>
      <c r="F126" s="42" t="s">
        <v>356</v>
      </c>
      <c r="G126" s="8">
        <v>1</v>
      </c>
      <c r="H126" s="58">
        <v>6</v>
      </c>
      <c r="I126" s="52">
        <f t="shared" si="6"/>
        <v>356.8504317578145</v>
      </c>
      <c r="J126" s="36"/>
      <c r="L126" s="34"/>
      <c r="M126" s="34"/>
      <c r="N126" s="34"/>
      <c r="O126" s="16" t="s">
        <v>32</v>
      </c>
      <c r="P126" s="27">
        <f>P124/(P121-P127)+0.12</f>
        <v>0.35756721830839133</v>
      </c>
    </row>
    <row r="127" spans="1:16" ht="15.75">
      <c r="A127" s="16" t="s">
        <v>107</v>
      </c>
      <c r="B127" s="9" t="s">
        <v>367</v>
      </c>
      <c r="C127" s="34"/>
      <c r="D127" s="43" t="s">
        <v>368</v>
      </c>
      <c r="E127" s="34" t="s">
        <v>19</v>
      </c>
      <c r="F127" s="42" t="s">
        <v>369</v>
      </c>
      <c r="G127" s="8">
        <v>1</v>
      </c>
      <c r="H127" s="58">
        <v>6</v>
      </c>
      <c r="I127" s="52">
        <f t="shared" si="6"/>
        <v>356.8504317578145</v>
      </c>
      <c r="J127" s="36">
        <f>519-454</f>
        <v>65</v>
      </c>
      <c r="L127" s="34"/>
      <c r="M127" s="34"/>
      <c r="N127" s="34"/>
      <c r="O127" s="16" t="s">
        <v>44</v>
      </c>
      <c r="P127" s="26">
        <v>55</v>
      </c>
    </row>
    <row r="128" spans="1:16" ht="15.75">
      <c r="A128" s="16" t="s">
        <v>322</v>
      </c>
      <c r="B128" s="34" t="s">
        <v>370</v>
      </c>
      <c r="C128" s="34"/>
      <c r="D128" s="43" t="s">
        <v>371</v>
      </c>
      <c r="E128" s="34" t="s">
        <v>12</v>
      </c>
      <c r="F128" s="42" t="s">
        <v>372</v>
      </c>
      <c r="G128" s="8">
        <v>1</v>
      </c>
      <c r="H128" s="58">
        <v>48</v>
      </c>
      <c r="I128" s="52">
        <f t="shared" si="6"/>
        <v>2854.803454062516</v>
      </c>
      <c r="J128" s="36"/>
      <c r="L128" s="34"/>
      <c r="M128" s="34"/>
      <c r="N128" s="34"/>
      <c r="O128" s="16" t="s">
        <v>45</v>
      </c>
      <c r="P128" s="26">
        <f>P127/P122</f>
        <v>0.21577089054531187</v>
      </c>
    </row>
    <row r="129" spans="1:16" ht="30">
      <c r="A129" s="16" t="s">
        <v>322</v>
      </c>
      <c r="B129" s="34" t="s">
        <v>373</v>
      </c>
      <c r="C129" s="34"/>
      <c r="D129" s="43" t="s">
        <v>374</v>
      </c>
      <c r="E129" s="68" t="s">
        <v>375</v>
      </c>
      <c r="F129" s="42" t="s">
        <v>376</v>
      </c>
      <c r="G129" s="8">
        <v>1</v>
      </c>
      <c r="H129" s="58">
        <v>25</v>
      </c>
      <c r="I129" s="52">
        <f t="shared" si="6"/>
        <v>1486.8767989908936</v>
      </c>
      <c r="J129" s="36">
        <v>0</v>
      </c>
      <c r="L129" s="34"/>
      <c r="M129" s="34"/>
      <c r="N129" s="34"/>
      <c r="O129" s="28" t="s">
        <v>42</v>
      </c>
      <c r="P129" s="27"/>
    </row>
    <row r="130" spans="1:16" ht="15.75">
      <c r="A130" s="16" t="s">
        <v>71</v>
      </c>
      <c r="B130" s="34" t="s">
        <v>377</v>
      </c>
      <c r="C130" s="34"/>
      <c r="D130" s="43" t="s">
        <v>378</v>
      </c>
      <c r="E130" s="34" t="s">
        <v>19</v>
      </c>
      <c r="F130" s="42" t="s">
        <v>72</v>
      </c>
      <c r="G130" s="8">
        <v>1</v>
      </c>
      <c r="H130" s="58">
        <v>6</v>
      </c>
      <c r="I130" s="36"/>
      <c r="J130" s="36">
        <f aca="true" t="shared" si="7" ref="J130:J136">H130*G130*$P$131*$P$135</f>
        <v>370.496018262326</v>
      </c>
      <c r="L130" s="50" t="s">
        <v>379</v>
      </c>
      <c r="M130" s="34"/>
      <c r="N130" s="34"/>
      <c r="O130" s="16" t="s">
        <v>30</v>
      </c>
      <c r="P130" s="29">
        <f>(1-P128)*(1+P125)</f>
        <v>1.0254322751661336</v>
      </c>
    </row>
    <row r="131" spans="1:16" ht="15.75">
      <c r="A131" s="16" t="s">
        <v>71</v>
      </c>
      <c r="B131" s="34" t="s">
        <v>380</v>
      </c>
      <c r="C131" s="34"/>
      <c r="D131" s="43" t="s">
        <v>381</v>
      </c>
      <c r="E131" s="34" t="s">
        <v>19</v>
      </c>
      <c r="F131" s="42" t="s">
        <v>104</v>
      </c>
      <c r="G131" s="8">
        <v>1</v>
      </c>
      <c r="H131" s="58">
        <v>6</v>
      </c>
      <c r="I131" s="36"/>
      <c r="J131" s="36">
        <f t="shared" si="7"/>
        <v>370.496018262326</v>
      </c>
      <c r="L131" s="34"/>
      <c r="M131" s="34"/>
      <c r="N131" s="34"/>
      <c r="O131" s="16" t="s">
        <v>31</v>
      </c>
      <c r="P131" s="29">
        <f>(1-P128)*(1+P126)</f>
        <v>1.0646437306388679</v>
      </c>
    </row>
    <row r="132" spans="1:16" ht="15.75">
      <c r="A132" s="16" t="s">
        <v>71</v>
      </c>
      <c r="B132" s="34" t="s">
        <v>382</v>
      </c>
      <c r="C132" s="34"/>
      <c r="D132" s="43" t="s">
        <v>383</v>
      </c>
      <c r="E132" s="34" t="s">
        <v>19</v>
      </c>
      <c r="F132" s="42" t="s">
        <v>48</v>
      </c>
      <c r="G132" s="8">
        <v>1</v>
      </c>
      <c r="H132" s="58">
        <v>6</v>
      </c>
      <c r="I132" s="36"/>
      <c r="J132" s="36">
        <f t="shared" si="7"/>
        <v>370.496018262326</v>
      </c>
      <c r="L132" s="34"/>
      <c r="M132" s="34"/>
      <c r="N132" s="34"/>
      <c r="O132" s="28" t="s">
        <v>43</v>
      </c>
      <c r="P132" s="26"/>
    </row>
    <row r="133" spans="1:16" ht="15.75">
      <c r="A133" s="16" t="s">
        <v>71</v>
      </c>
      <c r="B133" s="34" t="s">
        <v>384</v>
      </c>
      <c r="C133" s="34"/>
      <c r="D133" s="43" t="s">
        <v>385</v>
      </c>
      <c r="E133" s="34" t="s">
        <v>19</v>
      </c>
      <c r="F133" s="42" t="s">
        <v>386</v>
      </c>
      <c r="G133" s="8">
        <v>1</v>
      </c>
      <c r="H133" s="58">
        <v>10</v>
      </c>
      <c r="I133" s="36"/>
      <c r="J133" s="36">
        <f t="shared" si="7"/>
        <v>617.4933637705434</v>
      </c>
      <c r="L133" s="34"/>
      <c r="M133" s="34"/>
      <c r="N133" s="34"/>
      <c r="O133" s="16" t="s">
        <v>30</v>
      </c>
      <c r="P133" s="30">
        <f>1+P125</f>
        <v>1.3075672183083913</v>
      </c>
    </row>
    <row r="134" spans="1:16" ht="15.75">
      <c r="A134" s="16" t="s">
        <v>71</v>
      </c>
      <c r="B134" s="34" t="s">
        <v>387</v>
      </c>
      <c r="C134" s="34"/>
      <c r="D134" s="43" t="s">
        <v>388</v>
      </c>
      <c r="E134" s="34" t="s">
        <v>19</v>
      </c>
      <c r="F134" s="42" t="s">
        <v>389</v>
      </c>
      <c r="G134" s="8">
        <v>1</v>
      </c>
      <c r="H134" s="58">
        <v>10</v>
      </c>
      <c r="I134" s="36"/>
      <c r="J134" s="36">
        <f t="shared" si="7"/>
        <v>617.4933637705434</v>
      </c>
      <c r="L134" s="34"/>
      <c r="M134" s="34"/>
      <c r="N134" s="34"/>
      <c r="O134" s="16" t="s">
        <v>31</v>
      </c>
      <c r="P134" s="30">
        <f>1+P126</f>
        <v>1.3575672183083913</v>
      </c>
    </row>
    <row r="135" spans="1:16" ht="16.5" thickBot="1">
      <c r="A135" s="16" t="s">
        <v>71</v>
      </c>
      <c r="B135" s="34" t="s">
        <v>390</v>
      </c>
      <c r="C135" s="34"/>
      <c r="D135" s="43" t="s">
        <v>391</v>
      </c>
      <c r="E135" s="34" t="s">
        <v>19</v>
      </c>
      <c r="F135" s="42" t="s">
        <v>392</v>
      </c>
      <c r="G135" s="8">
        <v>1</v>
      </c>
      <c r="H135" s="58">
        <v>10</v>
      </c>
      <c r="I135" s="36"/>
      <c r="J135" s="36">
        <f t="shared" si="7"/>
        <v>617.4933637705434</v>
      </c>
      <c r="L135" s="34"/>
      <c r="M135" s="34"/>
      <c r="N135" s="34"/>
      <c r="O135" s="31" t="s">
        <v>33</v>
      </c>
      <c r="P135" s="32">
        <v>58</v>
      </c>
    </row>
    <row r="136" spans="1:17" ht="15.75">
      <c r="A136" s="16" t="s">
        <v>393</v>
      </c>
      <c r="B136" s="34" t="s">
        <v>394</v>
      </c>
      <c r="C136" s="34"/>
      <c r="D136" s="43" t="s">
        <v>395</v>
      </c>
      <c r="E136" s="34" t="s">
        <v>19</v>
      </c>
      <c r="F136" s="42" t="s">
        <v>389</v>
      </c>
      <c r="G136" s="8">
        <v>1</v>
      </c>
      <c r="H136" s="58">
        <v>10</v>
      </c>
      <c r="I136" s="36"/>
      <c r="J136" s="36">
        <f t="shared" si="7"/>
        <v>617.4933637705434</v>
      </c>
      <c r="L136" s="34"/>
      <c r="M136" s="34"/>
      <c r="N136" s="34"/>
      <c r="O136" s="34"/>
      <c r="P136" s="34"/>
      <c r="Q136" s="34"/>
    </row>
    <row r="137" spans="1:17" ht="15.75">
      <c r="A137" s="16" t="s">
        <v>396</v>
      </c>
      <c r="B137" s="34" t="s">
        <v>397</v>
      </c>
      <c r="C137" s="34"/>
      <c r="D137" s="43" t="s">
        <v>334</v>
      </c>
      <c r="E137" s="34" t="s">
        <v>7</v>
      </c>
      <c r="F137" s="42" t="s">
        <v>28</v>
      </c>
      <c r="G137" s="8">
        <v>1</v>
      </c>
      <c r="H137" s="58">
        <v>5.4</v>
      </c>
      <c r="I137" s="52">
        <f t="shared" si="6"/>
        <v>321.1653885820331</v>
      </c>
      <c r="J137" s="36"/>
      <c r="L137" s="34"/>
      <c r="M137" s="34"/>
      <c r="N137" s="34"/>
      <c r="O137" s="34"/>
      <c r="P137" s="34"/>
      <c r="Q137" s="34"/>
    </row>
    <row r="138" spans="1:17" ht="15.75">
      <c r="A138" s="16" t="s">
        <v>396</v>
      </c>
      <c r="B138" s="34" t="s">
        <v>397</v>
      </c>
      <c r="C138" s="34"/>
      <c r="D138" s="43" t="s">
        <v>334</v>
      </c>
      <c r="E138" s="34" t="s">
        <v>13</v>
      </c>
      <c r="F138" s="42" t="s">
        <v>398</v>
      </c>
      <c r="G138" s="8">
        <v>1</v>
      </c>
      <c r="H138" s="58">
        <v>5.4</v>
      </c>
      <c r="I138" s="52">
        <f t="shared" si="6"/>
        <v>321.1653885820331</v>
      </c>
      <c r="J138" s="36"/>
      <c r="L138" s="34"/>
      <c r="M138" s="34"/>
      <c r="N138" s="34"/>
      <c r="O138" s="34"/>
      <c r="P138" s="34"/>
      <c r="Q138" s="34"/>
    </row>
    <row r="139" spans="1:17" ht="15.75">
      <c r="A139" s="16" t="s">
        <v>396</v>
      </c>
      <c r="B139" s="34" t="s">
        <v>397</v>
      </c>
      <c r="C139" s="34"/>
      <c r="D139" s="43" t="s">
        <v>334</v>
      </c>
      <c r="E139" s="34" t="s">
        <v>13</v>
      </c>
      <c r="F139" s="42" t="s">
        <v>399</v>
      </c>
      <c r="G139" s="8">
        <v>1</v>
      </c>
      <c r="H139" s="58">
        <v>5.4</v>
      </c>
      <c r="I139" s="52">
        <f t="shared" si="6"/>
        <v>321.1653885820331</v>
      </c>
      <c r="J139" s="36"/>
      <c r="L139" s="34"/>
      <c r="M139" s="34"/>
      <c r="N139" s="34"/>
      <c r="O139" s="34"/>
      <c r="P139" s="34"/>
      <c r="Q139" s="34"/>
    </row>
    <row r="140" spans="1:17" ht="15.75">
      <c r="A140" s="16" t="s">
        <v>396</v>
      </c>
      <c r="B140" s="34" t="s">
        <v>397</v>
      </c>
      <c r="C140" s="34"/>
      <c r="D140" s="43" t="s">
        <v>334</v>
      </c>
      <c r="E140" s="34" t="s">
        <v>13</v>
      </c>
      <c r="F140" s="42" t="s">
        <v>52</v>
      </c>
      <c r="G140" s="8">
        <v>1</v>
      </c>
      <c r="H140" s="58">
        <v>5.4</v>
      </c>
      <c r="I140" s="52">
        <f t="shared" si="6"/>
        <v>321.1653885820331</v>
      </c>
      <c r="J140" s="36"/>
      <c r="L140" s="34"/>
      <c r="M140" s="34"/>
      <c r="N140" s="34"/>
      <c r="O140" s="34"/>
      <c r="P140" s="34"/>
      <c r="Q140" s="34"/>
    </row>
    <row r="141" spans="1:17" ht="15.75">
      <c r="A141" s="16" t="s">
        <v>396</v>
      </c>
      <c r="B141" s="34" t="s">
        <v>397</v>
      </c>
      <c r="C141" s="34"/>
      <c r="D141" s="43" t="s">
        <v>334</v>
      </c>
      <c r="E141" s="34" t="s">
        <v>7</v>
      </c>
      <c r="F141" s="42" t="s">
        <v>103</v>
      </c>
      <c r="G141" s="8">
        <v>1</v>
      </c>
      <c r="H141" s="58">
        <v>5.4</v>
      </c>
      <c r="I141" s="52">
        <f t="shared" si="6"/>
        <v>321.1653885820331</v>
      </c>
      <c r="J141" s="36"/>
      <c r="L141" s="34"/>
      <c r="M141" s="34"/>
      <c r="N141" s="34"/>
      <c r="O141" s="34"/>
      <c r="P141" s="34"/>
      <c r="Q141" s="34"/>
    </row>
    <row r="142" spans="1:17" ht="15.75">
      <c r="A142" s="16" t="s">
        <v>396</v>
      </c>
      <c r="B142" s="34" t="s">
        <v>400</v>
      </c>
      <c r="C142" s="34"/>
      <c r="D142" s="43" t="s">
        <v>401</v>
      </c>
      <c r="E142" s="40" t="s">
        <v>67</v>
      </c>
      <c r="F142" s="42" t="s">
        <v>402</v>
      </c>
      <c r="G142" s="8">
        <v>1</v>
      </c>
      <c r="H142" s="58">
        <v>24.75</v>
      </c>
      <c r="I142" s="52">
        <f t="shared" si="6"/>
        <v>1472.0080310009846</v>
      </c>
      <c r="J142" s="36"/>
      <c r="L142" s="34"/>
      <c r="M142" s="34"/>
      <c r="N142" s="34"/>
      <c r="O142" s="34"/>
      <c r="P142" s="34"/>
      <c r="Q142" s="34"/>
    </row>
    <row r="143" spans="1:17" ht="16.5" thickBot="1">
      <c r="A143" s="16" t="s">
        <v>396</v>
      </c>
      <c r="B143" s="34" t="s">
        <v>400</v>
      </c>
      <c r="C143" s="34"/>
      <c r="D143" s="43" t="s">
        <v>401</v>
      </c>
      <c r="E143" s="40" t="s">
        <v>67</v>
      </c>
      <c r="F143" s="42" t="s">
        <v>97</v>
      </c>
      <c r="G143" s="8">
        <v>1</v>
      </c>
      <c r="H143" s="58">
        <v>24.75</v>
      </c>
      <c r="I143" s="52">
        <f t="shared" si="6"/>
        <v>1472.0080310009846</v>
      </c>
      <c r="J143" s="36"/>
      <c r="L143" s="34"/>
      <c r="M143" s="34"/>
      <c r="N143" s="34"/>
      <c r="O143" s="34"/>
      <c r="P143" s="34"/>
      <c r="Q143" s="34"/>
    </row>
    <row r="144" spans="1:17" ht="15.75">
      <c r="A144" s="16" t="s">
        <v>106</v>
      </c>
      <c r="B144" s="34" t="s">
        <v>403</v>
      </c>
      <c r="C144" s="34"/>
      <c r="D144" s="43" t="s">
        <v>404</v>
      </c>
      <c r="E144" s="34" t="s">
        <v>13</v>
      </c>
      <c r="F144" s="42" t="s">
        <v>186</v>
      </c>
      <c r="G144" s="8">
        <v>1</v>
      </c>
      <c r="H144" s="58">
        <v>5.4</v>
      </c>
      <c r="I144" s="36"/>
      <c r="J144" s="36">
        <f>H144*G144*$P$131*$P$135</f>
        <v>333.4464164360934</v>
      </c>
      <c r="L144" s="34"/>
      <c r="M144" s="34"/>
      <c r="N144" s="34"/>
      <c r="O144" s="67" t="s">
        <v>41</v>
      </c>
      <c r="P144" s="64">
        <f>SUM(H147:H157)</f>
        <v>267.49</v>
      </c>
      <c r="Q144" s="34"/>
    </row>
    <row r="145" spans="1:16" ht="16.5" thickBot="1">
      <c r="A145" s="16" t="s">
        <v>79</v>
      </c>
      <c r="B145" s="12" t="s">
        <v>405</v>
      </c>
      <c r="D145" s="43" t="s">
        <v>406</v>
      </c>
      <c r="E145" s="9" t="s">
        <v>20</v>
      </c>
      <c r="F145" s="42" t="s">
        <v>407</v>
      </c>
      <c r="G145" s="8">
        <v>1</v>
      </c>
      <c r="H145" s="61">
        <v>39.99</v>
      </c>
      <c r="I145" s="37"/>
      <c r="J145" s="37">
        <f>H145*G145*P134*P135</f>
        <v>3148.768557488849</v>
      </c>
      <c r="O145" s="16" t="s">
        <v>42</v>
      </c>
      <c r="P145" s="25">
        <f>SUM(H147:H154)</f>
        <v>254.5</v>
      </c>
    </row>
    <row r="146" spans="1:16" s="57" customFormat="1" ht="15.75">
      <c r="A146" s="55" t="s">
        <v>409</v>
      </c>
      <c r="F146" s="56" t="s">
        <v>471</v>
      </c>
      <c r="H146" s="58"/>
      <c r="I146" s="58"/>
      <c r="O146" s="51" t="s">
        <v>43</v>
      </c>
      <c r="P146" s="38">
        <f>H155</f>
        <v>12.99</v>
      </c>
    </row>
    <row r="147" spans="1:16" ht="15.75">
      <c r="A147" s="16" t="s">
        <v>57</v>
      </c>
      <c r="B147" s="60" t="s">
        <v>225</v>
      </c>
      <c r="C147" s="34"/>
      <c r="D147" s="43" t="s">
        <v>226</v>
      </c>
      <c r="E147" s="34" t="s">
        <v>19</v>
      </c>
      <c r="F147" s="42" t="s">
        <v>227</v>
      </c>
      <c r="G147" s="8">
        <v>1</v>
      </c>
      <c r="H147" s="58">
        <v>5</v>
      </c>
      <c r="I147" s="36"/>
      <c r="J147" s="36">
        <f>H147*G147*$P$154*$P$158</f>
        <v>315.5770552197949</v>
      </c>
      <c r="O147" s="16" t="s">
        <v>29</v>
      </c>
      <c r="P147" s="26">
        <v>56.99</v>
      </c>
    </row>
    <row r="148" spans="1:16" ht="15.75">
      <c r="A148" s="16" t="s">
        <v>205</v>
      </c>
      <c r="B148" s="60" t="s">
        <v>225</v>
      </c>
      <c r="C148" s="34"/>
      <c r="D148" s="43" t="s">
        <v>226</v>
      </c>
      <c r="E148" s="34" t="s">
        <v>19</v>
      </c>
      <c r="F148" s="42" t="s">
        <v>227</v>
      </c>
      <c r="G148" s="8">
        <v>1</v>
      </c>
      <c r="H148" s="58">
        <v>5</v>
      </c>
      <c r="I148" s="36"/>
      <c r="J148" s="36">
        <f>H148*G148*$P$154*$P$158</f>
        <v>315.5770552197949</v>
      </c>
      <c r="O148" s="16" t="s">
        <v>32</v>
      </c>
      <c r="P148" s="27">
        <f>P147/(P144-P150)+0.07</f>
        <v>0.33820085651089465</v>
      </c>
    </row>
    <row r="149" spans="1:16" s="34" customFormat="1" ht="15.75">
      <c r="A149" s="16" t="s">
        <v>65</v>
      </c>
      <c r="B149" s="69" t="s">
        <v>410</v>
      </c>
      <c r="D149" s="43" t="s">
        <v>411</v>
      </c>
      <c r="E149" s="34" t="s">
        <v>19</v>
      </c>
      <c r="F149" s="42" t="s">
        <v>222</v>
      </c>
      <c r="G149" s="8">
        <v>1</v>
      </c>
      <c r="H149" s="58">
        <v>5</v>
      </c>
      <c r="I149" s="36"/>
      <c r="J149" s="36">
        <f>H149*G149*$P$154*$P$158</f>
        <v>315.5770552197949</v>
      </c>
      <c r="O149" s="16" t="s">
        <v>32</v>
      </c>
      <c r="P149" s="27">
        <f>P147/(P144-P150)+0.12</f>
        <v>0.38820085651089464</v>
      </c>
    </row>
    <row r="150" spans="1:16" s="34" customFormat="1" ht="15.75">
      <c r="A150" s="16" t="s">
        <v>412</v>
      </c>
      <c r="B150" s="12" t="s">
        <v>206</v>
      </c>
      <c r="D150" s="43" t="s">
        <v>216</v>
      </c>
      <c r="E150" s="34" t="s">
        <v>19</v>
      </c>
      <c r="F150" s="42" t="s">
        <v>219</v>
      </c>
      <c r="G150" s="8">
        <v>1</v>
      </c>
      <c r="H150" s="58">
        <v>5</v>
      </c>
      <c r="I150" s="52">
        <f>H150*G150*$P$153*$P$158</f>
        <v>304.2106505046672</v>
      </c>
      <c r="J150" s="36"/>
      <c r="O150" s="16" t="s">
        <v>44</v>
      </c>
      <c r="P150" s="26">
        <v>55</v>
      </c>
    </row>
    <row r="151" spans="1:16" s="34" customFormat="1" ht="15.75">
      <c r="A151" s="16" t="s">
        <v>15</v>
      </c>
      <c r="B151" s="9"/>
      <c r="D151" s="43" t="s">
        <v>413</v>
      </c>
      <c r="E151" s="34" t="s">
        <v>46</v>
      </c>
      <c r="F151" s="42" t="s">
        <v>414</v>
      </c>
      <c r="G151" s="8">
        <v>1</v>
      </c>
      <c r="H151" s="58">
        <v>58</v>
      </c>
      <c r="I151" s="36"/>
      <c r="J151" s="36">
        <f>H151*G151*$P$154*$P$158</f>
        <v>3660.693840549621</v>
      </c>
      <c r="L151" s="50" t="s">
        <v>415</v>
      </c>
      <c r="O151" s="16" t="s">
        <v>45</v>
      </c>
      <c r="P151" s="26">
        <f>P150/P145</f>
        <v>0.21611001964636542</v>
      </c>
    </row>
    <row r="152" spans="1:16" s="34" customFormat="1" ht="15.75">
      <c r="A152" s="16" t="s">
        <v>416</v>
      </c>
      <c r="B152" s="9"/>
      <c r="D152" s="43" t="s">
        <v>417</v>
      </c>
      <c r="E152" s="34" t="s">
        <v>418</v>
      </c>
      <c r="F152" s="42" t="s">
        <v>37</v>
      </c>
      <c r="G152" s="8">
        <v>1</v>
      </c>
      <c r="H152" s="58">
        <v>98.5</v>
      </c>
      <c r="I152" s="36"/>
      <c r="J152" s="36">
        <f>H152*G152*$P$154*$P$158</f>
        <v>6216.86798782996</v>
      </c>
      <c r="O152" s="28" t="s">
        <v>42</v>
      </c>
      <c r="P152" s="27"/>
    </row>
    <row r="153" spans="1:16" s="34" customFormat="1" ht="15.75">
      <c r="A153" s="16" t="s">
        <v>416</v>
      </c>
      <c r="B153" s="9"/>
      <c r="D153" s="43" t="s">
        <v>419</v>
      </c>
      <c r="E153" s="34" t="s">
        <v>46</v>
      </c>
      <c r="F153" s="42" t="s">
        <v>420</v>
      </c>
      <c r="G153" s="8">
        <v>1</v>
      </c>
      <c r="H153" s="58">
        <v>43.5</v>
      </c>
      <c r="I153" s="36"/>
      <c r="J153" s="36">
        <f>H153*G153*$P$154*$P$158</f>
        <v>2745.5203804122157</v>
      </c>
      <c r="O153" s="16" t="s">
        <v>30</v>
      </c>
      <c r="P153" s="29">
        <f>(1-P151)*(1+P148)</f>
        <v>1.0490022431195423</v>
      </c>
    </row>
    <row r="154" spans="1:16" s="34" customFormat="1" ht="15.75">
      <c r="A154" s="16" t="s">
        <v>416</v>
      </c>
      <c r="B154" s="9"/>
      <c r="D154" s="43" t="s">
        <v>421</v>
      </c>
      <c r="E154" s="34" t="s">
        <v>418</v>
      </c>
      <c r="F154" s="42" t="s">
        <v>420</v>
      </c>
      <c r="G154" s="8">
        <v>1</v>
      </c>
      <c r="H154" s="58">
        <v>34.5</v>
      </c>
      <c r="I154" s="36"/>
      <c r="J154" s="36">
        <f>H154*G154*$P$154*$P$158</f>
        <v>2177.4816810165853</v>
      </c>
      <c r="O154" s="16" t="s">
        <v>31</v>
      </c>
      <c r="P154" s="29">
        <f>(1-P151)*(1+P149)</f>
        <v>1.0881967421372238</v>
      </c>
    </row>
    <row r="155" spans="1:16" s="34" customFormat="1" ht="15.75">
      <c r="A155" s="16" t="s">
        <v>422</v>
      </c>
      <c r="B155" s="9" t="s">
        <v>423</v>
      </c>
      <c r="D155" s="43" t="s">
        <v>424</v>
      </c>
      <c r="E155" s="34" t="s">
        <v>19</v>
      </c>
      <c r="F155" s="42" t="s">
        <v>425</v>
      </c>
      <c r="G155" s="8">
        <v>1</v>
      </c>
      <c r="H155" s="61">
        <v>12.99</v>
      </c>
      <c r="I155" s="53">
        <f>H155*G155*$P$156*P158</f>
        <v>1008.2272893124383</v>
      </c>
      <c r="J155" s="37">
        <f>I155-1013</f>
        <v>-4.772710687561698</v>
      </c>
      <c r="O155" s="28" t="s">
        <v>43</v>
      </c>
      <c r="P155" s="26"/>
    </row>
    <row r="156" spans="1:16" s="34" customFormat="1" ht="15.75">
      <c r="A156" s="16">
        <v>1</v>
      </c>
      <c r="B156" s="9"/>
      <c r="D156" s="43"/>
      <c r="F156" s="42"/>
      <c r="G156" s="8"/>
      <c r="H156" s="5"/>
      <c r="J156" s="40"/>
      <c r="O156" s="16" t="s">
        <v>30</v>
      </c>
      <c r="P156" s="30">
        <f>1+P148</f>
        <v>1.3382008565108947</v>
      </c>
    </row>
    <row r="157" spans="1:16" s="34" customFormat="1" ht="16.5" thickBot="1">
      <c r="A157" s="16">
        <v>1</v>
      </c>
      <c r="B157" s="9"/>
      <c r="D157" s="43"/>
      <c r="F157" s="70"/>
      <c r="G157" s="8"/>
      <c r="H157" s="5"/>
      <c r="J157" s="40"/>
      <c r="O157" s="16" t="s">
        <v>31</v>
      </c>
      <c r="P157" s="30">
        <f>1+P149</f>
        <v>1.3882008565108945</v>
      </c>
    </row>
    <row r="158" spans="1:16" s="57" customFormat="1" ht="16.5" thickBot="1">
      <c r="A158" s="55" t="s">
        <v>426</v>
      </c>
      <c r="F158" s="56" t="s">
        <v>472</v>
      </c>
      <c r="G158" s="59"/>
      <c r="H158" s="58"/>
      <c r="J158" s="73"/>
      <c r="O158" s="75" t="s">
        <v>33</v>
      </c>
      <c r="P158" s="76">
        <v>58</v>
      </c>
    </row>
    <row r="159" spans="1:10" s="34" customFormat="1" ht="15.75">
      <c r="A159" s="16" t="s">
        <v>396</v>
      </c>
      <c r="B159" s="60" t="s">
        <v>427</v>
      </c>
      <c r="D159" s="43" t="s">
        <v>428</v>
      </c>
      <c r="E159" s="40" t="s">
        <v>67</v>
      </c>
      <c r="F159" s="42" t="s">
        <v>429</v>
      </c>
      <c r="G159" s="8">
        <v>1</v>
      </c>
      <c r="H159" s="58">
        <v>43.5</v>
      </c>
      <c r="I159" s="52">
        <f aca="true" t="shared" si="8" ref="I159:I170">H159*G159*$P$171*$P$176</f>
        <v>2592.6038123573585</v>
      </c>
      <c r="J159" s="36"/>
    </row>
    <row r="160" spans="1:10" s="34" customFormat="1" ht="15.75">
      <c r="A160" s="16" t="s">
        <v>430</v>
      </c>
      <c r="B160" s="60" t="s">
        <v>431</v>
      </c>
      <c r="D160" s="43" t="s">
        <v>432</v>
      </c>
      <c r="E160" s="34" t="s">
        <v>20</v>
      </c>
      <c r="F160" s="42" t="s">
        <v>433</v>
      </c>
      <c r="G160" s="8">
        <v>1</v>
      </c>
      <c r="H160" s="58">
        <v>19.95</v>
      </c>
      <c r="I160" s="36"/>
      <c r="J160" s="36">
        <f aca="true" t="shared" si="9" ref="J160:J173">H160*G160*$P$172*$P$176</f>
        <v>1234.3589474818227</v>
      </c>
    </row>
    <row r="161" spans="1:10" s="34" customFormat="1" ht="16.5" thickBot="1">
      <c r="A161" s="34" t="s">
        <v>68</v>
      </c>
      <c r="B161" s="34" t="s">
        <v>434</v>
      </c>
      <c r="D161" s="43" t="s">
        <v>435</v>
      </c>
      <c r="E161" s="34" t="s">
        <v>70</v>
      </c>
      <c r="F161" s="42" t="s">
        <v>436</v>
      </c>
      <c r="G161" s="34">
        <v>1</v>
      </c>
      <c r="H161" s="58">
        <v>21.25</v>
      </c>
      <c r="I161" s="36"/>
      <c r="J161" s="36">
        <f t="shared" si="9"/>
        <v>1314.7933651122173</v>
      </c>
    </row>
    <row r="162" spans="1:16" s="34" customFormat="1" ht="15.75">
      <c r="A162" s="16" t="s">
        <v>422</v>
      </c>
      <c r="B162" s="34" t="s">
        <v>437</v>
      </c>
      <c r="D162" s="43" t="s">
        <v>438</v>
      </c>
      <c r="E162" s="34" t="s">
        <v>13</v>
      </c>
      <c r="F162" s="42" t="s">
        <v>439</v>
      </c>
      <c r="G162" s="8">
        <v>1</v>
      </c>
      <c r="H162" s="58">
        <v>18.5</v>
      </c>
      <c r="I162" s="52">
        <f t="shared" si="8"/>
        <v>1102.6016213473824</v>
      </c>
      <c r="J162" s="36"/>
      <c r="O162" s="67" t="s">
        <v>41</v>
      </c>
      <c r="P162" s="64">
        <f>SUM(H159:H178)</f>
        <v>291.17</v>
      </c>
    </row>
    <row r="163" spans="1:16" s="34" customFormat="1" ht="15.75">
      <c r="A163" s="16" t="s">
        <v>422</v>
      </c>
      <c r="B163" s="34" t="s">
        <v>440</v>
      </c>
      <c r="D163" s="43" t="s">
        <v>441</v>
      </c>
      <c r="E163" s="34" t="s">
        <v>12</v>
      </c>
      <c r="F163" s="42" t="s">
        <v>439</v>
      </c>
      <c r="G163" s="8">
        <v>1</v>
      </c>
      <c r="H163" s="58">
        <v>48.5</v>
      </c>
      <c r="I163" s="52">
        <f t="shared" si="8"/>
        <v>2890.604250559354</v>
      </c>
      <c r="J163" s="36">
        <v>-7</v>
      </c>
      <c r="O163" s="16" t="s">
        <v>42</v>
      </c>
      <c r="P163" s="25">
        <f>SUM(H159:H173)</f>
        <v>254.20000000000002</v>
      </c>
    </row>
    <row r="164" spans="1:16" s="34" customFormat="1" ht="15.75">
      <c r="A164" s="16" t="s">
        <v>15</v>
      </c>
      <c r="B164" s="60" t="s">
        <v>442</v>
      </c>
      <c r="D164" s="43" t="s">
        <v>443</v>
      </c>
      <c r="E164" s="34" t="s">
        <v>16</v>
      </c>
      <c r="F164" s="42" t="s">
        <v>444</v>
      </c>
      <c r="G164" s="8">
        <v>1</v>
      </c>
      <c r="H164" s="58">
        <v>11</v>
      </c>
      <c r="I164" s="36"/>
      <c r="J164" s="36">
        <f t="shared" si="9"/>
        <v>680.59891841103</v>
      </c>
      <c r="O164" s="16" t="s">
        <v>43</v>
      </c>
      <c r="P164" s="25">
        <f>SUM(H174:H176)</f>
        <v>36.97</v>
      </c>
    </row>
    <row r="165" spans="1:16" s="34" customFormat="1" ht="15.75">
      <c r="A165" s="16" t="s">
        <v>15</v>
      </c>
      <c r="B165" s="60" t="s">
        <v>445</v>
      </c>
      <c r="D165" s="43" t="s">
        <v>446</v>
      </c>
      <c r="E165" s="34" t="s">
        <v>16</v>
      </c>
      <c r="F165" s="42" t="s">
        <v>444</v>
      </c>
      <c r="G165" s="8">
        <v>1</v>
      </c>
      <c r="H165" s="58">
        <v>11</v>
      </c>
      <c r="I165" s="36"/>
      <c r="J165" s="36">
        <f t="shared" si="9"/>
        <v>680.59891841103</v>
      </c>
      <c r="O165" s="16" t="s">
        <v>29</v>
      </c>
      <c r="P165" s="26">
        <v>56.99</v>
      </c>
    </row>
    <row r="166" spans="1:16" s="34" customFormat="1" ht="15.75">
      <c r="A166" s="16" t="s">
        <v>15</v>
      </c>
      <c r="B166" s="60" t="s">
        <v>442</v>
      </c>
      <c r="D166" s="43" t="s">
        <v>443</v>
      </c>
      <c r="E166" s="34" t="s">
        <v>16</v>
      </c>
      <c r="F166" s="42" t="s">
        <v>59</v>
      </c>
      <c r="G166" s="8">
        <v>1</v>
      </c>
      <c r="H166" s="58">
        <v>11</v>
      </c>
      <c r="I166" s="36"/>
      <c r="J166" s="36">
        <f t="shared" si="9"/>
        <v>680.59891841103</v>
      </c>
      <c r="O166" s="16" t="s">
        <v>32</v>
      </c>
      <c r="P166" s="27">
        <f>P165/(P162-P168)+0.07</f>
        <v>0.3113092264047085</v>
      </c>
    </row>
    <row r="167" spans="1:16" s="34" customFormat="1" ht="15.75">
      <c r="A167" s="16" t="s">
        <v>447</v>
      </c>
      <c r="B167" s="34" t="s">
        <v>448</v>
      </c>
      <c r="D167" s="43" t="s">
        <v>449</v>
      </c>
      <c r="E167" s="34" t="s">
        <v>53</v>
      </c>
      <c r="F167" s="42" t="s">
        <v>450</v>
      </c>
      <c r="G167" s="8">
        <v>1</v>
      </c>
      <c r="H167" s="58">
        <v>21.25</v>
      </c>
      <c r="I167" s="52">
        <f t="shared" si="8"/>
        <v>1266.50186235848</v>
      </c>
      <c r="J167" s="36"/>
      <c r="O167" s="16" t="s">
        <v>32</v>
      </c>
      <c r="P167" s="27">
        <f>P165/(P162-P168)+0.12</f>
        <v>0.3613092264047085</v>
      </c>
    </row>
    <row r="168" spans="1:16" s="34" customFormat="1" ht="15.75">
      <c r="A168" s="16" t="s">
        <v>447</v>
      </c>
      <c r="B168" s="34" t="s">
        <v>451</v>
      </c>
      <c r="D168" s="43" t="s">
        <v>452</v>
      </c>
      <c r="E168" s="34" t="s">
        <v>53</v>
      </c>
      <c r="F168" s="42" t="s">
        <v>35</v>
      </c>
      <c r="G168" s="8">
        <v>1</v>
      </c>
      <c r="H168" s="58">
        <v>21.25</v>
      </c>
      <c r="I168" s="52">
        <f t="shared" si="8"/>
        <v>1266.50186235848</v>
      </c>
      <c r="J168" s="36">
        <f>2533-3000</f>
        <v>-467</v>
      </c>
      <c r="O168" s="16" t="s">
        <v>44</v>
      </c>
      <c r="P168" s="26">
        <v>55</v>
      </c>
    </row>
    <row r="169" spans="1:16" s="34" customFormat="1" ht="15.75">
      <c r="A169" s="16" t="s">
        <v>412</v>
      </c>
      <c r="B169" s="60" t="s">
        <v>453</v>
      </c>
      <c r="D169" s="43" t="s">
        <v>454</v>
      </c>
      <c r="E169" s="34" t="s">
        <v>7</v>
      </c>
      <c r="F169" s="42" t="s">
        <v>455</v>
      </c>
      <c r="G169" s="8">
        <v>1</v>
      </c>
      <c r="H169" s="58">
        <v>5.4</v>
      </c>
      <c r="I169" s="52">
        <f t="shared" si="8"/>
        <v>321.8404732581549</v>
      </c>
      <c r="J169" s="36"/>
      <c r="L169" s="50" t="s">
        <v>456</v>
      </c>
      <c r="O169" s="16" t="s">
        <v>45</v>
      </c>
      <c r="P169" s="26">
        <f>P168/P163</f>
        <v>0.2163650668764752</v>
      </c>
    </row>
    <row r="170" spans="1:16" s="34" customFormat="1" ht="15.75">
      <c r="A170" s="16" t="s">
        <v>412</v>
      </c>
      <c r="B170" s="60" t="s">
        <v>457</v>
      </c>
      <c r="D170" s="43" t="s">
        <v>458</v>
      </c>
      <c r="E170" s="34" t="s">
        <v>7</v>
      </c>
      <c r="F170" s="42" t="s">
        <v>98</v>
      </c>
      <c r="G170" s="8">
        <v>1</v>
      </c>
      <c r="H170" s="58">
        <v>5.4</v>
      </c>
      <c r="I170" s="52">
        <f t="shared" si="8"/>
        <v>321.8404732581549</v>
      </c>
      <c r="J170" s="36"/>
      <c r="O170" s="28" t="s">
        <v>42</v>
      </c>
      <c r="P170" s="27"/>
    </row>
    <row r="171" spans="1:16" s="34" customFormat="1" ht="15.75">
      <c r="A171" s="16" t="s">
        <v>430</v>
      </c>
      <c r="B171" s="60" t="s">
        <v>453</v>
      </c>
      <c r="D171" s="43" t="s">
        <v>454</v>
      </c>
      <c r="E171" s="34" t="s">
        <v>20</v>
      </c>
      <c r="F171" s="42" t="s">
        <v>459</v>
      </c>
      <c r="G171" s="8">
        <v>1</v>
      </c>
      <c r="H171" s="58">
        <v>5.4</v>
      </c>
      <c r="I171" s="36"/>
      <c r="J171" s="36">
        <f t="shared" si="9"/>
        <v>334.11219631086936</v>
      </c>
      <c r="O171" s="16" t="s">
        <v>30</v>
      </c>
      <c r="P171" s="29">
        <f>(1-P169)*(1+P166)</f>
        <v>1.0275877179379147</v>
      </c>
    </row>
    <row r="172" spans="1:16" s="34" customFormat="1" ht="15.75">
      <c r="A172" s="16" t="s">
        <v>430</v>
      </c>
      <c r="B172" s="60" t="s">
        <v>453</v>
      </c>
      <c r="D172" s="43" t="s">
        <v>454</v>
      </c>
      <c r="E172" s="34" t="s">
        <v>20</v>
      </c>
      <c r="F172" s="42" t="s">
        <v>460</v>
      </c>
      <c r="G172" s="8">
        <v>1</v>
      </c>
      <c r="H172" s="58">
        <v>5.4</v>
      </c>
      <c r="I172" s="36"/>
      <c r="J172" s="36">
        <f t="shared" si="9"/>
        <v>334.11219631086936</v>
      </c>
      <c r="O172" s="16" t="s">
        <v>31</v>
      </c>
      <c r="P172" s="29">
        <f>(1-P169)*(1+P167)</f>
        <v>1.066769464594091</v>
      </c>
    </row>
    <row r="173" spans="1:16" s="34" customFormat="1" ht="15.75">
      <c r="A173" s="16" t="s">
        <v>24</v>
      </c>
      <c r="B173" s="34" t="s">
        <v>461</v>
      </c>
      <c r="D173" s="43" t="s">
        <v>462</v>
      </c>
      <c r="E173" s="34" t="s">
        <v>7</v>
      </c>
      <c r="F173" s="42" t="s">
        <v>295</v>
      </c>
      <c r="G173" s="8">
        <v>1</v>
      </c>
      <c r="H173" s="58">
        <v>5.4</v>
      </c>
      <c r="I173" s="36"/>
      <c r="J173" s="36">
        <f t="shared" si="9"/>
        <v>334.11219631086936</v>
      </c>
      <c r="O173" s="28" t="s">
        <v>43</v>
      </c>
      <c r="P173" s="26"/>
    </row>
    <row r="174" spans="1:16" s="34" customFormat="1" ht="15.75">
      <c r="A174" s="16" t="s">
        <v>463</v>
      </c>
      <c r="B174" s="60" t="s">
        <v>464</v>
      </c>
      <c r="D174" s="43" t="s">
        <v>465</v>
      </c>
      <c r="E174" s="34" t="s">
        <v>7</v>
      </c>
      <c r="F174" s="42" t="s">
        <v>35</v>
      </c>
      <c r="G174" s="8">
        <v>1</v>
      </c>
      <c r="H174" s="61">
        <v>14.99</v>
      </c>
      <c r="I174" s="53">
        <f>H174*G174*P$174*$P$176</f>
        <v>1140.0784676207816</v>
      </c>
      <c r="J174" s="37"/>
      <c r="O174" s="16" t="s">
        <v>30</v>
      </c>
      <c r="P174" s="30">
        <f>1+P166</f>
        <v>1.3113092264047084</v>
      </c>
    </row>
    <row r="175" spans="1:16" s="34" customFormat="1" ht="15.75">
      <c r="A175" s="16" t="s">
        <v>463</v>
      </c>
      <c r="B175" s="60" t="s">
        <v>466</v>
      </c>
      <c r="D175" s="43" t="s">
        <v>467</v>
      </c>
      <c r="E175" s="34" t="s">
        <v>7</v>
      </c>
      <c r="F175" s="42" t="s">
        <v>468</v>
      </c>
      <c r="G175" s="8">
        <v>1</v>
      </c>
      <c r="H175" s="61">
        <v>11.99</v>
      </c>
      <c r="I175" s="53">
        <f>H175*G175*P$174*$P$176</f>
        <v>911.9106622263623</v>
      </c>
      <c r="J175" s="37"/>
      <c r="O175" s="16" t="s">
        <v>31</v>
      </c>
      <c r="P175" s="30">
        <f>1+P167</f>
        <v>1.3613092264047084</v>
      </c>
    </row>
    <row r="176" spans="1:16" s="34" customFormat="1" ht="16.5" thickBot="1">
      <c r="A176" s="16" t="s">
        <v>463</v>
      </c>
      <c r="B176" s="60" t="s">
        <v>469</v>
      </c>
      <c r="D176" s="43" t="s">
        <v>470</v>
      </c>
      <c r="E176" s="34" t="s">
        <v>12</v>
      </c>
      <c r="F176" s="42" t="s">
        <v>35</v>
      </c>
      <c r="G176" s="8">
        <v>1</v>
      </c>
      <c r="H176" s="61">
        <v>9.99</v>
      </c>
      <c r="I176" s="53">
        <f>H176*G176*P$174*$P$176</f>
        <v>759.7987919634162</v>
      </c>
      <c r="J176" s="37"/>
      <c r="O176" s="31" t="s">
        <v>33</v>
      </c>
      <c r="P176" s="32">
        <v>58</v>
      </c>
    </row>
    <row r="177" spans="1:9" s="34" customFormat="1" ht="15.75">
      <c r="A177" s="16">
        <v>1</v>
      </c>
      <c r="D177" s="43"/>
      <c r="F177" s="42"/>
      <c r="G177" s="8"/>
      <c r="H177" s="35"/>
      <c r="I177" s="35"/>
    </row>
    <row r="178" spans="1:9" s="34" customFormat="1" ht="16.5" thickBot="1">
      <c r="A178" s="16">
        <v>1</v>
      </c>
      <c r="D178" s="43"/>
      <c r="F178" s="42"/>
      <c r="G178" s="8"/>
      <c r="H178" s="35"/>
      <c r="I178" s="35"/>
    </row>
    <row r="179" spans="1:9" s="57" customFormat="1" ht="15.75">
      <c r="A179" s="55" t="s">
        <v>473</v>
      </c>
      <c r="F179" s="56" t="s">
        <v>537</v>
      </c>
      <c r="H179" s="58"/>
      <c r="I179" s="58"/>
    </row>
    <row r="180" spans="1:10" s="34" customFormat="1" ht="30.75" thickBot="1">
      <c r="A180" s="16" t="s">
        <v>474</v>
      </c>
      <c r="B180" s="9" t="s">
        <v>475</v>
      </c>
      <c r="C180" s="9"/>
      <c r="D180" s="14" t="s">
        <v>476</v>
      </c>
      <c r="E180" s="9" t="s">
        <v>64</v>
      </c>
      <c r="F180" s="6" t="s">
        <v>477</v>
      </c>
      <c r="G180" s="8">
        <v>1</v>
      </c>
      <c r="H180" s="58">
        <v>30</v>
      </c>
      <c r="I180" s="36">
        <f aca="true" t="shared" si="10" ref="I180:I208">H180*G180*$P$190*$P$195</f>
        <v>1638.05035461717</v>
      </c>
      <c r="J180" s="36">
        <f aca="true" t="shared" si="11" ref="J180:J208">H180*G180*$P$191*$P$195</f>
        <v>1701.471536008481</v>
      </c>
    </row>
    <row r="181" spans="1:16" s="34" customFormat="1" ht="30">
      <c r="A181" s="16" t="s">
        <v>478</v>
      </c>
      <c r="B181" s="9" t="s">
        <v>479</v>
      </c>
      <c r="C181" s="9"/>
      <c r="D181" s="14" t="s">
        <v>476</v>
      </c>
      <c r="E181" s="9" t="s">
        <v>21</v>
      </c>
      <c r="F181" s="6" t="s">
        <v>95</v>
      </c>
      <c r="G181" s="8">
        <v>1</v>
      </c>
      <c r="H181" s="58">
        <v>30</v>
      </c>
      <c r="I181" s="36">
        <f t="shared" si="10"/>
        <v>1638.05035461717</v>
      </c>
      <c r="J181" s="36">
        <f t="shared" si="11"/>
        <v>1701.471536008481</v>
      </c>
      <c r="O181" s="67" t="s">
        <v>41</v>
      </c>
      <c r="P181" s="64">
        <f>SUM(H180:H212)</f>
        <v>312.40000000000003</v>
      </c>
    </row>
    <row r="182" spans="1:16" s="34" customFormat="1" ht="15.75">
      <c r="A182" s="16" t="s">
        <v>396</v>
      </c>
      <c r="B182" s="9" t="s">
        <v>480</v>
      </c>
      <c r="C182" s="9"/>
      <c r="D182" s="14" t="s">
        <v>481</v>
      </c>
      <c r="E182" s="9" t="s">
        <v>13</v>
      </c>
      <c r="F182" s="6" t="s">
        <v>482</v>
      </c>
      <c r="G182" s="8">
        <v>1</v>
      </c>
      <c r="H182" s="58">
        <v>16</v>
      </c>
      <c r="I182" s="52">
        <f t="shared" si="10"/>
        <v>873.626855795824</v>
      </c>
      <c r="J182" s="36">
        <f>8016-6960-1150</f>
        <v>-94</v>
      </c>
      <c r="O182" s="16" t="s">
        <v>42</v>
      </c>
      <c r="P182" s="25">
        <f>SUM(H180:H208)</f>
        <v>253.43</v>
      </c>
    </row>
    <row r="183" spans="1:16" s="34" customFormat="1" ht="15.75">
      <c r="A183" s="16" t="s">
        <v>483</v>
      </c>
      <c r="B183" s="9" t="s">
        <v>484</v>
      </c>
      <c r="C183" s="9"/>
      <c r="D183" s="14" t="s">
        <v>485</v>
      </c>
      <c r="E183" s="9" t="s">
        <v>19</v>
      </c>
      <c r="F183" s="6" t="s">
        <v>486</v>
      </c>
      <c r="G183" s="8">
        <v>1</v>
      </c>
      <c r="H183" s="58">
        <v>5</v>
      </c>
      <c r="I183" s="52">
        <f t="shared" si="10"/>
        <v>273.008392436195</v>
      </c>
      <c r="J183" s="36"/>
      <c r="O183" s="16" t="s">
        <v>43</v>
      </c>
      <c r="P183" s="25">
        <f>SUM(H209:H211)</f>
        <v>58.970000000000006</v>
      </c>
    </row>
    <row r="184" spans="1:16" s="34" customFormat="1" ht="15.75">
      <c r="A184" s="16" t="s">
        <v>412</v>
      </c>
      <c r="B184" s="9" t="s">
        <v>487</v>
      </c>
      <c r="C184" s="9"/>
      <c r="D184" s="14" t="s">
        <v>488</v>
      </c>
      <c r="E184" s="9" t="s">
        <v>19</v>
      </c>
      <c r="F184" s="6" t="s">
        <v>51</v>
      </c>
      <c r="G184" s="8">
        <v>1</v>
      </c>
      <c r="H184" s="58">
        <v>5</v>
      </c>
      <c r="I184" s="52">
        <f t="shared" si="10"/>
        <v>273.008392436195</v>
      </c>
      <c r="J184" s="36"/>
      <c r="L184" s="50" t="s">
        <v>489</v>
      </c>
      <c r="O184" s="16" t="s">
        <v>29</v>
      </c>
      <c r="P184" s="26">
        <v>56.99</v>
      </c>
    </row>
    <row r="185" spans="1:16" s="34" customFormat="1" ht="15.75">
      <c r="A185" s="16" t="s">
        <v>412</v>
      </c>
      <c r="B185" s="9" t="s">
        <v>490</v>
      </c>
      <c r="C185" s="9"/>
      <c r="D185" s="14" t="s">
        <v>491</v>
      </c>
      <c r="E185" s="9" t="s">
        <v>19</v>
      </c>
      <c r="F185" s="6" t="s">
        <v>105</v>
      </c>
      <c r="G185" s="8">
        <v>1</v>
      </c>
      <c r="H185" s="58">
        <v>5</v>
      </c>
      <c r="I185" s="52">
        <f t="shared" si="10"/>
        <v>273.008392436195</v>
      </c>
      <c r="J185" s="36"/>
      <c r="O185" s="16" t="s">
        <v>32</v>
      </c>
      <c r="P185" s="27">
        <f>P184/(P181-P187)+0.07</f>
        <v>0.2914063714063714</v>
      </c>
    </row>
    <row r="186" spans="1:16" s="34" customFormat="1" ht="15.75">
      <c r="A186" s="16" t="s">
        <v>17</v>
      </c>
      <c r="B186" s="9" t="s">
        <v>492</v>
      </c>
      <c r="C186" s="9"/>
      <c r="D186" s="14" t="s">
        <v>493</v>
      </c>
      <c r="E186" s="9" t="s">
        <v>19</v>
      </c>
      <c r="F186" s="6" t="s">
        <v>48</v>
      </c>
      <c r="G186" s="8">
        <v>1</v>
      </c>
      <c r="H186" s="58">
        <v>5</v>
      </c>
      <c r="I186" s="36">
        <f t="shared" si="10"/>
        <v>273.008392436195</v>
      </c>
      <c r="J186" s="36">
        <f t="shared" si="11"/>
        <v>283.5785893347468</v>
      </c>
      <c r="O186" s="16" t="s">
        <v>32</v>
      </c>
      <c r="P186" s="27">
        <f>P184/(P181-P187)+0.12</f>
        <v>0.34140637140637137</v>
      </c>
    </row>
    <row r="187" spans="1:16" s="34" customFormat="1" ht="15.75">
      <c r="A187" s="16" t="s">
        <v>17</v>
      </c>
      <c r="B187" s="9" t="s">
        <v>494</v>
      </c>
      <c r="C187" s="9"/>
      <c r="D187" s="14" t="s">
        <v>495</v>
      </c>
      <c r="E187" s="9" t="s">
        <v>19</v>
      </c>
      <c r="F187" s="6" t="s">
        <v>104</v>
      </c>
      <c r="G187" s="8">
        <v>1</v>
      </c>
      <c r="H187" s="58">
        <v>5</v>
      </c>
      <c r="I187" s="36">
        <f t="shared" si="10"/>
        <v>273.008392436195</v>
      </c>
      <c r="J187" s="36">
        <f t="shared" si="11"/>
        <v>283.5785893347468</v>
      </c>
      <c r="O187" s="16" t="s">
        <v>44</v>
      </c>
      <c r="P187" s="26">
        <v>55</v>
      </c>
    </row>
    <row r="188" spans="1:16" s="34" customFormat="1" ht="15.75">
      <c r="A188" s="16" t="s">
        <v>17</v>
      </c>
      <c r="B188" s="9" t="s">
        <v>494</v>
      </c>
      <c r="C188" s="9"/>
      <c r="D188" s="14" t="s">
        <v>495</v>
      </c>
      <c r="E188" s="9" t="s">
        <v>19</v>
      </c>
      <c r="F188" s="6" t="s">
        <v>104</v>
      </c>
      <c r="G188" s="8">
        <v>1</v>
      </c>
      <c r="H188" s="58">
        <v>5</v>
      </c>
      <c r="I188" s="36">
        <f t="shared" si="10"/>
        <v>273.008392436195</v>
      </c>
      <c r="J188" s="36">
        <f t="shared" si="11"/>
        <v>283.5785893347468</v>
      </c>
      <c r="O188" s="16" t="s">
        <v>45</v>
      </c>
      <c r="P188" s="26">
        <f>P187/P182</f>
        <v>0.21702245195912084</v>
      </c>
    </row>
    <row r="189" spans="1:16" s="34" customFormat="1" ht="15.75">
      <c r="A189" s="16" t="s">
        <v>17</v>
      </c>
      <c r="B189" s="9" t="s">
        <v>496</v>
      </c>
      <c r="C189" s="9"/>
      <c r="D189" s="14" t="s">
        <v>497</v>
      </c>
      <c r="E189" s="9" t="s">
        <v>19</v>
      </c>
      <c r="F189" s="6" t="s">
        <v>104</v>
      </c>
      <c r="G189" s="8">
        <v>1</v>
      </c>
      <c r="H189" s="58">
        <v>5</v>
      </c>
      <c r="I189" s="36">
        <f t="shared" si="10"/>
        <v>273.008392436195</v>
      </c>
      <c r="J189" s="36">
        <f t="shared" si="11"/>
        <v>283.5785893347468</v>
      </c>
      <c r="O189" s="28" t="s">
        <v>42</v>
      </c>
      <c r="P189" s="27"/>
    </row>
    <row r="190" spans="1:16" s="34" customFormat="1" ht="15.75">
      <c r="A190" s="16" t="s">
        <v>498</v>
      </c>
      <c r="B190" s="9" t="s">
        <v>499</v>
      </c>
      <c r="C190" s="9"/>
      <c r="D190" s="14" t="s">
        <v>500</v>
      </c>
      <c r="E190" s="9" t="s">
        <v>19</v>
      </c>
      <c r="F190" s="6" t="s">
        <v>486</v>
      </c>
      <c r="G190" s="8">
        <v>1</v>
      </c>
      <c r="H190" s="58">
        <v>5</v>
      </c>
      <c r="I190" s="52">
        <f t="shared" si="10"/>
        <v>273.008392436195</v>
      </c>
      <c r="J190" s="36"/>
      <c r="O190" s="16" t="s">
        <v>30</v>
      </c>
      <c r="P190" s="29">
        <f>(1-P188)*(1+P185)</f>
        <v>1.0111421942081296</v>
      </c>
    </row>
    <row r="191" spans="1:16" s="34" customFormat="1" ht="15.75">
      <c r="A191" s="16" t="s">
        <v>498</v>
      </c>
      <c r="B191" s="9" t="s">
        <v>501</v>
      </c>
      <c r="C191" s="9"/>
      <c r="D191" s="14" t="s">
        <v>502</v>
      </c>
      <c r="E191" s="9" t="s">
        <v>19</v>
      </c>
      <c r="F191" s="6" t="s">
        <v>73</v>
      </c>
      <c r="G191" s="8">
        <v>1</v>
      </c>
      <c r="H191" s="58">
        <v>5</v>
      </c>
      <c r="I191" s="52">
        <f t="shared" si="10"/>
        <v>273.008392436195</v>
      </c>
      <c r="J191" s="36"/>
      <c r="L191" s="50" t="s">
        <v>503</v>
      </c>
      <c r="O191" s="16" t="s">
        <v>31</v>
      </c>
      <c r="P191" s="29">
        <f>(1-P188)*(1+P186)</f>
        <v>1.0502910716101734</v>
      </c>
    </row>
    <row r="192" spans="1:16" s="34" customFormat="1" ht="15.75">
      <c r="A192" s="16" t="s">
        <v>36</v>
      </c>
      <c r="B192" s="9" t="s">
        <v>61</v>
      </c>
      <c r="C192" s="9"/>
      <c r="D192" s="14" t="s">
        <v>504</v>
      </c>
      <c r="E192" s="9" t="s">
        <v>19</v>
      </c>
      <c r="F192" s="6" t="s">
        <v>48</v>
      </c>
      <c r="G192" s="8">
        <v>1</v>
      </c>
      <c r="H192" s="58">
        <v>5</v>
      </c>
      <c r="I192" s="52">
        <f t="shared" si="10"/>
        <v>273.008392436195</v>
      </c>
      <c r="J192" s="36"/>
      <c r="O192" s="28" t="s">
        <v>43</v>
      </c>
      <c r="P192" s="26"/>
    </row>
    <row r="193" spans="1:16" s="34" customFormat="1" ht="15.75">
      <c r="A193" s="16" t="s">
        <v>36</v>
      </c>
      <c r="B193" s="9" t="s">
        <v>50</v>
      </c>
      <c r="C193" s="9"/>
      <c r="D193" s="14" t="s">
        <v>505</v>
      </c>
      <c r="E193" s="9" t="s">
        <v>19</v>
      </c>
      <c r="F193" s="6" t="s">
        <v>51</v>
      </c>
      <c r="G193" s="8">
        <v>1</v>
      </c>
      <c r="H193" s="58">
        <v>5</v>
      </c>
      <c r="I193" s="52">
        <f t="shared" si="10"/>
        <v>273.008392436195</v>
      </c>
      <c r="J193" s="36"/>
      <c r="K193" s="34">
        <v>780</v>
      </c>
      <c r="O193" s="16" t="s">
        <v>30</v>
      </c>
      <c r="P193" s="30">
        <f>1+P185</f>
        <v>1.2914063714063713</v>
      </c>
    </row>
    <row r="194" spans="1:16" s="34" customFormat="1" ht="15.75">
      <c r="A194" s="16" t="s">
        <v>412</v>
      </c>
      <c r="B194" s="9" t="s">
        <v>206</v>
      </c>
      <c r="C194" s="9"/>
      <c r="D194" s="14" t="s">
        <v>216</v>
      </c>
      <c r="E194" s="9" t="s">
        <v>19</v>
      </c>
      <c r="F194" s="17" t="s">
        <v>211</v>
      </c>
      <c r="G194" s="8">
        <v>1</v>
      </c>
      <c r="H194" s="58">
        <v>5</v>
      </c>
      <c r="I194" s="52">
        <f t="shared" si="10"/>
        <v>273.008392436195</v>
      </c>
      <c r="J194" s="36"/>
      <c r="O194" s="16" t="s">
        <v>31</v>
      </c>
      <c r="P194" s="30">
        <f>1+P186</f>
        <v>1.3414063714063713</v>
      </c>
    </row>
    <row r="195" spans="1:16" s="34" customFormat="1" ht="16.5" thickBot="1">
      <c r="A195" s="16" t="s">
        <v>483</v>
      </c>
      <c r="B195" s="9" t="s">
        <v>506</v>
      </c>
      <c r="C195" s="9"/>
      <c r="D195" s="14" t="s">
        <v>507</v>
      </c>
      <c r="E195" s="9" t="s">
        <v>19</v>
      </c>
      <c r="F195" s="6" t="s">
        <v>508</v>
      </c>
      <c r="G195" s="8">
        <v>1</v>
      </c>
      <c r="H195" s="58">
        <v>5</v>
      </c>
      <c r="I195" s="52">
        <f t="shared" si="10"/>
        <v>273.008392436195</v>
      </c>
      <c r="J195" s="36">
        <f>1092-660-720</f>
        <v>-288</v>
      </c>
      <c r="O195" s="31" t="s">
        <v>33</v>
      </c>
      <c r="P195" s="32">
        <v>54</v>
      </c>
    </row>
    <row r="196" spans="1:10" s="34" customFormat="1" ht="15.75">
      <c r="A196" s="16" t="s">
        <v>58</v>
      </c>
      <c r="B196" s="9" t="s">
        <v>206</v>
      </c>
      <c r="C196" s="9"/>
      <c r="D196" s="14" t="s">
        <v>216</v>
      </c>
      <c r="E196" s="9" t="s">
        <v>19</v>
      </c>
      <c r="F196" s="17" t="s">
        <v>211</v>
      </c>
      <c r="G196" s="8">
        <v>1</v>
      </c>
      <c r="H196" s="58">
        <v>5</v>
      </c>
      <c r="I196" s="36">
        <f t="shared" si="10"/>
        <v>273.008392436195</v>
      </c>
      <c r="J196" s="36">
        <f t="shared" si="11"/>
        <v>283.5785893347468</v>
      </c>
    </row>
    <row r="197" spans="1:10" s="34" customFormat="1" ht="15.75">
      <c r="A197" s="16" t="s">
        <v>58</v>
      </c>
      <c r="B197" s="9" t="s">
        <v>506</v>
      </c>
      <c r="C197" s="9"/>
      <c r="D197" s="14" t="s">
        <v>507</v>
      </c>
      <c r="E197" s="9" t="s">
        <v>19</v>
      </c>
      <c r="F197" s="6" t="s">
        <v>508</v>
      </c>
      <c r="G197" s="8">
        <v>1</v>
      </c>
      <c r="H197" s="58">
        <v>5</v>
      </c>
      <c r="I197" s="36">
        <f t="shared" si="10"/>
        <v>273.008392436195</v>
      </c>
      <c r="J197" s="36">
        <f t="shared" si="11"/>
        <v>283.5785893347468</v>
      </c>
    </row>
    <row r="198" spans="1:10" s="34" customFormat="1" ht="15.75">
      <c r="A198" s="16" t="s">
        <v>36</v>
      </c>
      <c r="B198" s="9"/>
      <c r="C198" s="9"/>
      <c r="D198" s="13" t="s">
        <v>509</v>
      </c>
      <c r="E198" s="9" t="s">
        <v>19</v>
      </c>
      <c r="F198" s="15" t="s">
        <v>72</v>
      </c>
      <c r="G198" s="8">
        <v>1</v>
      </c>
      <c r="H198" s="58">
        <v>5</v>
      </c>
      <c r="I198" s="52">
        <f t="shared" si="10"/>
        <v>273.008392436195</v>
      </c>
      <c r="J198" s="36">
        <f>819-780</f>
        <v>39</v>
      </c>
    </row>
    <row r="199" spans="1:10" s="34" customFormat="1" ht="15.75">
      <c r="A199" s="16" t="s">
        <v>58</v>
      </c>
      <c r="B199" s="9"/>
      <c r="C199" s="9"/>
      <c r="D199" s="9"/>
      <c r="E199" s="9" t="s">
        <v>19</v>
      </c>
      <c r="F199" s="20" t="s">
        <v>510</v>
      </c>
      <c r="G199" s="8">
        <v>1</v>
      </c>
      <c r="H199" s="58">
        <v>5</v>
      </c>
      <c r="I199" s="36">
        <f t="shared" si="10"/>
        <v>273.008392436195</v>
      </c>
      <c r="J199" s="36">
        <f t="shared" si="11"/>
        <v>283.5785893347468</v>
      </c>
    </row>
    <row r="200" spans="1:10" s="34" customFormat="1" ht="15.75">
      <c r="A200" s="16" t="s">
        <v>58</v>
      </c>
      <c r="B200" s="9"/>
      <c r="C200" s="9"/>
      <c r="D200" s="9"/>
      <c r="E200" s="9" t="s">
        <v>19</v>
      </c>
      <c r="F200" s="20" t="s">
        <v>511</v>
      </c>
      <c r="G200" s="8">
        <v>1</v>
      </c>
      <c r="H200" s="58">
        <v>5</v>
      </c>
      <c r="I200" s="36">
        <f t="shared" si="10"/>
        <v>273.008392436195</v>
      </c>
      <c r="J200" s="36">
        <f t="shared" si="11"/>
        <v>283.5785893347468</v>
      </c>
    </row>
    <row r="201" spans="1:10" s="34" customFormat="1" ht="15.75">
      <c r="A201" s="16" t="s">
        <v>58</v>
      </c>
      <c r="B201" s="9"/>
      <c r="C201" s="9"/>
      <c r="D201" s="9"/>
      <c r="E201" s="9" t="s">
        <v>19</v>
      </c>
      <c r="F201" s="20" t="s">
        <v>512</v>
      </c>
      <c r="G201" s="8">
        <v>1</v>
      </c>
      <c r="H201" s="58">
        <v>5</v>
      </c>
      <c r="I201" s="36">
        <f t="shared" si="10"/>
        <v>273.008392436195</v>
      </c>
      <c r="J201" s="36">
        <f t="shared" si="11"/>
        <v>283.5785893347468</v>
      </c>
    </row>
    <row r="202" spans="1:10" s="34" customFormat="1" ht="15.75">
      <c r="A202" s="16" t="s">
        <v>58</v>
      </c>
      <c r="B202" s="9"/>
      <c r="C202" s="9"/>
      <c r="D202" s="9"/>
      <c r="E202" s="9" t="s">
        <v>19</v>
      </c>
      <c r="F202" s="20" t="s">
        <v>513</v>
      </c>
      <c r="G202" s="8">
        <v>1</v>
      </c>
      <c r="H202" s="58">
        <v>5</v>
      </c>
      <c r="I202" s="36">
        <f t="shared" si="10"/>
        <v>273.008392436195</v>
      </c>
      <c r="J202" s="36">
        <f t="shared" si="11"/>
        <v>283.5785893347468</v>
      </c>
    </row>
    <row r="203" spans="1:10" s="34" customFormat="1" ht="15.75">
      <c r="A203" s="9" t="s">
        <v>514</v>
      </c>
      <c r="B203" s="9" t="s">
        <v>515</v>
      </c>
      <c r="C203" s="9"/>
      <c r="D203" s="14" t="s">
        <v>516</v>
      </c>
      <c r="E203" s="9"/>
      <c r="F203" s="6" t="s">
        <v>517</v>
      </c>
      <c r="G203" s="8">
        <v>1</v>
      </c>
      <c r="H203" s="58">
        <v>22.95</v>
      </c>
      <c r="I203" s="52">
        <f t="shared" si="10"/>
        <v>1253.108521282135</v>
      </c>
      <c r="J203" s="36">
        <f>I203-1300</f>
        <v>-46.891478717865084</v>
      </c>
    </row>
    <row r="204" spans="1:10" s="34" customFormat="1" ht="15.75">
      <c r="A204" s="9" t="s">
        <v>58</v>
      </c>
      <c r="B204" s="9" t="s">
        <v>518</v>
      </c>
      <c r="C204" s="9"/>
      <c r="D204" s="14" t="s">
        <v>519</v>
      </c>
      <c r="E204" s="9"/>
      <c r="F204" s="9"/>
      <c r="G204" s="8">
        <v>1</v>
      </c>
      <c r="H204" s="58">
        <v>25</v>
      </c>
      <c r="I204" s="36">
        <f t="shared" si="10"/>
        <v>1365.041962180975</v>
      </c>
      <c r="J204" s="36">
        <f t="shared" si="11"/>
        <v>1417.8929466737343</v>
      </c>
    </row>
    <row r="205" spans="1:10" s="34" customFormat="1" ht="15.75">
      <c r="A205" s="9" t="s">
        <v>412</v>
      </c>
      <c r="B205" s="9" t="s">
        <v>520</v>
      </c>
      <c r="C205" s="9"/>
      <c r="D205" s="14" t="s">
        <v>521</v>
      </c>
      <c r="E205" s="9" t="s">
        <v>13</v>
      </c>
      <c r="F205" s="6" t="s">
        <v>522</v>
      </c>
      <c r="G205" s="8">
        <v>1</v>
      </c>
      <c r="H205" s="58">
        <v>7.37</v>
      </c>
      <c r="I205" s="52">
        <f t="shared" si="10"/>
        <v>402.4143704509514</v>
      </c>
      <c r="J205" s="36">
        <v>169</v>
      </c>
    </row>
    <row r="206" spans="1:10" s="34" customFormat="1" ht="15.75">
      <c r="A206" s="9" t="s">
        <v>106</v>
      </c>
      <c r="B206" s="9"/>
      <c r="C206" s="9"/>
      <c r="D206" s="14"/>
      <c r="E206" s="9" t="s">
        <v>13</v>
      </c>
      <c r="F206" s="6" t="s">
        <v>526</v>
      </c>
      <c r="G206" s="8">
        <v>1</v>
      </c>
      <c r="H206" s="58">
        <v>7.37</v>
      </c>
      <c r="I206" s="36">
        <f t="shared" si="10"/>
        <v>402.4143704509514</v>
      </c>
      <c r="J206" s="36">
        <f t="shared" si="11"/>
        <v>417.9948406794168</v>
      </c>
    </row>
    <row r="207" spans="1:10" s="34" customFormat="1" ht="15.75">
      <c r="A207" s="16" t="s">
        <v>474</v>
      </c>
      <c r="B207" s="9" t="s">
        <v>520</v>
      </c>
      <c r="C207" s="9"/>
      <c r="D207" s="14" t="s">
        <v>523</v>
      </c>
      <c r="E207" s="9" t="s">
        <v>13</v>
      </c>
      <c r="F207" s="6" t="s">
        <v>524</v>
      </c>
      <c r="G207" s="8">
        <v>1</v>
      </c>
      <c r="H207" s="58">
        <v>7.37</v>
      </c>
      <c r="I207" s="36">
        <f t="shared" si="10"/>
        <v>402.4143704509514</v>
      </c>
      <c r="J207" s="36">
        <f t="shared" si="11"/>
        <v>417.9948406794168</v>
      </c>
    </row>
    <row r="208" spans="1:10" s="34" customFormat="1" ht="15.75">
      <c r="A208" s="9" t="s">
        <v>106</v>
      </c>
      <c r="B208" s="9" t="s">
        <v>525</v>
      </c>
      <c r="C208" s="9"/>
      <c r="D208" s="9"/>
      <c r="E208" s="9" t="s">
        <v>13</v>
      </c>
      <c r="F208" s="6" t="s">
        <v>526</v>
      </c>
      <c r="G208" s="8">
        <v>1</v>
      </c>
      <c r="H208" s="58">
        <v>7.37</v>
      </c>
      <c r="I208" s="36">
        <f t="shared" si="10"/>
        <v>402.4143704509514</v>
      </c>
      <c r="J208" s="36">
        <f t="shared" si="11"/>
        <v>417.9948406794168</v>
      </c>
    </row>
    <row r="209" spans="1:10" s="34" customFormat="1" ht="15.75">
      <c r="A209" s="34" t="s">
        <v>15</v>
      </c>
      <c r="B209" s="34" t="s">
        <v>527</v>
      </c>
      <c r="D209" s="43" t="s">
        <v>528</v>
      </c>
      <c r="E209" s="34" t="s">
        <v>12</v>
      </c>
      <c r="F209" s="42" t="s">
        <v>529</v>
      </c>
      <c r="G209" s="8">
        <v>1</v>
      </c>
      <c r="H209" s="61">
        <v>44.99</v>
      </c>
      <c r="I209" s="37">
        <f>H209*G209*P$193*$P$195</f>
        <v>3137.420123076923</v>
      </c>
      <c r="J209" s="37">
        <f>H209*G209*$P$194*$P$195</f>
        <v>3258.893123076923</v>
      </c>
    </row>
    <row r="210" spans="1:10" s="34" customFormat="1" ht="15.75">
      <c r="A210" s="34" t="s">
        <v>530</v>
      </c>
      <c r="B210" s="34" t="s">
        <v>531</v>
      </c>
      <c r="D210" s="43" t="s">
        <v>532</v>
      </c>
      <c r="E210" s="34" t="s">
        <v>13</v>
      </c>
      <c r="F210" s="42" t="s">
        <v>533</v>
      </c>
      <c r="G210" s="8">
        <v>1</v>
      </c>
      <c r="H210" s="61">
        <v>9.99</v>
      </c>
      <c r="I210" s="37">
        <f>H210*G210*P$193*$P$195</f>
        <v>696.6620811188811</v>
      </c>
      <c r="J210" s="37">
        <f>H210*G210*$P$194*$P$195</f>
        <v>723.6350811188811</v>
      </c>
    </row>
    <row r="211" spans="1:10" s="34" customFormat="1" ht="15.75">
      <c r="A211" s="34" t="s">
        <v>534</v>
      </c>
      <c r="B211" s="34" t="s">
        <v>535</v>
      </c>
      <c r="D211" s="43" t="s">
        <v>536</v>
      </c>
      <c r="E211" s="34" t="s">
        <v>13</v>
      </c>
      <c r="F211" s="42" t="s">
        <v>25</v>
      </c>
      <c r="G211" s="8">
        <v>1</v>
      </c>
      <c r="H211" s="61">
        <v>3.99</v>
      </c>
      <c r="I211" s="37">
        <f>H211*G211*P$193*$P$195</f>
        <v>278.2464167832168</v>
      </c>
      <c r="J211" s="37">
        <f>H211*G211*$P$194*$P$195</f>
        <v>289.0194167832168</v>
      </c>
    </row>
    <row r="212" spans="1:9" s="34" customFormat="1" ht="16.5" thickBot="1">
      <c r="A212" s="34">
        <v>1</v>
      </c>
      <c r="F212" s="42"/>
      <c r="G212" s="8"/>
      <c r="H212" s="35"/>
      <c r="I212" s="35"/>
    </row>
    <row r="213" spans="1:9" s="57" customFormat="1" ht="15.75">
      <c r="A213" s="55" t="s">
        <v>545</v>
      </c>
      <c r="F213" s="56" t="s">
        <v>640</v>
      </c>
      <c r="G213" s="59"/>
      <c r="H213" s="58"/>
      <c r="I213" s="58"/>
    </row>
    <row r="214" spans="1:10" s="34" customFormat="1" ht="16.5" thickBot="1">
      <c r="A214" s="9" t="s">
        <v>107</v>
      </c>
      <c r="B214" s="34" t="s">
        <v>80</v>
      </c>
      <c r="D214" s="43" t="s">
        <v>546</v>
      </c>
      <c r="E214" s="9" t="s">
        <v>175</v>
      </c>
      <c r="F214" s="6" t="s">
        <v>547</v>
      </c>
      <c r="G214" s="9">
        <v>1</v>
      </c>
      <c r="H214" s="58">
        <f>47.5</f>
        <v>47.5</v>
      </c>
      <c r="I214" s="52">
        <f>H214*G214*$P$224*$P$229</f>
        <v>2491.475872333741</v>
      </c>
      <c r="J214" s="36">
        <f>I214-2396</f>
        <v>95.47587233374088</v>
      </c>
    </row>
    <row r="215" spans="1:16" s="34" customFormat="1" ht="15.75">
      <c r="A215" s="34" t="s">
        <v>416</v>
      </c>
      <c r="B215" s="60" t="s">
        <v>539</v>
      </c>
      <c r="D215" s="43" t="s">
        <v>548</v>
      </c>
      <c r="E215" s="9" t="s">
        <v>418</v>
      </c>
      <c r="F215" s="6" t="s">
        <v>549</v>
      </c>
      <c r="G215" s="34">
        <v>1</v>
      </c>
      <c r="H215" s="58">
        <v>24.5</v>
      </c>
      <c r="I215" s="36"/>
      <c r="J215" s="36">
        <f aca="true" t="shared" si="12" ref="J215:J228">H215*G215*$P$225*$P$229</f>
        <v>1334.972852370987</v>
      </c>
      <c r="O215" s="67" t="s">
        <v>41</v>
      </c>
      <c r="P215" s="64">
        <f>SUM(H214:H244)</f>
        <v>316.7100000000001</v>
      </c>
    </row>
    <row r="216" spans="1:16" s="34" customFormat="1" ht="15.75">
      <c r="A216" s="9" t="s">
        <v>416</v>
      </c>
      <c r="B216" s="12" t="s">
        <v>542</v>
      </c>
      <c r="C216" s="9"/>
      <c r="D216" s="43" t="s">
        <v>550</v>
      </c>
      <c r="E216" s="9" t="s">
        <v>46</v>
      </c>
      <c r="F216" s="17" t="s">
        <v>543</v>
      </c>
      <c r="G216" s="9">
        <v>1</v>
      </c>
      <c r="H216" s="58">
        <v>39.5</v>
      </c>
      <c r="I216" s="36"/>
      <c r="J216" s="36">
        <f t="shared" si="12"/>
        <v>2152.3031701491423</v>
      </c>
      <c r="O216" s="16" t="s">
        <v>42</v>
      </c>
      <c r="P216" s="25">
        <f>SUM(H214:H235)</f>
        <v>253.80000000000004</v>
      </c>
    </row>
    <row r="217" spans="1:16" s="34" customFormat="1" ht="15.75">
      <c r="A217" s="9" t="s">
        <v>416</v>
      </c>
      <c r="B217" s="12" t="s">
        <v>542</v>
      </c>
      <c r="C217" s="9"/>
      <c r="D217" s="43" t="s">
        <v>551</v>
      </c>
      <c r="E217" s="9" t="s">
        <v>418</v>
      </c>
      <c r="F217" s="17" t="s">
        <v>544</v>
      </c>
      <c r="G217" s="9">
        <v>1</v>
      </c>
      <c r="H217" s="58">
        <v>38.5</v>
      </c>
      <c r="I217" s="36"/>
      <c r="J217" s="36">
        <f t="shared" si="12"/>
        <v>2097.8144822972654</v>
      </c>
      <c r="O217" s="16" t="s">
        <v>43</v>
      </c>
      <c r="P217" s="25">
        <f>SUM(H236:H244)</f>
        <v>62.91000000000001</v>
      </c>
    </row>
    <row r="218" spans="1:16" s="34" customFormat="1" ht="15.75">
      <c r="A218" s="34" t="s">
        <v>540</v>
      </c>
      <c r="B218" s="60" t="s">
        <v>541</v>
      </c>
      <c r="D218" s="43" t="s">
        <v>552</v>
      </c>
      <c r="E218" s="34" t="s">
        <v>16</v>
      </c>
      <c r="F218" s="6" t="s">
        <v>553</v>
      </c>
      <c r="G218" s="34">
        <v>1</v>
      </c>
      <c r="H218" s="58">
        <v>5.4</v>
      </c>
      <c r="I218" s="36"/>
      <c r="J218" s="36">
        <f t="shared" si="12"/>
        <v>294.23891440013597</v>
      </c>
      <c r="O218" s="16" t="s">
        <v>29</v>
      </c>
      <c r="P218" s="26">
        <v>56.99</v>
      </c>
    </row>
    <row r="219" spans="1:16" s="34" customFormat="1" ht="15.75">
      <c r="A219" s="11" t="s">
        <v>534</v>
      </c>
      <c r="B219" s="60" t="s">
        <v>102</v>
      </c>
      <c r="D219" s="43" t="s">
        <v>554</v>
      </c>
      <c r="E219" s="34" t="s">
        <v>13</v>
      </c>
      <c r="F219" s="6" t="s">
        <v>460</v>
      </c>
      <c r="G219" s="34">
        <v>1</v>
      </c>
      <c r="H219" s="58">
        <v>5.4</v>
      </c>
      <c r="I219" s="36"/>
      <c r="J219" s="36">
        <f t="shared" si="12"/>
        <v>294.23891440013597</v>
      </c>
      <c r="O219" s="16" t="s">
        <v>32</v>
      </c>
      <c r="P219" s="27">
        <f>P218/(P215-P221)+0.07</f>
        <v>0.28776011615910735</v>
      </c>
    </row>
    <row r="220" spans="1:18" ht="15.75">
      <c r="A220" s="11" t="s">
        <v>534</v>
      </c>
      <c r="B220" s="60" t="s">
        <v>102</v>
      </c>
      <c r="C220" s="34"/>
      <c r="D220" s="43" t="s">
        <v>555</v>
      </c>
      <c r="E220" s="34" t="s">
        <v>13</v>
      </c>
      <c r="F220" s="6" t="s">
        <v>455</v>
      </c>
      <c r="G220" s="34">
        <v>1</v>
      </c>
      <c r="H220" s="58">
        <v>5.4</v>
      </c>
      <c r="I220" s="36"/>
      <c r="J220" s="36">
        <f t="shared" si="12"/>
        <v>294.23891440013597</v>
      </c>
      <c r="K220" s="34"/>
      <c r="M220" s="34"/>
      <c r="N220" s="34"/>
      <c r="O220" s="16" t="s">
        <v>32</v>
      </c>
      <c r="P220" s="27">
        <f>P218/(P215-P221)+0.12</f>
        <v>0.33776011615910734</v>
      </c>
      <c r="R220" s="34"/>
    </row>
    <row r="221" spans="1:18" ht="15.75">
      <c r="A221" s="11" t="s">
        <v>556</v>
      </c>
      <c r="B221" s="60" t="s">
        <v>557</v>
      </c>
      <c r="C221" s="34"/>
      <c r="D221" s="43" t="s">
        <v>558</v>
      </c>
      <c r="E221" s="34" t="s">
        <v>16</v>
      </c>
      <c r="F221" s="6" t="s">
        <v>22</v>
      </c>
      <c r="G221" s="34">
        <v>1</v>
      </c>
      <c r="H221" s="58">
        <v>5.4</v>
      </c>
      <c r="I221" s="36"/>
      <c r="J221" s="36">
        <f t="shared" si="12"/>
        <v>294.23891440013597</v>
      </c>
      <c r="K221" s="34"/>
      <c r="M221" s="34"/>
      <c r="N221" s="34"/>
      <c r="O221" s="16" t="s">
        <v>44</v>
      </c>
      <c r="P221" s="26">
        <v>55</v>
      </c>
      <c r="R221" s="34"/>
    </row>
    <row r="222" spans="1:18" ht="15.75">
      <c r="A222" s="11" t="s">
        <v>556</v>
      </c>
      <c r="B222" s="60" t="s">
        <v>559</v>
      </c>
      <c r="C222" s="34"/>
      <c r="D222" s="43" t="s">
        <v>560</v>
      </c>
      <c r="E222" s="34" t="s">
        <v>16</v>
      </c>
      <c r="F222" s="6" t="s">
        <v>561</v>
      </c>
      <c r="G222" s="34">
        <v>1</v>
      </c>
      <c r="H222" s="58">
        <v>5.4</v>
      </c>
      <c r="I222" s="36"/>
      <c r="J222" s="36">
        <f t="shared" si="12"/>
        <v>294.23891440013597</v>
      </c>
      <c r="K222" s="34"/>
      <c r="M222" s="34"/>
      <c r="N222" s="34"/>
      <c r="O222" s="16" t="s">
        <v>45</v>
      </c>
      <c r="P222" s="26">
        <f>P221/P216</f>
        <v>0.21670606776989754</v>
      </c>
      <c r="R222" s="34"/>
    </row>
    <row r="223" spans="1:18" ht="15.75">
      <c r="A223" s="11" t="s">
        <v>556</v>
      </c>
      <c r="B223" s="60" t="s">
        <v>562</v>
      </c>
      <c r="C223" s="34"/>
      <c r="D223" s="43" t="s">
        <v>563</v>
      </c>
      <c r="E223" s="34" t="s">
        <v>13</v>
      </c>
      <c r="F223" s="6" t="s">
        <v>25</v>
      </c>
      <c r="G223" s="34">
        <v>1</v>
      </c>
      <c r="H223" s="58">
        <v>5.4</v>
      </c>
      <c r="I223" s="36"/>
      <c r="J223" s="36">
        <f t="shared" si="12"/>
        <v>294.23891440013597</v>
      </c>
      <c r="K223" s="34"/>
      <c r="M223" s="34"/>
      <c r="N223" s="34"/>
      <c r="O223" s="28" t="s">
        <v>42</v>
      </c>
      <c r="P223" s="27"/>
      <c r="R223" s="34"/>
    </row>
    <row r="224" spans="1:18" ht="15.75">
      <c r="A224" s="11" t="s">
        <v>564</v>
      </c>
      <c r="B224" s="34" t="s">
        <v>565</v>
      </c>
      <c r="C224" s="34"/>
      <c r="D224" s="43" t="s">
        <v>566</v>
      </c>
      <c r="E224" s="34" t="s">
        <v>13</v>
      </c>
      <c r="F224" s="6" t="s">
        <v>567</v>
      </c>
      <c r="G224" s="34">
        <v>1</v>
      </c>
      <c r="H224" s="58">
        <v>5.4</v>
      </c>
      <c r="I224" s="52">
        <f>H224*G224*$P$224*$P$229</f>
        <v>283.2414675916253</v>
      </c>
      <c r="J224" s="36">
        <f>I224-292</f>
        <v>-8.75853240837472</v>
      </c>
      <c r="K224" s="34"/>
      <c r="M224" s="34"/>
      <c r="N224" s="34"/>
      <c r="O224" s="16" t="s">
        <v>30</v>
      </c>
      <c r="P224" s="29">
        <f>(1-P222)*(1+P219)</f>
        <v>1.0086946851553606</v>
      </c>
      <c r="R224" s="34"/>
    </row>
    <row r="225" spans="1:18" ht="15.75">
      <c r="A225" s="11" t="s">
        <v>568</v>
      </c>
      <c r="B225" s="34" t="s">
        <v>569</v>
      </c>
      <c r="C225" s="34"/>
      <c r="D225" s="43" t="s">
        <v>570</v>
      </c>
      <c r="E225" s="34"/>
      <c r="F225" s="6" t="s">
        <v>571</v>
      </c>
      <c r="G225" s="34">
        <v>1</v>
      </c>
      <c r="H225" s="58">
        <v>6</v>
      </c>
      <c r="I225" s="36"/>
      <c r="J225" s="36">
        <v>0</v>
      </c>
      <c r="K225" s="34" t="s">
        <v>1012</v>
      </c>
      <c r="M225" s="34"/>
      <c r="N225" s="34"/>
      <c r="O225" s="16" t="s">
        <v>31</v>
      </c>
      <c r="P225" s="29">
        <f>(1-P222)*(1+P220)</f>
        <v>1.0478593817668658</v>
      </c>
      <c r="R225" s="34"/>
    </row>
    <row r="226" spans="1:18" ht="15.75">
      <c r="A226" s="11" t="s">
        <v>572</v>
      </c>
      <c r="B226" s="34" t="s">
        <v>573</v>
      </c>
      <c r="C226" s="34"/>
      <c r="D226" s="43" t="s">
        <v>574</v>
      </c>
      <c r="E226" s="34"/>
      <c r="F226" s="6" t="s">
        <v>575</v>
      </c>
      <c r="G226" s="34">
        <v>1</v>
      </c>
      <c r="H226" s="58">
        <v>6</v>
      </c>
      <c r="I226" s="36"/>
      <c r="J226" s="36">
        <v>0</v>
      </c>
      <c r="K226" s="34" t="s">
        <v>1012</v>
      </c>
      <c r="M226" s="34"/>
      <c r="N226" s="34"/>
      <c r="O226" s="28" t="s">
        <v>43</v>
      </c>
      <c r="P226" s="26"/>
      <c r="R226" s="34"/>
    </row>
    <row r="227" spans="1:18" ht="15.75">
      <c r="A227" s="11" t="s">
        <v>576</v>
      </c>
      <c r="B227" s="34" t="s">
        <v>577</v>
      </c>
      <c r="C227" s="34"/>
      <c r="D227" s="43" t="s">
        <v>578</v>
      </c>
      <c r="E227" s="34"/>
      <c r="F227" s="6" t="s">
        <v>579</v>
      </c>
      <c r="G227" s="34">
        <v>1</v>
      </c>
      <c r="H227" s="58">
        <v>6</v>
      </c>
      <c r="I227" s="36"/>
      <c r="J227" s="36">
        <v>0</v>
      </c>
      <c r="K227" s="34" t="s">
        <v>1012</v>
      </c>
      <c r="M227" s="34"/>
      <c r="N227" s="34"/>
      <c r="O227" s="16" t="s">
        <v>30</v>
      </c>
      <c r="P227" s="30">
        <f>1+P219</f>
        <v>1.2877601161591072</v>
      </c>
      <c r="R227" s="34"/>
    </row>
    <row r="228" spans="1:18" ht="15.75">
      <c r="A228" s="11" t="s">
        <v>267</v>
      </c>
      <c r="B228" s="34" t="s">
        <v>580</v>
      </c>
      <c r="C228" s="34"/>
      <c r="D228" s="43" t="s">
        <v>581</v>
      </c>
      <c r="E228" s="34"/>
      <c r="F228" s="6" t="s">
        <v>575</v>
      </c>
      <c r="G228" s="34">
        <v>1</v>
      </c>
      <c r="H228" s="58">
        <v>6</v>
      </c>
      <c r="I228" s="36"/>
      <c r="J228" s="36">
        <f t="shared" si="12"/>
        <v>326.9321271112621</v>
      </c>
      <c r="K228" s="34"/>
      <c r="M228" s="34"/>
      <c r="N228" s="34"/>
      <c r="O228" s="16" t="s">
        <v>31</v>
      </c>
      <c r="P228" s="30">
        <f>1+P220</f>
        <v>1.3377601161591073</v>
      </c>
      <c r="R228" s="34"/>
    </row>
    <row r="229" spans="1:18" ht="16.5" thickBot="1">
      <c r="A229" s="11" t="s">
        <v>582</v>
      </c>
      <c r="B229" s="34" t="s">
        <v>583</v>
      </c>
      <c r="C229" s="34"/>
      <c r="D229" s="43" t="s">
        <v>584</v>
      </c>
      <c r="E229" s="34"/>
      <c r="F229" s="6" t="s">
        <v>571</v>
      </c>
      <c r="G229" s="34">
        <v>1</v>
      </c>
      <c r="H229" s="58">
        <v>6</v>
      </c>
      <c r="I229" s="52">
        <f aca="true" t="shared" si="13" ref="I229:I235">H229*G229*$P$224*$P$229</f>
        <v>314.71274176847254</v>
      </c>
      <c r="J229" s="36"/>
      <c r="K229" s="34"/>
      <c r="M229" s="34"/>
      <c r="N229" s="34"/>
      <c r="O229" s="82" t="s">
        <v>973</v>
      </c>
      <c r="P229" s="32">
        <v>52</v>
      </c>
      <c r="R229" s="34"/>
    </row>
    <row r="230" spans="1:18" ht="15.75">
      <c r="A230" s="11" t="s">
        <v>582</v>
      </c>
      <c r="B230" s="34" t="s">
        <v>86</v>
      </c>
      <c r="C230" s="34"/>
      <c r="D230" s="43" t="s">
        <v>585</v>
      </c>
      <c r="E230" s="34"/>
      <c r="F230" s="6" t="s">
        <v>73</v>
      </c>
      <c r="G230" s="34">
        <v>1</v>
      </c>
      <c r="H230" s="58">
        <v>6</v>
      </c>
      <c r="I230" s="52">
        <f t="shared" si="13"/>
        <v>314.71274176847254</v>
      </c>
      <c r="J230" s="36"/>
      <c r="K230" s="50" t="s">
        <v>586</v>
      </c>
      <c r="M230" s="34"/>
      <c r="N230" s="34"/>
      <c r="O230" s="34"/>
      <c r="P230" s="34"/>
      <c r="Q230" s="34"/>
      <c r="R230" s="34"/>
    </row>
    <row r="231" spans="1:18" ht="15.75">
      <c r="A231" s="11" t="s">
        <v>582</v>
      </c>
      <c r="B231" s="34" t="s">
        <v>87</v>
      </c>
      <c r="C231" s="34"/>
      <c r="D231" s="43" t="s">
        <v>587</v>
      </c>
      <c r="E231" s="34"/>
      <c r="F231" s="6" t="s">
        <v>88</v>
      </c>
      <c r="G231" s="34">
        <v>1</v>
      </c>
      <c r="H231" s="58">
        <v>6</v>
      </c>
      <c r="I231" s="52">
        <f t="shared" si="13"/>
        <v>314.71274176847254</v>
      </c>
      <c r="J231" s="36"/>
      <c r="K231" s="34"/>
      <c r="M231" s="34"/>
      <c r="N231" s="34"/>
      <c r="O231" s="34"/>
      <c r="P231" s="34"/>
      <c r="Q231" s="34"/>
      <c r="R231" s="34"/>
    </row>
    <row r="232" spans="1:18" ht="15.75">
      <c r="A232" s="11" t="s">
        <v>582</v>
      </c>
      <c r="B232" s="34" t="s">
        <v>492</v>
      </c>
      <c r="C232" s="34"/>
      <c r="D232" s="43" t="s">
        <v>588</v>
      </c>
      <c r="E232" s="34"/>
      <c r="F232" s="6" t="s">
        <v>48</v>
      </c>
      <c r="G232" s="34">
        <v>1</v>
      </c>
      <c r="H232" s="58">
        <v>6</v>
      </c>
      <c r="I232" s="52">
        <f t="shared" si="13"/>
        <v>314.71274176847254</v>
      </c>
      <c r="J232" s="36"/>
      <c r="K232" s="34"/>
      <c r="M232" s="34"/>
      <c r="N232" s="34"/>
      <c r="O232" s="34"/>
      <c r="P232" s="34"/>
      <c r="Q232" s="34"/>
      <c r="R232" s="34"/>
    </row>
    <row r="233" spans="1:18" ht="15.75">
      <c r="A233" s="11" t="s">
        <v>582</v>
      </c>
      <c r="B233" s="34" t="s">
        <v>89</v>
      </c>
      <c r="C233" s="34"/>
      <c r="D233" s="43" t="s">
        <v>589</v>
      </c>
      <c r="E233" s="34"/>
      <c r="F233" s="6" t="s">
        <v>90</v>
      </c>
      <c r="G233" s="34">
        <v>1</v>
      </c>
      <c r="H233" s="58">
        <v>6</v>
      </c>
      <c r="I233" s="52">
        <f t="shared" si="13"/>
        <v>314.71274176847254</v>
      </c>
      <c r="J233" s="36">
        <f>1574-1350</f>
        <v>224</v>
      </c>
      <c r="K233" s="34"/>
      <c r="M233" s="34"/>
      <c r="N233" s="34"/>
      <c r="O233" s="34"/>
      <c r="P233" s="34"/>
      <c r="Q233" s="34"/>
      <c r="R233" s="34"/>
    </row>
    <row r="234" spans="1:18" ht="15.75">
      <c r="A234" s="11" t="s">
        <v>590</v>
      </c>
      <c r="B234" s="34" t="s">
        <v>591</v>
      </c>
      <c r="C234" s="34"/>
      <c r="D234" s="43" t="s">
        <v>592</v>
      </c>
      <c r="E234" s="34"/>
      <c r="F234" s="6" t="s">
        <v>72</v>
      </c>
      <c r="G234" s="34">
        <v>1</v>
      </c>
      <c r="H234" s="58">
        <v>6</v>
      </c>
      <c r="I234" s="52">
        <f t="shared" si="13"/>
        <v>314.71274176847254</v>
      </c>
      <c r="J234" s="36"/>
      <c r="K234" s="34"/>
      <c r="M234" s="34"/>
      <c r="N234" s="34"/>
      <c r="O234" s="34"/>
      <c r="P234" s="34"/>
      <c r="Q234" s="34"/>
      <c r="R234" s="34"/>
    </row>
    <row r="235" spans="1:18" ht="15.75">
      <c r="A235" s="11" t="s">
        <v>590</v>
      </c>
      <c r="B235" s="34" t="s">
        <v>593</v>
      </c>
      <c r="C235" s="34"/>
      <c r="D235" s="43" t="s">
        <v>594</v>
      </c>
      <c r="E235" s="34"/>
      <c r="F235" s="6" t="s">
        <v>49</v>
      </c>
      <c r="G235" s="34">
        <v>1</v>
      </c>
      <c r="H235" s="58">
        <v>6</v>
      </c>
      <c r="I235" s="52">
        <f t="shared" si="13"/>
        <v>314.71274176847254</v>
      </c>
      <c r="J235" s="36">
        <f>629-540</f>
        <v>89</v>
      </c>
      <c r="K235" s="34"/>
      <c r="M235" s="34"/>
      <c r="N235" s="34"/>
      <c r="O235" s="34"/>
      <c r="P235" s="34"/>
      <c r="Q235" s="34"/>
      <c r="R235" s="34"/>
    </row>
    <row r="236" spans="1:18" ht="15.75">
      <c r="A236" s="34" t="s">
        <v>595</v>
      </c>
      <c r="B236" s="34" t="s">
        <v>78</v>
      </c>
      <c r="C236" s="34"/>
      <c r="D236" s="43" t="s">
        <v>596</v>
      </c>
      <c r="E236" s="34" t="s">
        <v>7</v>
      </c>
      <c r="F236" s="6" t="s">
        <v>597</v>
      </c>
      <c r="G236" s="34">
        <v>1</v>
      </c>
      <c r="H236" s="61">
        <v>5.99</v>
      </c>
      <c r="I236" s="53">
        <f>H236*G236*P$227*$P$229</f>
        <v>401.1115209812387</v>
      </c>
      <c r="J236" s="37"/>
      <c r="K236" s="34"/>
      <c r="M236" s="34"/>
      <c r="N236" s="34"/>
      <c r="O236" s="34"/>
      <c r="P236" s="34"/>
      <c r="Q236" s="34"/>
      <c r="R236" s="34"/>
    </row>
    <row r="237" spans="1:18" ht="15.75">
      <c r="A237" s="34" t="s">
        <v>595</v>
      </c>
      <c r="B237" s="34" t="s">
        <v>598</v>
      </c>
      <c r="C237" s="34"/>
      <c r="D237" s="43" t="s">
        <v>599</v>
      </c>
      <c r="E237" s="34" t="s">
        <v>7</v>
      </c>
      <c r="F237" s="6" t="s">
        <v>600</v>
      </c>
      <c r="G237" s="34">
        <v>1</v>
      </c>
      <c r="H237" s="71">
        <v>3.99</v>
      </c>
      <c r="I237" s="53">
        <f>H237*G237*P$227*$P$229</f>
        <v>267.18446890069157</v>
      </c>
      <c r="J237" s="37"/>
      <c r="K237" s="34"/>
      <c r="M237" s="34"/>
      <c r="N237" s="34"/>
      <c r="O237" s="34"/>
      <c r="P237" s="34"/>
      <c r="Q237" s="34"/>
      <c r="R237" s="34"/>
    </row>
    <row r="238" spans="1:18" ht="15.75">
      <c r="A238" s="34" t="s">
        <v>463</v>
      </c>
      <c r="B238" s="34" t="s">
        <v>601</v>
      </c>
      <c r="C238" s="34"/>
      <c r="D238" s="43" t="s">
        <v>602</v>
      </c>
      <c r="E238" s="34" t="s">
        <v>7</v>
      </c>
      <c r="F238" s="6" t="s">
        <v>603</v>
      </c>
      <c r="G238" s="34">
        <v>1</v>
      </c>
      <c r="H238" s="61">
        <v>5.99</v>
      </c>
      <c r="I238" s="53">
        <f aca="true" t="shared" si="14" ref="I238:I244">H238*G238*P$227*$P$229</f>
        <v>401.1115209812387</v>
      </c>
      <c r="J238" s="54"/>
      <c r="K238" s="34"/>
      <c r="M238" s="34"/>
      <c r="N238" s="34"/>
      <c r="O238" s="34"/>
      <c r="P238" s="34"/>
      <c r="Q238" s="34"/>
      <c r="R238" s="34"/>
    </row>
    <row r="239" spans="1:18" ht="15.75">
      <c r="A239" s="34" t="s">
        <v>463</v>
      </c>
      <c r="B239" s="34" t="s">
        <v>601</v>
      </c>
      <c r="C239" s="34"/>
      <c r="D239" s="43" t="s">
        <v>602</v>
      </c>
      <c r="E239" s="34" t="s">
        <v>7</v>
      </c>
      <c r="F239" s="6" t="s">
        <v>603</v>
      </c>
      <c r="G239" s="34">
        <v>1</v>
      </c>
      <c r="H239" s="61">
        <v>5.99</v>
      </c>
      <c r="I239" s="53">
        <f t="shared" si="14"/>
        <v>401.1115209812387</v>
      </c>
      <c r="J239" s="54"/>
      <c r="K239" s="34"/>
      <c r="M239" s="34"/>
      <c r="N239" s="34"/>
      <c r="O239" s="34"/>
      <c r="P239" s="34"/>
      <c r="Q239" s="34"/>
      <c r="R239" s="34"/>
    </row>
    <row r="240" spans="1:18" ht="15.75">
      <c r="A240" s="34" t="s">
        <v>463</v>
      </c>
      <c r="B240" s="34" t="s">
        <v>604</v>
      </c>
      <c r="C240" s="34"/>
      <c r="D240" s="43" t="s">
        <v>605</v>
      </c>
      <c r="E240" s="34" t="s">
        <v>7</v>
      </c>
      <c r="F240" s="6" t="s">
        <v>600</v>
      </c>
      <c r="G240" s="34">
        <v>1</v>
      </c>
      <c r="H240" s="71">
        <v>3.99</v>
      </c>
      <c r="I240" s="53">
        <f t="shared" si="14"/>
        <v>267.18446890069157</v>
      </c>
      <c r="J240" s="54"/>
      <c r="K240" s="34"/>
      <c r="M240" s="34"/>
      <c r="N240" s="34"/>
      <c r="O240" s="34"/>
      <c r="P240" s="34"/>
      <c r="Q240" s="34"/>
      <c r="R240" s="34"/>
    </row>
    <row r="241" spans="1:18" ht="15.75">
      <c r="A241" s="34" t="s">
        <v>463</v>
      </c>
      <c r="B241" s="34" t="s">
        <v>604</v>
      </c>
      <c r="C241" s="34"/>
      <c r="D241" s="43" t="s">
        <v>605</v>
      </c>
      <c r="E241" s="34" t="s">
        <v>7</v>
      </c>
      <c r="F241" s="6" t="s">
        <v>600</v>
      </c>
      <c r="G241" s="34">
        <v>1</v>
      </c>
      <c r="H241" s="71">
        <v>3.99</v>
      </c>
      <c r="I241" s="53">
        <f t="shared" si="14"/>
        <v>267.18446890069157</v>
      </c>
      <c r="J241" s="54"/>
      <c r="K241" s="34"/>
      <c r="M241" s="34"/>
      <c r="N241" s="34"/>
      <c r="O241" s="34"/>
      <c r="P241" s="34"/>
      <c r="Q241" s="34"/>
      <c r="R241" s="34"/>
    </row>
    <row r="242" spans="1:18" ht="15.75">
      <c r="A242" s="34" t="s">
        <v>463</v>
      </c>
      <c r="B242" s="34" t="s">
        <v>606</v>
      </c>
      <c r="C242" s="34"/>
      <c r="D242" s="43" t="s">
        <v>607</v>
      </c>
      <c r="E242" s="34" t="s">
        <v>7</v>
      </c>
      <c r="F242" s="6" t="s">
        <v>98</v>
      </c>
      <c r="G242" s="34">
        <v>1</v>
      </c>
      <c r="H242" s="71">
        <v>3.99</v>
      </c>
      <c r="I242" s="53">
        <f t="shared" si="14"/>
        <v>267.18446890069157</v>
      </c>
      <c r="J242" s="54"/>
      <c r="K242" s="34"/>
      <c r="M242" s="34"/>
      <c r="N242" s="34"/>
      <c r="O242" s="34"/>
      <c r="P242" s="34"/>
      <c r="Q242" s="34"/>
      <c r="R242" s="34"/>
    </row>
    <row r="243" spans="1:18" ht="15.75">
      <c r="A243" s="34" t="s">
        <v>463</v>
      </c>
      <c r="B243" s="34" t="s">
        <v>606</v>
      </c>
      <c r="C243" s="34"/>
      <c r="D243" s="43" t="s">
        <v>607</v>
      </c>
      <c r="E243" s="34" t="s">
        <v>7</v>
      </c>
      <c r="F243" s="6" t="s">
        <v>98</v>
      </c>
      <c r="G243" s="34">
        <v>1</v>
      </c>
      <c r="H243" s="71">
        <v>3.99</v>
      </c>
      <c r="I243" s="53">
        <f t="shared" si="14"/>
        <v>267.18446890069157</v>
      </c>
      <c r="J243" s="54"/>
      <c r="K243" s="34"/>
      <c r="M243" s="34"/>
      <c r="N243" s="34"/>
      <c r="O243" s="34"/>
      <c r="P243" s="34"/>
      <c r="Q243" s="34"/>
      <c r="R243" s="34"/>
    </row>
    <row r="244" spans="1:18" ht="15.75">
      <c r="A244" s="34" t="s">
        <v>463</v>
      </c>
      <c r="B244" s="34" t="s">
        <v>608</v>
      </c>
      <c r="C244" s="34"/>
      <c r="D244" s="43" t="s">
        <v>609</v>
      </c>
      <c r="E244" s="34" t="s">
        <v>7</v>
      </c>
      <c r="F244" s="6" t="s">
        <v>27</v>
      </c>
      <c r="G244" s="34">
        <v>1</v>
      </c>
      <c r="H244" s="61">
        <v>24.99</v>
      </c>
      <c r="I244" s="53">
        <f t="shared" si="14"/>
        <v>1673.4185157464365</v>
      </c>
      <c r="J244" s="54">
        <f>3544-3650</f>
        <v>-106</v>
      </c>
      <c r="K244" s="34"/>
      <c r="M244" s="34"/>
      <c r="N244" s="34"/>
      <c r="O244" s="34"/>
      <c r="P244" s="34"/>
      <c r="Q244" s="34"/>
      <c r="R244" s="34"/>
    </row>
    <row r="245" spans="1:18" ht="16.5" thickBot="1">
      <c r="A245" s="11">
        <v>1</v>
      </c>
      <c r="B245" s="34"/>
      <c r="C245" s="34"/>
      <c r="D245" s="43"/>
      <c r="E245" s="34"/>
      <c r="F245" s="42"/>
      <c r="G245" s="34"/>
      <c r="H245" s="35"/>
      <c r="I245" s="34"/>
      <c r="J245" s="34"/>
      <c r="K245" s="34"/>
      <c r="M245" s="34"/>
      <c r="N245" s="34"/>
      <c r="O245" s="34"/>
      <c r="P245" s="34"/>
      <c r="Q245" s="34"/>
      <c r="R245" s="34"/>
    </row>
    <row r="246" spans="1:18" ht="16.5" thickBot="1">
      <c r="A246" s="11">
        <v>1</v>
      </c>
      <c r="B246" s="34"/>
      <c r="C246" s="34"/>
      <c r="D246" s="43"/>
      <c r="E246" s="34"/>
      <c r="G246" s="34"/>
      <c r="H246" s="35"/>
      <c r="I246" s="34"/>
      <c r="J246" s="34"/>
      <c r="K246" s="34"/>
      <c r="M246" s="34"/>
      <c r="N246" s="34"/>
      <c r="O246" s="67" t="s">
        <v>41</v>
      </c>
      <c r="P246" s="64">
        <f>SUM(H248:H260)</f>
        <v>259.79</v>
      </c>
      <c r="R246" s="34"/>
    </row>
    <row r="247" spans="1:16" s="57" customFormat="1" ht="15.75">
      <c r="A247" s="55" t="s">
        <v>545</v>
      </c>
      <c r="F247" s="56" t="s">
        <v>640</v>
      </c>
      <c r="G247" s="59"/>
      <c r="H247" s="58"/>
      <c r="O247" s="51" t="s">
        <v>42</v>
      </c>
      <c r="P247" s="38">
        <f>SUM(H248:H259)</f>
        <v>252.80000000000004</v>
      </c>
    </row>
    <row r="248" spans="1:18" ht="15.75">
      <c r="A248" s="11" t="s">
        <v>610</v>
      </c>
      <c r="B248" s="34" t="s">
        <v>611</v>
      </c>
      <c r="C248" s="34"/>
      <c r="D248" s="43" t="s">
        <v>612</v>
      </c>
      <c r="E248" s="34" t="s">
        <v>13</v>
      </c>
      <c r="F248" s="42" t="s">
        <v>613</v>
      </c>
      <c r="G248" s="34">
        <v>1</v>
      </c>
      <c r="H248" s="58">
        <v>48.5</v>
      </c>
      <c r="I248" s="52">
        <f aca="true" t="shared" si="15" ref="I248:I259">H248*G248*$P$255*$P$260</f>
        <v>2660.5781870228593</v>
      </c>
      <c r="J248" s="36"/>
      <c r="K248" s="34"/>
      <c r="M248" s="34"/>
      <c r="N248" s="34"/>
      <c r="O248" s="16" t="s">
        <v>43</v>
      </c>
      <c r="P248" s="25">
        <f>SUM(H260)</f>
        <v>6.99</v>
      </c>
      <c r="R248" s="34"/>
    </row>
    <row r="249" spans="1:18" ht="15.75">
      <c r="A249" s="11" t="s">
        <v>610</v>
      </c>
      <c r="B249" s="34" t="s">
        <v>614</v>
      </c>
      <c r="C249" s="34"/>
      <c r="D249" s="43" t="s">
        <v>615</v>
      </c>
      <c r="E249" s="34" t="s">
        <v>13</v>
      </c>
      <c r="F249" s="42" t="s">
        <v>35</v>
      </c>
      <c r="G249" s="34">
        <v>1</v>
      </c>
      <c r="H249" s="58">
        <v>34.5</v>
      </c>
      <c r="I249" s="52">
        <f t="shared" si="15"/>
        <v>1892.576236129663</v>
      </c>
      <c r="J249" s="36"/>
      <c r="K249" s="34"/>
      <c r="M249" s="34"/>
      <c r="N249" s="34"/>
      <c r="O249" s="16" t="s">
        <v>29</v>
      </c>
      <c r="P249" s="26">
        <v>56.99</v>
      </c>
      <c r="R249" s="34"/>
    </row>
    <row r="250" spans="1:18" ht="15.75">
      <c r="A250" s="11" t="s">
        <v>610</v>
      </c>
      <c r="B250" s="34" t="s">
        <v>616</v>
      </c>
      <c r="C250" s="34"/>
      <c r="D250" s="43" t="s">
        <v>617</v>
      </c>
      <c r="E250" s="34" t="s">
        <v>7</v>
      </c>
      <c r="F250" s="42" t="s">
        <v>35</v>
      </c>
      <c r="G250" s="34">
        <v>1</v>
      </c>
      <c r="H250" s="58">
        <v>69.5</v>
      </c>
      <c r="I250" s="52">
        <f t="shared" si="15"/>
        <v>3812.581113362654</v>
      </c>
      <c r="J250" s="36">
        <f>8366-8045</f>
        <v>321</v>
      </c>
      <c r="K250" s="34"/>
      <c r="M250" s="34"/>
      <c r="N250" s="34"/>
      <c r="O250" s="16" t="s">
        <v>32</v>
      </c>
      <c r="P250" s="27">
        <f>P249/(P246-P252)+0.07</f>
        <v>0.3482850725133063</v>
      </c>
      <c r="R250" s="34"/>
    </row>
    <row r="251" spans="1:18" ht="15.75">
      <c r="A251" s="34" t="s">
        <v>618</v>
      </c>
      <c r="B251" s="34" t="s">
        <v>619</v>
      </c>
      <c r="C251" s="34"/>
      <c r="D251" s="43" t="s">
        <v>620</v>
      </c>
      <c r="E251" s="34" t="s">
        <v>13</v>
      </c>
      <c r="F251" s="42" t="s">
        <v>621</v>
      </c>
      <c r="G251" s="34">
        <v>1</v>
      </c>
      <c r="H251" s="58">
        <v>18.5</v>
      </c>
      <c r="I251" s="36"/>
      <c r="J251" s="36">
        <f>H251*G251*$P$256*$P$260</f>
        <v>1052.4949265193552</v>
      </c>
      <c r="K251" s="34"/>
      <c r="M251" s="34"/>
      <c r="N251" s="34"/>
      <c r="O251" s="16" t="s">
        <v>32</v>
      </c>
      <c r="P251" s="27">
        <f>P249/(P246-P252)+0.12</f>
        <v>0.3982850725133063</v>
      </c>
      <c r="R251" s="34"/>
    </row>
    <row r="252" spans="1:18" ht="15.75">
      <c r="A252" t="s">
        <v>622</v>
      </c>
      <c r="B252" s="34" t="s">
        <v>623</v>
      </c>
      <c r="C252" s="34"/>
      <c r="D252" s="43" t="s">
        <v>624</v>
      </c>
      <c r="E252" s="34" t="s">
        <v>11</v>
      </c>
      <c r="F252" s="42" t="s">
        <v>625</v>
      </c>
      <c r="G252" s="34">
        <v>1</v>
      </c>
      <c r="H252" s="58">
        <v>44</v>
      </c>
      <c r="I252" s="36"/>
      <c r="J252" s="36">
        <f>H252*G252*$P$256*$P$260</f>
        <v>2503.2311765865743</v>
      </c>
      <c r="K252" s="34"/>
      <c r="M252" s="34"/>
      <c r="N252" s="34"/>
      <c r="O252" s="16" t="s">
        <v>44</v>
      </c>
      <c r="P252" s="26">
        <v>55</v>
      </c>
      <c r="R252" s="34"/>
    </row>
    <row r="253" spans="1:18" ht="15.75">
      <c r="A253" s="11" t="s">
        <v>556</v>
      </c>
      <c r="B253" s="60" t="s">
        <v>557</v>
      </c>
      <c r="C253" s="34"/>
      <c r="D253" s="43" t="s">
        <v>558</v>
      </c>
      <c r="E253" s="34" t="s">
        <v>13</v>
      </c>
      <c r="F253" s="42" t="s">
        <v>22</v>
      </c>
      <c r="G253" s="34">
        <v>1</v>
      </c>
      <c r="H253" s="58">
        <v>5.4</v>
      </c>
      <c r="I253" s="36"/>
      <c r="J253" s="36">
        <f>H253*G253*$P$256*$P$260</f>
        <v>307.2147353083523</v>
      </c>
      <c r="K253" s="34"/>
      <c r="M253" s="34"/>
      <c r="N253" s="34"/>
      <c r="O253" s="16" t="s">
        <v>45</v>
      </c>
      <c r="P253" s="26">
        <f>P252/P247</f>
        <v>0.21756329113924047</v>
      </c>
      <c r="R253" s="34"/>
    </row>
    <row r="254" spans="1:18" ht="15.75">
      <c r="A254" s="11" t="s">
        <v>556</v>
      </c>
      <c r="B254" s="60" t="s">
        <v>559</v>
      </c>
      <c r="C254" s="34"/>
      <c r="D254" s="43" t="s">
        <v>560</v>
      </c>
      <c r="E254" s="34" t="s">
        <v>13</v>
      </c>
      <c r="F254" s="42" t="s">
        <v>561</v>
      </c>
      <c r="G254" s="34">
        <v>1</v>
      </c>
      <c r="H254" s="58">
        <v>5.4</v>
      </c>
      <c r="I254" s="36"/>
      <c r="J254" s="36">
        <f>H254*G254*$P$256*$P$260</f>
        <v>307.2147353083523</v>
      </c>
      <c r="K254" s="34"/>
      <c r="M254" s="34"/>
      <c r="N254" s="34"/>
      <c r="O254" s="28" t="s">
        <v>42</v>
      </c>
      <c r="P254" s="27"/>
      <c r="R254" s="34"/>
    </row>
    <row r="255" spans="1:18" ht="15.75">
      <c r="A255" s="11" t="s">
        <v>63</v>
      </c>
      <c r="B255" s="34" t="s">
        <v>626</v>
      </c>
      <c r="C255" s="34"/>
      <c r="D255" s="43" t="s">
        <v>627</v>
      </c>
      <c r="E255" s="34" t="s">
        <v>7</v>
      </c>
      <c r="F255" s="42" t="s">
        <v>81</v>
      </c>
      <c r="G255" s="34">
        <v>1</v>
      </c>
      <c r="H255" s="58">
        <v>5.4</v>
      </c>
      <c r="I255" s="52">
        <f t="shared" si="15"/>
        <v>296.22932391594725</v>
      </c>
      <c r="J255" s="36"/>
      <c r="K255" s="34"/>
      <c r="M255" s="34"/>
      <c r="N255" s="34"/>
      <c r="O255" s="16" t="s">
        <v>30</v>
      </c>
      <c r="P255" s="29">
        <f>(1-P253)*(1+P250)</f>
        <v>1.0549477347434018</v>
      </c>
      <c r="R255" s="34"/>
    </row>
    <row r="256" spans="1:18" ht="15.75">
      <c r="A256" s="11" t="s">
        <v>63</v>
      </c>
      <c r="B256" s="34" t="s">
        <v>628</v>
      </c>
      <c r="C256" s="34"/>
      <c r="D256" s="43" t="s">
        <v>629</v>
      </c>
      <c r="E256" s="34" t="s">
        <v>7</v>
      </c>
      <c r="F256" s="42" t="s">
        <v>630</v>
      </c>
      <c r="G256" s="34">
        <v>1</v>
      </c>
      <c r="H256" s="58">
        <v>5.4</v>
      </c>
      <c r="I256" s="52">
        <f t="shared" si="15"/>
        <v>296.22932391594725</v>
      </c>
      <c r="J256" s="36"/>
      <c r="K256" s="34"/>
      <c r="M256" s="34"/>
      <c r="N256" s="34"/>
      <c r="O256" s="16" t="s">
        <v>31</v>
      </c>
      <c r="P256" s="29">
        <f>(1-P253)*(1+P251)</f>
        <v>1.0940695701864398</v>
      </c>
      <c r="R256" s="34"/>
    </row>
    <row r="257" spans="1:18" ht="15.75">
      <c r="A257" s="11" t="s">
        <v>63</v>
      </c>
      <c r="B257" s="34" t="s">
        <v>631</v>
      </c>
      <c r="C257" s="34"/>
      <c r="D257" s="43" t="s">
        <v>558</v>
      </c>
      <c r="E257" s="34" t="s">
        <v>7</v>
      </c>
      <c r="F257" s="42" t="s">
        <v>25</v>
      </c>
      <c r="G257" s="34">
        <v>1</v>
      </c>
      <c r="H257" s="58">
        <v>5.4</v>
      </c>
      <c r="I257" s="52">
        <f t="shared" si="15"/>
        <v>296.22932391594725</v>
      </c>
      <c r="J257" s="36"/>
      <c r="K257" s="34"/>
      <c r="M257" s="34"/>
      <c r="N257" s="34"/>
      <c r="O257" s="28" t="s">
        <v>43</v>
      </c>
      <c r="P257" s="26"/>
      <c r="R257" s="34"/>
    </row>
    <row r="258" spans="1:18" ht="15.75">
      <c r="A258" s="11" t="s">
        <v>63</v>
      </c>
      <c r="B258" s="34" t="s">
        <v>632</v>
      </c>
      <c r="C258" s="34"/>
      <c r="D258" s="43" t="s">
        <v>633</v>
      </c>
      <c r="E258" s="34" t="s">
        <v>7</v>
      </c>
      <c r="F258" s="42" t="s">
        <v>634</v>
      </c>
      <c r="G258" s="34">
        <v>1</v>
      </c>
      <c r="H258" s="58">
        <v>5.4</v>
      </c>
      <c r="I258" s="52">
        <f t="shared" si="15"/>
        <v>296.22932391594725</v>
      </c>
      <c r="J258" s="36"/>
      <c r="K258" s="34"/>
      <c r="M258" s="34"/>
      <c r="N258" s="34"/>
      <c r="O258" s="16" t="s">
        <v>30</v>
      </c>
      <c r="P258" s="30">
        <f>1+P250</f>
        <v>1.3482850725133062</v>
      </c>
      <c r="R258" s="34"/>
    </row>
    <row r="259" spans="1:18" ht="15.75">
      <c r="A259" s="11" t="s">
        <v>63</v>
      </c>
      <c r="B259" s="34" t="s">
        <v>635</v>
      </c>
      <c r="C259" s="34"/>
      <c r="D259" s="43" t="s">
        <v>636</v>
      </c>
      <c r="E259" s="34" t="s">
        <v>7</v>
      </c>
      <c r="F259" s="42" t="s">
        <v>600</v>
      </c>
      <c r="G259" s="34">
        <v>1</v>
      </c>
      <c r="H259" s="58">
        <v>5.4</v>
      </c>
      <c r="I259" s="52">
        <f t="shared" si="15"/>
        <v>296.22932391594725</v>
      </c>
      <c r="J259" s="36">
        <f>1481-1458</f>
        <v>23</v>
      </c>
      <c r="K259" s="34"/>
      <c r="M259" s="34"/>
      <c r="N259" s="34"/>
      <c r="O259" s="16" t="s">
        <v>31</v>
      </c>
      <c r="P259" s="30">
        <f>1+P251</f>
        <v>1.3982850725133062</v>
      </c>
      <c r="R259" s="34"/>
    </row>
    <row r="260" spans="1:18" ht="16.5" thickBot="1">
      <c r="A260" s="34" t="s">
        <v>595</v>
      </c>
      <c r="B260" s="60" t="s">
        <v>637</v>
      </c>
      <c r="C260" s="34"/>
      <c r="D260" s="43" t="s">
        <v>638</v>
      </c>
      <c r="E260" s="34" t="s">
        <v>7</v>
      </c>
      <c r="F260" s="6" t="s">
        <v>639</v>
      </c>
      <c r="G260" s="34">
        <v>1</v>
      </c>
      <c r="H260" s="61">
        <v>6.99</v>
      </c>
      <c r="I260" s="53">
        <f>H260*G260*P$258*$P$260</f>
        <v>490.0746581571366</v>
      </c>
      <c r="J260" s="37">
        <f>1158-1192</f>
        <v>-34</v>
      </c>
      <c r="K260" s="34"/>
      <c r="M260" s="34"/>
      <c r="N260" s="34"/>
      <c r="O260" s="82" t="s">
        <v>973</v>
      </c>
      <c r="P260" s="32">
        <v>52</v>
      </c>
      <c r="R260" s="34"/>
    </row>
    <row r="261" ht="15">
      <c r="A261" s="9">
        <v>1</v>
      </c>
    </row>
    <row r="262" ht="15.75" thickBot="1">
      <c r="A262" s="9">
        <v>1</v>
      </c>
    </row>
    <row r="263" spans="1:9" s="57" customFormat="1" ht="15.75">
      <c r="A263" s="55" t="s">
        <v>662</v>
      </c>
      <c r="F263" s="56" t="s">
        <v>699</v>
      </c>
      <c r="G263" s="59"/>
      <c r="H263" s="58"/>
      <c r="I263" s="58"/>
    </row>
    <row r="264" spans="1:17" ht="15.75">
      <c r="A264" s="11" t="s">
        <v>556</v>
      </c>
      <c r="B264" s="60" t="s">
        <v>644</v>
      </c>
      <c r="C264" s="34"/>
      <c r="D264" s="43" t="s">
        <v>645</v>
      </c>
      <c r="E264" s="34" t="s">
        <v>13</v>
      </c>
      <c r="F264" s="6" t="s">
        <v>646</v>
      </c>
      <c r="G264" s="34">
        <v>1</v>
      </c>
      <c r="H264" s="58">
        <v>20</v>
      </c>
      <c r="I264" s="36"/>
      <c r="J264" s="36">
        <f aca="true" t="shared" si="16" ref="J264:J276">H264*G264*$P$277*$P$281</f>
        <v>1155.9120450803762</v>
      </c>
      <c r="K264" s="50" t="s">
        <v>647</v>
      </c>
      <c r="M264" s="34"/>
      <c r="N264" s="34"/>
      <c r="O264" s="34"/>
      <c r="P264" s="34"/>
      <c r="Q264" s="34"/>
    </row>
    <row r="265" spans="1:17" ht="15.75">
      <c r="A265" s="11" t="s">
        <v>556</v>
      </c>
      <c r="B265" s="34" t="s">
        <v>644</v>
      </c>
      <c r="C265" s="34"/>
      <c r="D265" s="43" t="s">
        <v>648</v>
      </c>
      <c r="E265" s="34" t="s">
        <v>13</v>
      </c>
      <c r="F265" s="6" t="s">
        <v>646</v>
      </c>
      <c r="G265" s="34">
        <v>1</v>
      </c>
      <c r="H265" s="58">
        <v>19</v>
      </c>
      <c r="I265" s="36"/>
      <c r="J265" s="36">
        <f t="shared" si="16"/>
        <v>1098.1164428263576</v>
      </c>
      <c r="K265" s="50" t="s">
        <v>649</v>
      </c>
      <c r="M265" s="34"/>
      <c r="N265" s="34"/>
      <c r="O265" s="34"/>
      <c r="P265" s="34"/>
      <c r="Q265" s="34"/>
    </row>
    <row r="266" spans="1:17" ht="16.5" thickBot="1">
      <c r="A266" s="34" t="s">
        <v>618</v>
      </c>
      <c r="B266" s="60" t="s">
        <v>650</v>
      </c>
      <c r="C266" s="34"/>
      <c r="D266" s="43" t="s">
        <v>651</v>
      </c>
      <c r="E266" s="34" t="s">
        <v>13</v>
      </c>
      <c r="F266" s="6" t="s">
        <v>621</v>
      </c>
      <c r="G266" s="34">
        <v>1</v>
      </c>
      <c r="H266" s="58">
        <v>21</v>
      </c>
      <c r="I266" s="36"/>
      <c r="J266" s="36">
        <f t="shared" si="16"/>
        <v>1213.7076473343952</v>
      </c>
      <c r="K266" s="34"/>
      <c r="M266" s="34"/>
      <c r="N266" s="34"/>
      <c r="O266" s="34"/>
      <c r="P266" s="34"/>
      <c r="Q266" s="34"/>
    </row>
    <row r="267" spans="1:16" ht="15.75">
      <c r="A267" s="34" t="s">
        <v>652</v>
      </c>
      <c r="B267" s="34" t="s">
        <v>653</v>
      </c>
      <c r="C267" s="34"/>
      <c r="D267" s="43" t="s">
        <v>663</v>
      </c>
      <c r="E267" s="34"/>
      <c r="F267" s="6" t="s">
        <v>664</v>
      </c>
      <c r="G267" s="34">
        <v>1</v>
      </c>
      <c r="H267" s="58">
        <v>10</v>
      </c>
      <c r="I267" s="36"/>
      <c r="J267" s="36">
        <v>0</v>
      </c>
      <c r="K267" s="34" t="s">
        <v>1012</v>
      </c>
      <c r="M267" s="34"/>
      <c r="N267" s="34"/>
      <c r="O267" s="67" t="s">
        <v>41</v>
      </c>
      <c r="P267" s="64">
        <f>SUM(H264:H276)</f>
        <v>260.25</v>
      </c>
    </row>
    <row r="268" spans="1:16" ht="15.75">
      <c r="A268" s="34" t="s">
        <v>618</v>
      </c>
      <c r="B268" s="34" t="s">
        <v>654</v>
      </c>
      <c r="C268" s="34"/>
      <c r="D268" s="43" t="s">
        <v>665</v>
      </c>
      <c r="E268" s="34"/>
      <c r="F268" s="6" t="s">
        <v>666</v>
      </c>
      <c r="G268" s="34">
        <v>1</v>
      </c>
      <c r="H268" s="58">
        <v>10</v>
      </c>
      <c r="I268" s="36"/>
      <c r="J268" s="36">
        <v>0</v>
      </c>
      <c r="K268" s="34" t="s">
        <v>1012</v>
      </c>
      <c r="M268" s="34"/>
      <c r="N268" s="34"/>
      <c r="O268" s="16" t="s">
        <v>42</v>
      </c>
      <c r="P268" s="25">
        <f>SUM(H264:H275)</f>
        <v>250.25</v>
      </c>
    </row>
    <row r="269" spans="1:16" ht="15.75">
      <c r="A269" t="s">
        <v>655</v>
      </c>
      <c r="B269" s="34" t="s">
        <v>656</v>
      </c>
      <c r="C269" s="34"/>
      <c r="D269" s="43" t="s">
        <v>667</v>
      </c>
      <c r="E269" s="34"/>
      <c r="F269" s="6" t="s">
        <v>386</v>
      </c>
      <c r="G269" s="34">
        <v>1</v>
      </c>
      <c r="H269" s="58">
        <v>10</v>
      </c>
      <c r="I269" s="36"/>
      <c r="J269" s="36">
        <v>0</v>
      </c>
      <c r="K269" s="34" t="s">
        <v>1012</v>
      </c>
      <c r="M269" s="34"/>
      <c r="N269" s="34"/>
      <c r="O269" s="16" t="s">
        <v>43</v>
      </c>
      <c r="P269" s="25">
        <f>SUM(H276)</f>
        <v>10</v>
      </c>
    </row>
    <row r="270" spans="1:16" ht="15.75">
      <c r="A270" t="s">
        <v>54</v>
      </c>
      <c r="B270" s="34" t="s">
        <v>668</v>
      </c>
      <c r="C270" s="34"/>
      <c r="D270" s="43" t="s">
        <v>669</v>
      </c>
      <c r="E270" s="34" t="s">
        <v>13</v>
      </c>
      <c r="F270" s="6" t="s">
        <v>670</v>
      </c>
      <c r="G270" s="34">
        <v>1</v>
      </c>
      <c r="H270" s="58">
        <f>49.5/2</f>
        <v>24.75</v>
      </c>
      <c r="I270" s="52">
        <f>H270*G270*$P$276*$P$281</f>
        <v>1379.2684909518011</v>
      </c>
      <c r="J270" s="36"/>
      <c r="K270" s="34"/>
      <c r="M270" s="34"/>
      <c r="N270" s="34"/>
      <c r="O270" s="16" t="s">
        <v>29</v>
      </c>
      <c r="P270" s="26">
        <v>56.99</v>
      </c>
    </row>
    <row r="271" spans="1:16" ht="15.75">
      <c r="A271" t="s">
        <v>54</v>
      </c>
      <c r="B271" s="34" t="s">
        <v>671</v>
      </c>
      <c r="C271" s="34"/>
      <c r="D271" s="43" t="s">
        <v>672</v>
      </c>
      <c r="E271" s="34" t="s">
        <v>70</v>
      </c>
      <c r="F271" s="6" t="s">
        <v>25</v>
      </c>
      <c r="G271" s="34">
        <v>1</v>
      </c>
      <c r="H271" s="58">
        <f>49.5/2</f>
        <v>24.75</v>
      </c>
      <c r="I271" s="52">
        <f>H271*G271*$P$276*$P$281</f>
        <v>1379.2684909518011</v>
      </c>
      <c r="J271" s="36"/>
      <c r="K271" s="34"/>
      <c r="M271" s="34"/>
      <c r="N271" s="34"/>
      <c r="O271" s="16" t="s">
        <v>32</v>
      </c>
      <c r="P271" s="27">
        <f>P270/(P267-P273)+0.07</f>
        <v>0.3476613885505481</v>
      </c>
    </row>
    <row r="272" spans="1:16" ht="15.75">
      <c r="A272" t="s">
        <v>57</v>
      </c>
      <c r="B272" s="34" t="s">
        <v>673</v>
      </c>
      <c r="C272" s="34"/>
      <c r="D272" s="43" t="s">
        <v>674</v>
      </c>
      <c r="E272" s="68" t="s">
        <v>11</v>
      </c>
      <c r="F272" s="6" t="s">
        <v>675</v>
      </c>
      <c r="G272" s="34">
        <v>1</v>
      </c>
      <c r="H272" s="58">
        <f>49.5/2</f>
        <v>24.75</v>
      </c>
      <c r="I272" s="36"/>
      <c r="J272" s="36">
        <f t="shared" si="16"/>
        <v>1430.4411557869657</v>
      </c>
      <c r="K272" s="34"/>
      <c r="M272" s="34"/>
      <c r="N272" s="34"/>
      <c r="O272" s="16" t="s">
        <v>32</v>
      </c>
      <c r="P272" s="27">
        <f>P270/(P267-P273)+0.12</f>
        <v>0.3976613885505481</v>
      </c>
    </row>
    <row r="273" spans="1:16" ht="15.75">
      <c r="A273" t="s">
        <v>622</v>
      </c>
      <c r="B273" s="34" t="s">
        <v>676</v>
      </c>
      <c r="C273" s="34"/>
      <c r="D273" s="43" t="s">
        <v>677</v>
      </c>
      <c r="E273" s="68" t="s">
        <v>16</v>
      </c>
      <c r="F273" s="6" t="s">
        <v>678</v>
      </c>
      <c r="G273" s="34">
        <v>1</v>
      </c>
      <c r="H273" s="58">
        <v>36.5</v>
      </c>
      <c r="I273" s="36"/>
      <c r="J273" s="36">
        <f t="shared" si="16"/>
        <v>2109.5394822716867</v>
      </c>
      <c r="K273" s="34"/>
      <c r="M273" s="34"/>
      <c r="N273" s="34"/>
      <c r="O273" s="16" t="s">
        <v>44</v>
      </c>
      <c r="P273" s="26">
        <v>55</v>
      </c>
    </row>
    <row r="274" spans="1:16" ht="15.75">
      <c r="A274" t="s">
        <v>106</v>
      </c>
      <c r="B274" s="34"/>
      <c r="C274" s="34"/>
      <c r="D274" s="43" t="s">
        <v>679</v>
      </c>
      <c r="E274" s="34"/>
      <c r="F274" s="6" t="s">
        <v>680</v>
      </c>
      <c r="G274" s="34">
        <v>1</v>
      </c>
      <c r="H274" s="58">
        <f>49.5/2</f>
        <v>24.75</v>
      </c>
      <c r="I274" s="36"/>
      <c r="J274" s="36">
        <f t="shared" si="16"/>
        <v>1430.4411557869657</v>
      </c>
      <c r="K274" s="34"/>
      <c r="M274" s="34"/>
      <c r="N274" s="34"/>
      <c r="O274" s="16" t="s">
        <v>45</v>
      </c>
      <c r="P274" s="26">
        <f>P273/P268</f>
        <v>0.21978021978021978</v>
      </c>
    </row>
    <row r="275" spans="1:16" ht="15.75">
      <c r="A275" t="s">
        <v>106</v>
      </c>
      <c r="B275" s="34"/>
      <c r="C275" s="34"/>
      <c r="D275" s="43" t="s">
        <v>674</v>
      </c>
      <c r="E275" s="34"/>
      <c r="F275" s="6" t="s">
        <v>681</v>
      </c>
      <c r="G275" s="34">
        <v>1</v>
      </c>
      <c r="H275" s="58">
        <f>49.5/2</f>
        <v>24.75</v>
      </c>
      <c r="I275" s="36"/>
      <c r="J275" s="36">
        <f t="shared" si="16"/>
        <v>1430.4411557869657</v>
      </c>
      <c r="K275" s="34"/>
      <c r="M275" s="34"/>
      <c r="N275" s="34"/>
      <c r="O275" s="28" t="s">
        <v>42</v>
      </c>
      <c r="P275" s="27"/>
    </row>
    <row r="276" spans="1:16" ht="15.75">
      <c r="A276" t="s">
        <v>682</v>
      </c>
      <c r="B276" s="34"/>
      <c r="C276" s="34"/>
      <c r="D276" s="43" t="s">
        <v>683</v>
      </c>
      <c r="E276" s="34"/>
      <c r="F276" s="6" t="s">
        <v>684</v>
      </c>
      <c r="G276" s="34">
        <v>1</v>
      </c>
      <c r="H276" s="58">
        <v>10</v>
      </c>
      <c r="I276" s="36"/>
      <c r="J276" s="36">
        <f t="shared" si="16"/>
        <v>577.9560225401881</v>
      </c>
      <c r="K276" s="34"/>
      <c r="M276" s="34"/>
      <c r="N276" s="34"/>
      <c r="O276" s="16" t="s">
        <v>30</v>
      </c>
      <c r="P276" s="29">
        <f>(1-P274)*(1+P271)</f>
        <v>1.0514720723855926</v>
      </c>
    </row>
    <row r="277" spans="1:16" ht="15.75">
      <c r="A277" s="34" t="s">
        <v>657</v>
      </c>
      <c r="B277" s="60" t="s">
        <v>658</v>
      </c>
      <c r="C277" s="34"/>
      <c r="D277" s="43" t="s">
        <v>685</v>
      </c>
      <c r="E277" s="34" t="s">
        <v>12</v>
      </c>
      <c r="F277" s="6" t="s">
        <v>686</v>
      </c>
      <c r="G277" s="34">
        <v>1</v>
      </c>
      <c r="H277" s="61">
        <v>19.99</v>
      </c>
      <c r="I277" s="53">
        <f aca="true" t="shared" si="17" ref="I277:I282">H277*G277*P$279*$P$281</f>
        <v>1427.8068113276493</v>
      </c>
      <c r="J277" s="37"/>
      <c r="K277" s="34"/>
      <c r="M277" s="34"/>
      <c r="N277" s="34"/>
      <c r="O277" s="16" t="s">
        <v>31</v>
      </c>
      <c r="P277" s="29">
        <f>(1-P274)*(1+P272)</f>
        <v>1.0904830613965815</v>
      </c>
    </row>
    <row r="278" spans="1:16" ht="15.75">
      <c r="A278" s="34" t="s">
        <v>657</v>
      </c>
      <c r="B278" s="34" t="s">
        <v>659</v>
      </c>
      <c r="C278" s="34"/>
      <c r="D278" s="43" t="s">
        <v>687</v>
      </c>
      <c r="E278" s="34" t="s">
        <v>20</v>
      </c>
      <c r="F278" s="6" t="s">
        <v>686</v>
      </c>
      <c r="G278" s="34">
        <v>1</v>
      </c>
      <c r="H278" s="61">
        <v>14.99</v>
      </c>
      <c r="I278" s="53">
        <f t="shared" si="17"/>
        <v>1070.676543361754</v>
      </c>
      <c r="J278" s="37"/>
      <c r="K278" s="34"/>
      <c r="M278" s="34"/>
      <c r="N278" s="34"/>
      <c r="O278" s="28" t="s">
        <v>43</v>
      </c>
      <c r="P278" s="26"/>
    </row>
    <row r="279" spans="1:16" ht="15.75">
      <c r="A279" s="34" t="s">
        <v>660</v>
      </c>
      <c r="B279" s="34" t="s">
        <v>658</v>
      </c>
      <c r="C279" s="34"/>
      <c r="D279" s="43" t="s">
        <v>685</v>
      </c>
      <c r="E279" s="34" t="s">
        <v>67</v>
      </c>
      <c r="F279" s="6" t="s">
        <v>688</v>
      </c>
      <c r="G279" s="34">
        <v>1</v>
      </c>
      <c r="H279" s="61">
        <v>19.99</v>
      </c>
      <c r="I279" s="53">
        <f t="shared" si="17"/>
        <v>1427.8068113276493</v>
      </c>
      <c r="J279" s="37"/>
      <c r="K279" s="34"/>
      <c r="M279" s="34"/>
      <c r="N279" s="34"/>
      <c r="O279" s="16" t="s">
        <v>30</v>
      </c>
      <c r="P279" s="30">
        <f>1+P271</f>
        <v>1.3476613885505482</v>
      </c>
    </row>
    <row r="280" spans="1:16" ht="15.75">
      <c r="A280" s="34" t="s">
        <v>660</v>
      </c>
      <c r="B280" s="34" t="s">
        <v>661</v>
      </c>
      <c r="C280" s="34"/>
      <c r="D280" s="43" t="s">
        <v>689</v>
      </c>
      <c r="E280" s="34" t="s">
        <v>13</v>
      </c>
      <c r="F280" s="6" t="s">
        <v>690</v>
      </c>
      <c r="G280" s="34">
        <v>1</v>
      </c>
      <c r="H280" s="61">
        <v>14.99</v>
      </c>
      <c r="I280" s="53">
        <f t="shared" si="17"/>
        <v>1070.676543361754</v>
      </c>
      <c r="J280" s="37">
        <f>2498-2275</f>
        <v>223</v>
      </c>
      <c r="K280" s="34"/>
      <c r="M280" s="34"/>
      <c r="N280" s="34"/>
      <c r="O280" s="16" t="s">
        <v>31</v>
      </c>
      <c r="P280" s="30">
        <f>1+P272</f>
        <v>1.397661388550548</v>
      </c>
    </row>
    <row r="281" spans="1:16" ht="16.5" thickBot="1">
      <c r="A281" s="34" t="s">
        <v>657</v>
      </c>
      <c r="B281" s="34" t="s">
        <v>691</v>
      </c>
      <c r="C281" s="34"/>
      <c r="D281" s="43" t="s">
        <v>692</v>
      </c>
      <c r="E281" s="34" t="s">
        <v>12</v>
      </c>
      <c r="F281" s="6" t="s">
        <v>693</v>
      </c>
      <c r="G281" s="34">
        <v>1</v>
      </c>
      <c r="H281" s="61">
        <v>11.99</v>
      </c>
      <c r="I281" s="53">
        <f t="shared" si="17"/>
        <v>856.3983825822168</v>
      </c>
      <c r="J281" s="37"/>
      <c r="K281" s="34"/>
      <c r="M281" s="34"/>
      <c r="N281" s="34"/>
      <c r="O281" s="82" t="s">
        <v>973</v>
      </c>
      <c r="P281" s="32">
        <v>53</v>
      </c>
    </row>
    <row r="282" spans="1:17" ht="15.75">
      <c r="A282" s="34" t="s">
        <v>657</v>
      </c>
      <c r="B282" s="34" t="s">
        <v>694</v>
      </c>
      <c r="C282" s="34"/>
      <c r="D282" s="43" t="s">
        <v>695</v>
      </c>
      <c r="E282" s="34" t="s">
        <v>20</v>
      </c>
      <c r="F282" s="6" t="s">
        <v>693</v>
      </c>
      <c r="G282" s="34">
        <v>1</v>
      </c>
      <c r="H282" s="61">
        <v>11.99</v>
      </c>
      <c r="I282" s="53">
        <f t="shared" si="17"/>
        <v>856.3983825822168</v>
      </c>
      <c r="J282" s="37">
        <f>4211-3833</f>
        <v>378</v>
      </c>
      <c r="K282" s="34"/>
      <c r="M282" s="34"/>
      <c r="N282" s="34"/>
      <c r="O282" s="34"/>
      <c r="P282" s="34"/>
      <c r="Q282" s="34"/>
    </row>
    <row r="283" spans="1:17" ht="15.75">
      <c r="A283" s="34" t="s">
        <v>696</v>
      </c>
      <c r="B283" s="34"/>
      <c r="C283" s="34"/>
      <c r="D283" s="43" t="s">
        <v>697</v>
      </c>
      <c r="E283" s="34"/>
      <c r="F283" s="6" t="s">
        <v>698</v>
      </c>
      <c r="G283" s="34">
        <v>1</v>
      </c>
      <c r="H283" s="61">
        <v>5.99</v>
      </c>
      <c r="I283" s="37"/>
      <c r="J283" s="37">
        <f>H283*G283*$P$280*$P$281</f>
        <v>443.7155610231425</v>
      </c>
      <c r="K283" s="34"/>
      <c r="M283" s="34"/>
      <c r="N283" s="34"/>
      <c r="O283" s="34"/>
      <c r="P283" s="34"/>
      <c r="Q283" s="34"/>
    </row>
    <row r="284" spans="1:17" ht="15.75">
      <c r="A284" s="34" t="s">
        <v>696</v>
      </c>
      <c r="B284" s="34"/>
      <c r="C284" s="34"/>
      <c r="D284" s="43" t="s">
        <v>697</v>
      </c>
      <c r="E284" s="34"/>
      <c r="F284" s="6" t="s">
        <v>698</v>
      </c>
      <c r="G284" s="34">
        <v>1</v>
      </c>
      <c r="H284" s="61">
        <v>5.99</v>
      </c>
      <c r="I284" s="37"/>
      <c r="J284" s="37">
        <f>H284*G284*$P$280*$P$281</f>
        <v>443.7155610231425</v>
      </c>
      <c r="K284" s="34"/>
      <c r="M284" s="34"/>
      <c r="N284" s="34"/>
      <c r="O284" s="34"/>
      <c r="P284" s="34"/>
      <c r="Q284" s="34"/>
    </row>
    <row r="285" spans="1:17" ht="16.5" thickBot="1">
      <c r="A285" s="34" t="s">
        <v>696</v>
      </c>
      <c r="B285" s="34"/>
      <c r="C285" s="34"/>
      <c r="D285" s="43" t="s">
        <v>697</v>
      </c>
      <c r="E285" s="34"/>
      <c r="F285" s="6" t="s">
        <v>698</v>
      </c>
      <c r="G285" s="34">
        <v>1</v>
      </c>
      <c r="H285" s="61">
        <v>5.99</v>
      </c>
      <c r="I285" s="37"/>
      <c r="J285" s="37">
        <f>H285*G285*$P$280*$P$281</f>
        <v>443.7155610231425</v>
      </c>
      <c r="K285" s="34"/>
      <c r="M285" s="34"/>
      <c r="N285" s="34"/>
      <c r="O285" s="34"/>
      <c r="P285" s="34"/>
      <c r="Q285" s="34"/>
    </row>
    <row r="286" ht="16.5" thickBot="1">
      <c r="A286" s="23">
        <v>1</v>
      </c>
    </row>
    <row r="287" spans="1:19" ht="15.75">
      <c r="A287" s="23" t="s">
        <v>701</v>
      </c>
      <c r="B287" s="34"/>
      <c r="C287" s="34"/>
      <c r="D287" s="34"/>
      <c r="E287" s="34"/>
      <c r="F287" s="24" t="s">
        <v>831</v>
      </c>
      <c r="G287" s="8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1:19" ht="16.5" thickBot="1">
      <c r="A288" s="34" t="s">
        <v>622</v>
      </c>
      <c r="B288" s="34" t="s">
        <v>641</v>
      </c>
      <c r="C288" s="34"/>
      <c r="D288" s="77" t="s">
        <v>642</v>
      </c>
      <c r="E288" s="34" t="s">
        <v>11</v>
      </c>
      <c r="F288" s="7" t="s">
        <v>643</v>
      </c>
      <c r="G288" s="34">
        <v>1</v>
      </c>
      <c r="H288" s="58">
        <v>45</v>
      </c>
      <c r="I288" s="36">
        <f aca="true" t="shared" si="18" ref="I288:I311">H288*G288*$P$298*$P$303</f>
        <v>2343.1041161659427</v>
      </c>
      <c r="J288" s="36">
        <f aca="true" t="shared" si="19" ref="J288:J311">H288*G288*$P$299*$P$303</f>
        <v>2436.4457222205915</v>
      </c>
      <c r="L288" s="34"/>
      <c r="M288" s="34"/>
      <c r="N288" s="34"/>
      <c r="O288" s="34"/>
      <c r="P288" s="34"/>
      <c r="Q288" s="34"/>
      <c r="R288" s="34"/>
      <c r="S288" s="34"/>
    </row>
    <row r="289" spans="1:19" ht="15.75">
      <c r="A289" s="34" t="s">
        <v>107</v>
      </c>
      <c r="B289" s="34" t="s">
        <v>538</v>
      </c>
      <c r="C289" s="34"/>
      <c r="D289" s="43" t="s">
        <v>702</v>
      </c>
      <c r="E289" s="34" t="s">
        <v>703</v>
      </c>
      <c r="F289" s="6" t="s">
        <v>94</v>
      </c>
      <c r="G289" s="8">
        <v>1</v>
      </c>
      <c r="H289" s="58">
        <v>30</v>
      </c>
      <c r="I289" s="36">
        <f t="shared" si="18"/>
        <v>1562.0694107772952</v>
      </c>
      <c r="J289" s="36">
        <f>I289-1562</f>
        <v>0.0694107772951611</v>
      </c>
      <c r="L289" s="34"/>
      <c r="M289" s="34"/>
      <c r="N289" s="34"/>
      <c r="O289" s="67" t="s">
        <v>41</v>
      </c>
      <c r="P289" s="64">
        <f>SUM(H288:H313)</f>
        <v>524.6800000000001</v>
      </c>
      <c r="R289" s="34"/>
      <c r="S289" s="34"/>
    </row>
    <row r="290" spans="1:19" ht="15.75">
      <c r="A290" s="11" t="s">
        <v>540</v>
      </c>
      <c r="B290" s="34" t="s">
        <v>704</v>
      </c>
      <c r="C290" s="34"/>
      <c r="D290" s="43" t="s">
        <v>702</v>
      </c>
      <c r="E290" s="34" t="s">
        <v>705</v>
      </c>
      <c r="F290" s="6" t="s">
        <v>94</v>
      </c>
      <c r="G290" s="8">
        <v>1</v>
      </c>
      <c r="H290" s="58">
        <v>30</v>
      </c>
      <c r="I290" s="36">
        <f t="shared" si="18"/>
        <v>1562.0694107772952</v>
      </c>
      <c r="J290" s="36">
        <f t="shared" si="19"/>
        <v>1624.2971481470609</v>
      </c>
      <c r="L290" s="34"/>
      <c r="M290" s="34"/>
      <c r="N290" s="34"/>
      <c r="O290" s="16" t="s">
        <v>42</v>
      </c>
      <c r="P290" s="25">
        <f>SUM(H288:H311)</f>
        <v>508.70000000000005</v>
      </c>
      <c r="R290" s="34"/>
      <c r="S290" s="34"/>
    </row>
    <row r="291" spans="1:19" ht="15.75">
      <c r="A291" s="11" t="s">
        <v>706</v>
      </c>
      <c r="B291" s="34" t="s">
        <v>707</v>
      </c>
      <c r="C291" s="34"/>
      <c r="D291" s="43" t="s">
        <v>708</v>
      </c>
      <c r="E291" s="34" t="s">
        <v>20</v>
      </c>
      <c r="F291" s="6" t="s">
        <v>709</v>
      </c>
      <c r="G291" s="8">
        <v>1</v>
      </c>
      <c r="H291" s="58">
        <v>50.5</v>
      </c>
      <c r="I291" s="36">
        <f t="shared" si="18"/>
        <v>2629.4835081417805</v>
      </c>
      <c r="J291" s="36">
        <f t="shared" si="19"/>
        <v>2734.233532714219</v>
      </c>
      <c r="L291" s="34"/>
      <c r="M291" s="34"/>
      <c r="N291" s="34"/>
      <c r="O291" s="16" t="s">
        <v>43</v>
      </c>
      <c r="P291" s="25">
        <f>SUM(H312:H313)</f>
        <v>15.98</v>
      </c>
      <c r="R291" s="34"/>
      <c r="S291" s="34"/>
    </row>
    <row r="292" spans="1:19" ht="15.75">
      <c r="A292" s="34" t="s">
        <v>710</v>
      </c>
      <c r="B292" s="34" t="s">
        <v>128</v>
      </c>
      <c r="C292" s="34"/>
      <c r="D292" s="43" t="s">
        <v>711</v>
      </c>
      <c r="E292" s="34" t="s">
        <v>20</v>
      </c>
      <c r="F292" s="6" t="s">
        <v>35</v>
      </c>
      <c r="G292" s="8">
        <v>1</v>
      </c>
      <c r="H292" s="58">
        <v>39.5</v>
      </c>
      <c r="I292" s="52">
        <f t="shared" si="18"/>
        <v>2056.7247241901055</v>
      </c>
      <c r="J292" s="36"/>
      <c r="L292" s="34"/>
      <c r="M292" s="34"/>
      <c r="N292" s="34"/>
      <c r="O292" s="16" t="s">
        <v>29</v>
      </c>
      <c r="P292" s="26">
        <v>73.99</v>
      </c>
      <c r="R292" s="34"/>
      <c r="S292" s="34"/>
    </row>
    <row r="293" spans="1:19" ht="15.75">
      <c r="A293" s="34" t="s">
        <v>710</v>
      </c>
      <c r="B293" s="34" t="s">
        <v>712</v>
      </c>
      <c r="C293" s="34"/>
      <c r="D293" s="43" t="s">
        <v>713</v>
      </c>
      <c r="E293" s="34" t="s">
        <v>16</v>
      </c>
      <c r="F293" s="6" t="s">
        <v>35</v>
      </c>
      <c r="G293" s="8">
        <v>1</v>
      </c>
      <c r="H293" s="58">
        <v>19.5</v>
      </c>
      <c r="I293" s="52">
        <f t="shared" si="18"/>
        <v>1015.3451170052418</v>
      </c>
      <c r="J293" s="36">
        <f>3072-3068</f>
        <v>4</v>
      </c>
      <c r="L293" s="34"/>
      <c r="M293" s="34"/>
      <c r="N293" s="34"/>
      <c r="O293" s="16" t="s">
        <v>32</v>
      </c>
      <c r="P293" s="27">
        <f>P292/(P289-P295)+0.07</f>
        <v>0.255123098478783</v>
      </c>
      <c r="R293" s="34"/>
      <c r="S293" s="34"/>
    </row>
    <row r="294" spans="1:19" ht="15.75">
      <c r="A294" s="34" t="s">
        <v>54</v>
      </c>
      <c r="B294" s="34" t="s">
        <v>333</v>
      </c>
      <c r="C294" s="34"/>
      <c r="D294" s="77" t="s">
        <v>714</v>
      </c>
      <c r="E294" s="34" t="s">
        <v>7</v>
      </c>
      <c r="F294" s="7" t="s">
        <v>399</v>
      </c>
      <c r="G294" s="8">
        <v>1</v>
      </c>
      <c r="H294" s="58">
        <v>5.4</v>
      </c>
      <c r="I294" s="52">
        <f t="shared" si="18"/>
        <v>281.1724939399131</v>
      </c>
      <c r="J294" s="36"/>
      <c r="L294" s="34"/>
      <c r="M294" s="34"/>
      <c r="N294" s="34"/>
      <c r="O294" s="16" t="s">
        <v>32</v>
      </c>
      <c r="P294" s="27">
        <f>P292/(P289-P295)+0.12</f>
        <v>0.30512309847878294</v>
      </c>
      <c r="R294" s="34"/>
      <c r="S294" s="34"/>
    </row>
    <row r="295" spans="1:19" ht="15.75">
      <c r="A295" s="34" t="s">
        <v>54</v>
      </c>
      <c r="B295" s="34" t="s">
        <v>700</v>
      </c>
      <c r="C295" s="34"/>
      <c r="D295" s="77" t="s">
        <v>554</v>
      </c>
      <c r="E295" s="34" t="s">
        <v>13</v>
      </c>
      <c r="F295" s="7" t="s">
        <v>35</v>
      </c>
      <c r="G295" s="8">
        <v>1</v>
      </c>
      <c r="H295" s="58">
        <v>5.4</v>
      </c>
      <c r="I295" s="52">
        <f t="shared" si="18"/>
        <v>281.1724939399131</v>
      </c>
      <c r="J295" s="36"/>
      <c r="L295" s="34"/>
      <c r="M295" s="34"/>
      <c r="N295" s="34"/>
      <c r="O295" s="16" t="s">
        <v>44</v>
      </c>
      <c r="P295" s="39">
        <v>125</v>
      </c>
      <c r="R295" s="34"/>
      <c r="S295" s="34"/>
    </row>
    <row r="296" spans="1:19" ht="15.75">
      <c r="A296" s="34" t="s">
        <v>54</v>
      </c>
      <c r="B296" s="34" t="s">
        <v>715</v>
      </c>
      <c r="C296" s="34"/>
      <c r="D296" s="43" t="s">
        <v>555</v>
      </c>
      <c r="E296" s="34" t="s">
        <v>13</v>
      </c>
      <c r="F296" s="7" t="s">
        <v>716</v>
      </c>
      <c r="G296" s="8">
        <v>1</v>
      </c>
      <c r="H296" s="58">
        <v>5.4</v>
      </c>
      <c r="I296" s="52">
        <f t="shared" si="18"/>
        <v>281.1724939399131</v>
      </c>
      <c r="J296" s="36">
        <f>3602-3555</f>
        <v>47</v>
      </c>
      <c r="L296" s="34"/>
      <c r="M296" s="34"/>
      <c r="N296" s="34"/>
      <c r="O296" s="16" t="s">
        <v>45</v>
      </c>
      <c r="P296" s="26">
        <f>P295/P290</f>
        <v>0.245724395517987</v>
      </c>
      <c r="R296" s="34"/>
      <c r="S296" s="34"/>
    </row>
    <row r="297" spans="1:19" ht="15.75">
      <c r="A297" s="34" t="s">
        <v>717</v>
      </c>
      <c r="B297" s="34" t="s">
        <v>718</v>
      </c>
      <c r="C297" s="34"/>
      <c r="D297" s="43" t="s">
        <v>719</v>
      </c>
      <c r="E297" s="34" t="s">
        <v>20</v>
      </c>
      <c r="F297" s="6" t="s">
        <v>28</v>
      </c>
      <c r="G297" s="8">
        <v>1</v>
      </c>
      <c r="H297" s="58">
        <v>5.4</v>
      </c>
      <c r="I297" s="36">
        <f t="shared" si="18"/>
        <v>281.1724939399131</v>
      </c>
      <c r="J297" s="36">
        <f t="shared" si="19"/>
        <v>292.37348666647097</v>
      </c>
      <c r="L297" s="34"/>
      <c r="M297" s="34"/>
      <c r="N297" s="34"/>
      <c r="O297" s="28" t="s">
        <v>42</v>
      </c>
      <c r="P297" s="27"/>
      <c r="R297" s="34"/>
      <c r="S297" s="34"/>
    </row>
    <row r="298" spans="1:19" ht="15.75">
      <c r="A298" s="34" t="s">
        <v>717</v>
      </c>
      <c r="B298" s="34" t="s">
        <v>720</v>
      </c>
      <c r="C298" s="34"/>
      <c r="D298" s="43" t="s">
        <v>721</v>
      </c>
      <c r="E298" s="34" t="s">
        <v>20</v>
      </c>
      <c r="F298" s="6" t="s">
        <v>298</v>
      </c>
      <c r="G298" s="8">
        <v>1</v>
      </c>
      <c r="H298" s="58">
        <v>5.4</v>
      </c>
      <c r="I298" s="36">
        <f t="shared" si="18"/>
        <v>281.1724939399131</v>
      </c>
      <c r="J298" s="36">
        <f t="shared" si="19"/>
        <v>292.37348666647097</v>
      </c>
      <c r="L298" s="34"/>
      <c r="M298" s="34"/>
      <c r="N298" s="34"/>
      <c r="O298" s="16" t="s">
        <v>30</v>
      </c>
      <c r="P298" s="29">
        <f>(1-P296)*(1+P293)</f>
        <v>0.9467087338044213</v>
      </c>
      <c r="R298" s="34"/>
      <c r="S298" s="34"/>
    </row>
    <row r="299" spans="1:19" ht="15.75">
      <c r="A299" s="34" t="s">
        <v>722</v>
      </c>
      <c r="B299" s="34" t="s">
        <v>723</v>
      </c>
      <c r="C299" s="34"/>
      <c r="D299" s="43" t="s">
        <v>627</v>
      </c>
      <c r="E299" s="34" t="s">
        <v>7</v>
      </c>
      <c r="F299" s="6" t="s">
        <v>81</v>
      </c>
      <c r="G299" s="8">
        <v>1</v>
      </c>
      <c r="H299" s="58">
        <v>5.4</v>
      </c>
      <c r="I299" s="36">
        <f t="shared" si="18"/>
        <v>281.1724939399131</v>
      </c>
      <c r="J299" s="36">
        <f t="shared" si="19"/>
        <v>292.37348666647097</v>
      </c>
      <c r="L299" s="34"/>
      <c r="M299" s="34"/>
      <c r="N299" s="34"/>
      <c r="O299" s="16" t="s">
        <v>31</v>
      </c>
      <c r="P299" s="29">
        <f>(1-P296)*(1+P294)</f>
        <v>0.9844225140285218</v>
      </c>
      <c r="R299" s="34"/>
      <c r="S299" s="34"/>
    </row>
    <row r="300" spans="1:19" ht="15.75">
      <c r="A300" s="34" t="s">
        <v>724</v>
      </c>
      <c r="B300" s="34" t="s">
        <v>102</v>
      </c>
      <c r="C300" s="34"/>
      <c r="D300" s="43" t="s">
        <v>555</v>
      </c>
      <c r="E300" s="34" t="s">
        <v>13</v>
      </c>
      <c r="F300" s="6" t="s">
        <v>455</v>
      </c>
      <c r="G300" s="8">
        <v>1</v>
      </c>
      <c r="H300" s="58">
        <v>5.4</v>
      </c>
      <c r="I300" s="36">
        <f t="shared" si="18"/>
        <v>281.1724939399131</v>
      </c>
      <c r="J300" s="36">
        <f t="shared" si="19"/>
        <v>292.37348666647097</v>
      </c>
      <c r="L300" s="34"/>
      <c r="M300" s="34"/>
      <c r="N300" s="34"/>
      <c r="O300" s="28" t="s">
        <v>43</v>
      </c>
      <c r="P300" s="26"/>
      <c r="R300" s="34"/>
      <c r="S300" s="34"/>
    </row>
    <row r="301" spans="1:19" ht="15.75">
      <c r="A301" s="34" t="s">
        <v>724</v>
      </c>
      <c r="B301" s="34" t="s">
        <v>102</v>
      </c>
      <c r="C301" s="34"/>
      <c r="D301" s="43" t="s">
        <v>555</v>
      </c>
      <c r="E301" s="34" t="s">
        <v>13</v>
      </c>
      <c r="F301" s="6" t="s">
        <v>725</v>
      </c>
      <c r="G301" s="8">
        <v>1</v>
      </c>
      <c r="H301" s="58">
        <v>5.4</v>
      </c>
      <c r="I301" s="36">
        <f t="shared" si="18"/>
        <v>281.1724939399131</v>
      </c>
      <c r="J301" s="36">
        <f t="shared" si="19"/>
        <v>292.37348666647097</v>
      </c>
      <c r="L301" s="34"/>
      <c r="M301" s="34"/>
      <c r="N301" s="34"/>
      <c r="O301" s="16" t="s">
        <v>30</v>
      </c>
      <c r="P301" s="30">
        <f>1+P293</f>
        <v>1.2551230984787831</v>
      </c>
      <c r="R301" s="34"/>
      <c r="S301" s="34"/>
    </row>
    <row r="302" spans="1:19" ht="15.75">
      <c r="A302" s="34" t="s">
        <v>726</v>
      </c>
      <c r="B302" s="34" t="s">
        <v>727</v>
      </c>
      <c r="C302" s="34"/>
      <c r="D302" s="43" t="s">
        <v>728</v>
      </c>
      <c r="E302" s="34" t="s">
        <v>77</v>
      </c>
      <c r="F302" s="6" t="s">
        <v>729</v>
      </c>
      <c r="G302" s="8">
        <v>1</v>
      </c>
      <c r="H302" s="58">
        <v>33</v>
      </c>
      <c r="I302" s="52">
        <f t="shared" si="18"/>
        <v>1718.2763518550246</v>
      </c>
      <c r="J302" s="36"/>
      <c r="L302" s="34"/>
      <c r="M302" s="34"/>
      <c r="N302" s="34"/>
      <c r="O302" s="16" t="s">
        <v>31</v>
      </c>
      <c r="P302" s="30">
        <f>1+P294</f>
        <v>1.305123098478783</v>
      </c>
      <c r="R302" s="34"/>
      <c r="S302" s="34"/>
    </row>
    <row r="303" spans="1:19" ht="16.5" thickBot="1">
      <c r="A303" s="34" t="s">
        <v>726</v>
      </c>
      <c r="B303" s="34" t="s">
        <v>730</v>
      </c>
      <c r="C303" s="34"/>
      <c r="D303" s="43" t="s">
        <v>731</v>
      </c>
      <c r="E303" s="34" t="s">
        <v>7</v>
      </c>
      <c r="F303" s="6" t="s">
        <v>35</v>
      </c>
      <c r="G303" s="8">
        <v>1</v>
      </c>
      <c r="H303" s="58">
        <v>13</v>
      </c>
      <c r="I303" s="52">
        <f t="shared" si="18"/>
        <v>676.8967446701612</v>
      </c>
      <c r="J303" s="36"/>
      <c r="L303" s="34"/>
      <c r="M303" s="34"/>
      <c r="N303" s="34"/>
      <c r="O303" s="82" t="s">
        <v>973</v>
      </c>
      <c r="P303" s="32">
        <v>55</v>
      </c>
      <c r="R303" s="34"/>
      <c r="S303" s="34"/>
    </row>
    <row r="304" spans="1:19" ht="15.75">
      <c r="A304" s="34" t="s">
        <v>124</v>
      </c>
      <c r="B304" s="34" t="s">
        <v>732</v>
      </c>
      <c r="C304" s="34"/>
      <c r="D304" s="43" t="s">
        <v>733</v>
      </c>
      <c r="E304" s="34" t="s">
        <v>20</v>
      </c>
      <c r="F304" s="6" t="s">
        <v>734</v>
      </c>
      <c r="G304" s="8">
        <v>1</v>
      </c>
      <c r="H304" s="58">
        <v>18</v>
      </c>
      <c r="I304" s="52">
        <f t="shared" si="18"/>
        <v>937.2416464663771</v>
      </c>
      <c r="J304" s="36"/>
      <c r="L304" s="34"/>
      <c r="M304" s="34"/>
      <c r="N304" s="34"/>
      <c r="O304" s="34"/>
      <c r="P304" s="34"/>
      <c r="Q304" s="34"/>
      <c r="R304" s="34"/>
      <c r="S304" s="34"/>
    </row>
    <row r="305" spans="1:19" ht="15.75">
      <c r="A305" s="34" t="s">
        <v>124</v>
      </c>
      <c r="B305" s="34" t="s">
        <v>732</v>
      </c>
      <c r="C305" s="34"/>
      <c r="D305" s="43" t="s">
        <v>735</v>
      </c>
      <c r="E305" s="34" t="s">
        <v>20</v>
      </c>
      <c r="F305" s="6" t="s">
        <v>734</v>
      </c>
      <c r="G305" s="8">
        <v>1</v>
      </c>
      <c r="H305" s="58">
        <v>16</v>
      </c>
      <c r="I305" s="52">
        <f t="shared" si="18"/>
        <v>833.1036857478907</v>
      </c>
      <c r="J305" s="36">
        <f>1770-2200</f>
        <v>-430</v>
      </c>
      <c r="L305" s="34"/>
      <c r="M305" s="34"/>
      <c r="N305" s="34"/>
      <c r="O305" s="34"/>
      <c r="P305" s="34"/>
      <c r="Q305" s="34"/>
      <c r="R305" s="34"/>
      <c r="S305" s="34"/>
    </row>
    <row r="306" spans="1:19" ht="15.75">
      <c r="A306" s="34" t="s">
        <v>38</v>
      </c>
      <c r="B306" s="34" t="s">
        <v>736</v>
      </c>
      <c r="C306" s="34"/>
      <c r="D306" s="43" t="s">
        <v>737</v>
      </c>
      <c r="E306" s="34" t="s">
        <v>12</v>
      </c>
      <c r="F306" s="6" t="s">
        <v>738</v>
      </c>
      <c r="G306" s="8">
        <v>1</v>
      </c>
      <c r="H306" s="58">
        <v>58.5</v>
      </c>
      <c r="I306" s="52">
        <f t="shared" si="18"/>
        <v>3046.0353510157256</v>
      </c>
      <c r="J306" s="36"/>
      <c r="L306" s="34"/>
      <c r="M306" s="34"/>
      <c r="N306" s="34"/>
      <c r="O306" s="34"/>
      <c r="P306" s="34"/>
      <c r="Q306" s="34"/>
      <c r="R306" s="34"/>
      <c r="S306" s="34"/>
    </row>
    <row r="307" spans="1:19" ht="15.75">
      <c r="A307" s="34" t="s">
        <v>38</v>
      </c>
      <c r="B307" s="34" t="s">
        <v>736</v>
      </c>
      <c r="C307" s="34"/>
      <c r="D307" s="43" t="s">
        <v>739</v>
      </c>
      <c r="E307" s="34" t="s">
        <v>7</v>
      </c>
      <c r="F307" s="6" t="s">
        <v>35</v>
      </c>
      <c r="G307" s="8">
        <v>1</v>
      </c>
      <c r="H307" s="58">
        <v>34.5</v>
      </c>
      <c r="I307" s="52">
        <f t="shared" si="18"/>
        <v>1796.3798223938895</v>
      </c>
      <c r="J307" s="36"/>
      <c r="L307" s="34"/>
      <c r="M307" s="34"/>
      <c r="N307" s="34"/>
      <c r="O307" s="34"/>
      <c r="P307" s="34"/>
      <c r="Q307" s="34"/>
      <c r="R307" s="34"/>
      <c r="S307" s="34"/>
    </row>
    <row r="308" spans="1:19" ht="15.75">
      <c r="A308" s="34" t="s">
        <v>724</v>
      </c>
      <c r="B308" s="34" t="s">
        <v>740</v>
      </c>
      <c r="C308" s="34"/>
      <c r="D308" s="43" t="s">
        <v>741</v>
      </c>
      <c r="E308" s="40" t="s">
        <v>742</v>
      </c>
      <c r="F308" s="6" t="s">
        <v>26</v>
      </c>
      <c r="G308" s="8">
        <v>1</v>
      </c>
      <c r="H308" s="58">
        <v>19.5</v>
      </c>
      <c r="I308" s="36">
        <f t="shared" si="18"/>
        <v>1015.3451170052418</v>
      </c>
      <c r="J308" s="36">
        <f t="shared" si="19"/>
        <v>1055.7931462955896</v>
      </c>
      <c r="L308" s="34"/>
      <c r="M308" s="34"/>
      <c r="N308" s="34"/>
      <c r="O308" s="34"/>
      <c r="P308" s="34"/>
      <c r="Q308" s="34"/>
      <c r="R308" s="34"/>
      <c r="S308" s="34"/>
    </row>
    <row r="309" spans="1:19" ht="30">
      <c r="A309" s="34" t="s">
        <v>724</v>
      </c>
      <c r="B309" s="34" t="s">
        <v>743</v>
      </c>
      <c r="C309" s="34"/>
      <c r="D309" s="43" t="s">
        <v>744</v>
      </c>
      <c r="E309" s="40" t="s">
        <v>742</v>
      </c>
      <c r="F309" s="6" t="s">
        <v>745</v>
      </c>
      <c r="G309" s="8">
        <v>1</v>
      </c>
      <c r="H309" s="58">
        <v>19.5</v>
      </c>
      <c r="I309" s="36">
        <f t="shared" si="18"/>
        <v>1015.3451170052418</v>
      </c>
      <c r="J309" s="36">
        <f t="shared" si="19"/>
        <v>1055.7931462955896</v>
      </c>
      <c r="L309" s="34"/>
      <c r="M309" s="34"/>
      <c r="N309" s="34"/>
      <c r="O309" s="34"/>
      <c r="P309" s="34"/>
      <c r="Q309" s="34"/>
      <c r="R309" s="34"/>
      <c r="S309" s="34"/>
    </row>
    <row r="310" spans="1:19" ht="15.75">
      <c r="A310" s="34" t="s">
        <v>724</v>
      </c>
      <c r="B310" s="34" t="s">
        <v>746</v>
      </c>
      <c r="C310" s="34"/>
      <c r="D310" s="43" t="s">
        <v>747</v>
      </c>
      <c r="E310" s="40" t="s">
        <v>742</v>
      </c>
      <c r="F310" s="6" t="s">
        <v>97</v>
      </c>
      <c r="G310" s="8">
        <v>1</v>
      </c>
      <c r="H310" s="58">
        <v>19.5</v>
      </c>
      <c r="I310" s="36">
        <f t="shared" si="18"/>
        <v>1015.3451170052418</v>
      </c>
      <c r="J310" s="36">
        <f t="shared" si="19"/>
        <v>1055.7931462955896</v>
      </c>
      <c r="L310" s="34"/>
      <c r="M310" s="34"/>
      <c r="N310" s="34"/>
      <c r="O310" s="34"/>
      <c r="P310" s="34"/>
      <c r="Q310" s="34"/>
      <c r="R310" s="34"/>
      <c r="S310" s="34"/>
    </row>
    <row r="311" spans="1:19" ht="15.75">
      <c r="A311" s="34" t="s">
        <v>106</v>
      </c>
      <c r="B311" s="34" t="s">
        <v>748</v>
      </c>
      <c r="C311" s="34"/>
      <c r="D311" s="43" t="s">
        <v>749</v>
      </c>
      <c r="E311" s="34" t="s">
        <v>175</v>
      </c>
      <c r="F311" s="6" t="s">
        <v>25</v>
      </c>
      <c r="G311" s="8">
        <v>1</v>
      </c>
      <c r="H311" s="58">
        <v>19.5</v>
      </c>
      <c r="I311" s="36">
        <f t="shared" si="18"/>
        <v>1015.3451170052418</v>
      </c>
      <c r="J311" s="36">
        <f t="shared" si="19"/>
        <v>1055.7931462955896</v>
      </c>
      <c r="L311" s="34"/>
      <c r="M311" s="34"/>
      <c r="N311" s="34"/>
      <c r="O311" s="34"/>
      <c r="P311" s="34"/>
      <c r="Q311" s="34"/>
      <c r="R311" s="34"/>
      <c r="S311" s="34"/>
    </row>
    <row r="312" spans="1:19" ht="15.75">
      <c r="A312" s="34" t="s">
        <v>24</v>
      </c>
      <c r="B312" s="34" t="s">
        <v>750</v>
      </c>
      <c r="C312" s="34"/>
      <c r="D312" s="43" t="s">
        <v>751</v>
      </c>
      <c r="E312" s="34" t="s">
        <v>7</v>
      </c>
      <c r="F312" s="6" t="s">
        <v>74</v>
      </c>
      <c r="G312" s="8">
        <v>1</v>
      </c>
      <c r="H312" s="61">
        <v>6.99</v>
      </c>
      <c r="I312" s="53">
        <f>H312*G312*P$301*$P$303</f>
        <v>482.53207521016816</v>
      </c>
      <c r="J312" s="37">
        <f>I312-472</f>
        <v>10.53207521016816</v>
      </c>
      <c r="L312" s="34"/>
      <c r="M312" s="34"/>
      <c r="N312" s="34"/>
      <c r="O312" s="34"/>
      <c r="P312" s="34"/>
      <c r="Q312" s="34"/>
      <c r="R312" s="34"/>
      <c r="S312" s="34"/>
    </row>
    <row r="313" spans="1:19" ht="16.5" thickBot="1">
      <c r="A313" s="34" t="s">
        <v>752</v>
      </c>
      <c r="B313" s="34" t="s">
        <v>753</v>
      </c>
      <c r="C313" s="34"/>
      <c r="D313" s="43" t="s">
        <v>754</v>
      </c>
      <c r="E313" s="34" t="s">
        <v>13</v>
      </c>
      <c r="F313" s="6" t="s">
        <v>755</v>
      </c>
      <c r="G313" s="8">
        <v>1</v>
      </c>
      <c r="H313" s="61">
        <v>8.99</v>
      </c>
      <c r="I313" s="37">
        <f>H313*G313*P$301*$P$303</f>
        <v>620.5956160428343</v>
      </c>
      <c r="J313" s="37">
        <f>H313*G313*$P$302*$P$303</f>
        <v>645.3181160428342</v>
      </c>
      <c r="L313" s="34"/>
      <c r="M313" s="34"/>
      <c r="N313" s="34"/>
      <c r="O313" s="34"/>
      <c r="P313" s="34"/>
      <c r="Q313" s="34"/>
      <c r="R313" s="34"/>
      <c r="S313" s="34"/>
    </row>
    <row r="314" spans="1:19" ht="15.75">
      <c r="A314" s="23" t="s">
        <v>756</v>
      </c>
      <c r="B314" s="34"/>
      <c r="C314" s="34"/>
      <c r="D314" s="34"/>
      <c r="E314" s="34"/>
      <c r="F314" s="24" t="s">
        <v>832</v>
      </c>
      <c r="G314" s="8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</row>
    <row r="315" spans="1:19" ht="15.75">
      <c r="A315" s="34" t="s">
        <v>75</v>
      </c>
      <c r="B315" s="34" t="s">
        <v>757</v>
      </c>
      <c r="C315" s="34"/>
      <c r="D315" s="43" t="s">
        <v>758</v>
      </c>
      <c r="E315" s="34" t="s">
        <v>7</v>
      </c>
      <c r="F315" s="6" t="s">
        <v>35</v>
      </c>
      <c r="G315" s="8">
        <v>1</v>
      </c>
      <c r="H315" s="58">
        <v>29.5</v>
      </c>
      <c r="I315" s="52">
        <f aca="true" t="shared" si="20" ref="I315:I342">H315*G315*$P$327*$P$332</f>
        <v>1429.4824883781566</v>
      </c>
      <c r="J315" s="36"/>
      <c r="K315" s="34"/>
      <c r="L315" s="34"/>
      <c r="N315" s="34"/>
      <c r="O315" s="34"/>
      <c r="P315" s="34"/>
      <c r="Q315" s="34"/>
      <c r="R315" s="34"/>
      <c r="S315" s="34"/>
    </row>
    <row r="316" spans="1:19" ht="15.75">
      <c r="A316" s="44" t="s">
        <v>54</v>
      </c>
      <c r="B316" s="44" t="s">
        <v>759</v>
      </c>
      <c r="C316" s="44"/>
      <c r="D316" s="78" t="s">
        <v>760</v>
      </c>
      <c r="E316" s="44" t="s">
        <v>7</v>
      </c>
      <c r="F316" s="10" t="s">
        <v>761</v>
      </c>
      <c r="G316" s="8">
        <v>1</v>
      </c>
      <c r="H316" s="66">
        <v>5.4</v>
      </c>
      <c r="I316" s="36">
        <f t="shared" si="20"/>
        <v>261.6679809234592</v>
      </c>
      <c r="J316" s="36">
        <f>H316*G316*$P$328*$P$332</f>
        <v>272.4069088531857</v>
      </c>
      <c r="K316" s="44"/>
      <c r="L316" s="44"/>
      <c r="N316" s="44"/>
      <c r="O316" s="44"/>
      <c r="P316" s="44"/>
      <c r="Q316" s="44"/>
      <c r="R316" s="44"/>
      <c r="S316" s="44"/>
    </row>
    <row r="317" spans="1:19" ht="16.5" thickBot="1">
      <c r="A317" s="34" t="s">
        <v>38</v>
      </c>
      <c r="B317" s="34" t="s">
        <v>762</v>
      </c>
      <c r="C317" s="34"/>
      <c r="D317" s="43" t="s">
        <v>763</v>
      </c>
      <c r="E317" s="34" t="s">
        <v>12</v>
      </c>
      <c r="F317" s="6" t="s">
        <v>764</v>
      </c>
      <c r="G317" s="8">
        <v>1</v>
      </c>
      <c r="H317" s="58">
        <v>78</v>
      </c>
      <c r="I317" s="52">
        <f t="shared" si="20"/>
        <v>3779.6486133388553</v>
      </c>
      <c r="J317" s="36"/>
      <c r="K317" s="34"/>
      <c r="L317" s="34"/>
      <c r="N317" s="34"/>
      <c r="O317" s="34"/>
      <c r="P317" s="34"/>
      <c r="Q317" s="34"/>
      <c r="R317" s="34"/>
      <c r="S317" s="34"/>
    </row>
    <row r="318" spans="1:19" ht="15.75">
      <c r="A318" s="34" t="s">
        <v>38</v>
      </c>
      <c r="B318" s="34" t="s">
        <v>762</v>
      </c>
      <c r="C318" s="34"/>
      <c r="D318" s="43" t="s">
        <v>765</v>
      </c>
      <c r="E318" s="34" t="s">
        <v>7</v>
      </c>
      <c r="F318" s="6" t="s">
        <v>766</v>
      </c>
      <c r="G318" s="8">
        <v>1</v>
      </c>
      <c r="H318" s="58">
        <v>38</v>
      </c>
      <c r="I318" s="52">
        <f t="shared" si="20"/>
        <v>1841.3672731650834</v>
      </c>
      <c r="J318" s="36"/>
      <c r="K318" s="34"/>
      <c r="L318" s="34"/>
      <c r="N318" s="34"/>
      <c r="O318" s="67" t="s">
        <v>41</v>
      </c>
      <c r="P318" s="64">
        <f>SUM(H315:H346)</f>
        <v>623.8699999999999</v>
      </c>
      <c r="R318" s="34"/>
      <c r="S318" s="34"/>
    </row>
    <row r="319" spans="1:19" ht="15.75">
      <c r="A319" s="34" t="s">
        <v>38</v>
      </c>
      <c r="B319" s="34" t="s">
        <v>767</v>
      </c>
      <c r="C319" s="34"/>
      <c r="D319" s="43" t="s">
        <v>768</v>
      </c>
      <c r="E319" s="34" t="s">
        <v>7</v>
      </c>
      <c r="F319" s="6" t="s">
        <v>769</v>
      </c>
      <c r="G319" s="8">
        <v>1</v>
      </c>
      <c r="H319" s="58">
        <v>22.5</v>
      </c>
      <c r="I319" s="52">
        <f t="shared" si="20"/>
        <v>1090.2832538477467</v>
      </c>
      <c r="J319" s="36"/>
      <c r="K319" s="50" t="s">
        <v>770</v>
      </c>
      <c r="L319" s="34"/>
      <c r="N319" s="34"/>
      <c r="O319" s="16" t="s">
        <v>42</v>
      </c>
      <c r="P319" s="25">
        <f>SUM(H315:H342)</f>
        <v>500.8999999999998</v>
      </c>
      <c r="R319" s="34"/>
      <c r="S319" s="34"/>
    </row>
    <row r="320" spans="1:19" ht="15.75">
      <c r="A320" s="34" t="s">
        <v>38</v>
      </c>
      <c r="B320" s="34" t="s">
        <v>767</v>
      </c>
      <c r="C320" s="34"/>
      <c r="D320" s="43" t="s">
        <v>771</v>
      </c>
      <c r="E320" s="34" t="s">
        <v>13</v>
      </c>
      <c r="F320" s="6" t="s">
        <v>769</v>
      </c>
      <c r="G320" s="8">
        <v>1</v>
      </c>
      <c r="H320" s="58">
        <v>36.5</v>
      </c>
      <c r="I320" s="52">
        <f t="shared" si="20"/>
        <v>1768.6817229085666</v>
      </c>
      <c r="J320" s="36"/>
      <c r="K320" s="50" t="s">
        <v>772</v>
      </c>
      <c r="L320" s="34"/>
      <c r="N320" s="34"/>
      <c r="O320" s="16" t="s">
        <v>43</v>
      </c>
      <c r="P320" s="25">
        <f>SUM(H343:H346)</f>
        <v>122.96999999999998</v>
      </c>
      <c r="R320" s="34"/>
      <c r="S320" s="34"/>
    </row>
    <row r="321" spans="1:19" ht="15.75">
      <c r="A321" s="34" t="s">
        <v>39</v>
      </c>
      <c r="B321" s="34" t="s">
        <v>773</v>
      </c>
      <c r="C321" s="34"/>
      <c r="D321" s="43" t="s">
        <v>774</v>
      </c>
      <c r="E321" s="34" t="s">
        <v>13</v>
      </c>
      <c r="F321" s="6" t="s">
        <v>775</v>
      </c>
      <c r="G321" s="8">
        <v>1</v>
      </c>
      <c r="H321" s="58">
        <v>5.4</v>
      </c>
      <c r="I321" s="36">
        <f t="shared" si="20"/>
        <v>261.6679809234592</v>
      </c>
      <c r="J321" s="36">
        <f>H321*G321*$P$328*$P$332</f>
        <v>272.4069088531857</v>
      </c>
      <c r="K321" s="34"/>
      <c r="L321" s="34"/>
      <c r="N321" s="34"/>
      <c r="O321" s="16" t="s">
        <v>29</v>
      </c>
      <c r="P321" s="26">
        <v>73.99</v>
      </c>
      <c r="R321" s="34"/>
      <c r="S321" s="34"/>
    </row>
    <row r="322" spans="1:19" ht="15.75">
      <c r="A322" s="34" t="s">
        <v>39</v>
      </c>
      <c r="B322" s="34" t="s">
        <v>773</v>
      </c>
      <c r="C322" s="34"/>
      <c r="D322" s="43" t="s">
        <v>774</v>
      </c>
      <c r="E322" s="34" t="s">
        <v>13</v>
      </c>
      <c r="F322" s="6" t="s">
        <v>775</v>
      </c>
      <c r="G322" s="8">
        <v>1</v>
      </c>
      <c r="H322" s="58">
        <v>5.4</v>
      </c>
      <c r="I322" s="36">
        <f t="shared" si="20"/>
        <v>261.6679809234592</v>
      </c>
      <c r="J322" s="36">
        <f>H322*G322*$P$328*$P$332</f>
        <v>272.4069088531857</v>
      </c>
      <c r="K322" s="34"/>
      <c r="L322" s="34"/>
      <c r="N322" s="34"/>
      <c r="O322" s="16" t="s">
        <v>32</v>
      </c>
      <c r="P322" s="27">
        <f>P321/(P318-P324)+0.07</f>
        <v>0.2183151923346764</v>
      </c>
      <c r="R322" s="34"/>
      <c r="S322" s="34"/>
    </row>
    <row r="323" spans="1:19" ht="15.75">
      <c r="A323" s="34" t="s">
        <v>75</v>
      </c>
      <c r="B323" s="34" t="s">
        <v>776</v>
      </c>
      <c r="C323" s="34"/>
      <c r="D323" s="43" t="s">
        <v>777</v>
      </c>
      <c r="E323" s="34" t="s">
        <v>7</v>
      </c>
      <c r="F323" s="6" t="s">
        <v>778</v>
      </c>
      <c r="G323" s="8">
        <v>1</v>
      </c>
      <c r="H323" s="58">
        <v>5.4</v>
      </c>
      <c r="I323" s="52">
        <f t="shared" si="20"/>
        <v>261.6679809234592</v>
      </c>
      <c r="J323" s="36"/>
      <c r="K323" s="34"/>
      <c r="L323" s="34"/>
      <c r="N323" s="34"/>
      <c r="O323" s="16" t="s">
        <v>32</v>
      </c>
      <c r="P323" s="27">
        <f>P321/(P318-P324)+0.12</f>
        <v>0.2683151923346764</v>
      </c>
      <c r="R323" s="34"/>
      <c r="S323" s="34"/>
    </row>
    <row r="324" spans="1:19" ht="15.75">
      <c r="A324" s="34" t="s">
        <v>75</v>
      </c>
      <c r="B324" s="34" t="s">
        <v>779</v>
      </c>
      <c r="C324" s="34"/>
      <c r="D324" s="43" t="s">
        <v>780</v>
      </c>
      <c r="E324" s="34" t="s">
        <v>7</v>
      </c>
      <c r="F324" s="6" t="s">
        <v>781</v>
      </c>
      <c r="G324" s="8">
        <v>1</v>
      </c>
      <c r="H324" s="58">
        <v>5.4</v>
      </c>
      <c r="I324" s="52">
        <f t="shared" si="20"/>
        <v>261.6679809234592</v>
      </c>
      <c r="J324" s="36"/>
      <c r="K324" s="34"/>
      <c r="L324" s="34"/>
      <c r="N324" s="34"/>
      <c r="O324" s="16" t="s">
        <v>44</v>
      </c>
      <c r="P324" s="39">
        <v>125</v>
      </c>
      <c r="R324" s="34"/>
      <c r="S324" s="34"/>
    </row>
    <row r="325" spans="1:19" ht="15.75">
      <c r="A325" s="34" t="s">
        <v>75</v>
      </c>
      <c r="B325" s="34" t="s">
        <v>333</v>
      </c>
      <c r="C325" s="34"/>
      <c r="D325" s="43" t="s">
        <v>714</v>
      </c>
      <c r="E325" s="34" t="s">
        <v>7</v>
      </c>
      <c r="F325" s="6" t="s">
        <v>399</v>
      </c>
      <c r="G325" s="8">
        <v>1</v>
      </c>
      <c r="H325" s="58">
        <v>5.4</v>
      </c>
      <c r="I325" s="52">
        <f t="shared" si="20"/>
        <v>261.6679809234592</v>
      </c>
      <c r="J325" s="36"/>
      <c r="K325" s="34"/>
      <c r="L325" s="34"/>
      <c r="N325" s="34"/>
      <c r="O325" s="16" t="s">
        <v>45</v>
      </c>
      <c r="P325" s="26">
        <f>P324/P319</f>
        <v>0.24955080854461978</v>
      </c>
      <c r="R325" s="34"/>
      <c r="S325" s="34"/>
    </row>
    <row r="326" spans="1:19" ht="15.75">
      <c r="A326" s="34" t="s">
        <v>39</v>
      </c>
      <c r="B326" s="34" t="s">
        <v>782</v>
      </c>
      <c r="C326" s="34"/>
      <c r="D326" s="43" t="s">
        <v>783</v>
      </c>
      <c r="E326" s="34" t="s">
        <v>67</v>
      </c>
      <c r="F326" s="6" t="s">
        <v>450</v>
      </c>
      <c r="G326" s="8">
        <v>1</v>
      </c>
      <c r="H326" s="58">
        <v>21.25</v>
      </c>
      <c r="I326" s="36">
        <f t="shared" si="20"/>
        <v>1029.7119619673163</v>
      </c>
      <c r="J326" s="36">
        <f>H326*G326*$P$328*$P$332</f>
        <v>1071.9716320611474</v>
      </c>
      <c r="K326" s="34"/>
      <c r="L326" s="34"/>
      <c r="N326" s="34"/>
      <c r="O326" s="28" t="s">
        <v>42</v>
      </c>
      <c r="P326" s="27"/>
      <c r="R326" s="34"/>
      <c r="S326" s="34"/>
    </row>
    <row r="327" spans="1:19" ht="15.75">
      <c r="A327" s="34" t="s">
        <v>540</v>
      </c>
      <c r="B327" s="34" t="s">
        <v>782</v>
      </c>
      <c r="C327" s="43"/>
      <c r="D327" s="43" t="s">
        <v>784</v>
      </c>
      <c r="E327" s="34" t="s">
        <v>67</v>
      </c>
      <c r="F327" s="6" t="s">
        <v>785</v>
      </c>
      <c r="G327" s="8">
        <v>1</v>
      </c>
      <c r="H327" s="58">
        <v>21.25</v>
      </c>
      <c r="I327" s="36">
        <f t="shared" si="20"/>
        <v>1029.7119619673163</v>
      </c>
      <c r="J327" s="36">
        <f>H327*G327*$P$328*$P$332</f>
        <v>1071.9716320611474</v>
      </c>
      <c r="K327" s="34"/>
      <c r="L327" s="34"/>
      <c r="N327" s="34"/>
      <c r="O327" s="16" t="s">
        <v>30</v>
      </c>
      <c r="P327" s="29">
        <f>(1-P325)*(1+P322)</f>
        <v>0.914283651025364</v>
      </c>
      <c r="R327" s="34"/>
      <c r="S327" s="34"/>
    </row>
    <row r="328" spans="1:19" ht="15.75">
      <c r="A328" s="34" t="s">
        <v>540</v>
      </c>
      <c r="B328" s="34" t="s">
        <v>786</v>
      </c>
      <c r="C328" s="34"/>
      <c r="D328" s="43" t="s">
        <v>787</v>
      </c>
      <c r="E328" s="34" t="s">
        <v>16</v>
      </c>
      <c r="F328" s="6" t="s">
        <v>788</v>
      </c>
      <c r="G328" s="8">
        <v>1</v>
      </c>
      <c r="H328" s="58">
        <v>5.4</v>
      </c>
      <c r="I328" s="36">
        <f t="shared" si="20"/>
        <v>261.6679809234592</v>
      </c>
      <c r="J328" s="36">
        <f>H328*G328*$P$328*$P$332</f>
        <v>272.4069088531857</v>
      </c>
      <c r="K328" s="34"/>
      <c r="L328" s="34"/>
      <c r="N328" s="34"/>
      <c r="O328" s="16" t="s">
        <v>31</v>
      </c>
      <c r="P328" s="29">
        <f>(1-P325)*(1+P323)</f>
        <v>0.951806110598133</v>
      </c>
      <c r="R328" s="34"/>
      <c r="S328" s="34"/>
    </row>
    <row r="329" spans="1:19" ht="15.75">
      <c r="A329" s="34" t="s">
        <v>63</v>
      </c>
      <c r="B329" s="34" t="s">
        <v>789</v>
      </c>
      <c r="C329" s="34"/>
      <c r="D329" s="43" t="s">
        <v>790</v>
      </c>
      <c r="E329" s="34" t="s">
        <v>40</v>
      </c>
      <c r="F329" s="6" t="s">
        <v>25</v>
      </c>
      <c r="G329" s="8">
        <v>1</v>
      </c>
      <c r="H329" s="58">
        <v>19.5</v>
      </c>
      <c r="I329" s="52">
        <f t="shared" si="20"/>
        <v>944.9121533347138</v>
      </c>
      <c r="J329" s="36"/>
      <c r="K329" s="34"/>
      <c r="L329" s="34"/>
      <c r="N329" s="34"/>
      <c r="O329" s="28" t="s">
        <v>43</v>
      </c>
      <c r="P329" s="26"/>
      <c r="R329" s="34"/>
      <c r="S329" s="34"/>
    </row>
    <row r="330" spans="1:19" ht="15.75">
      <c r="A330" s="34" t="s">
        <v>63</v>
      </c>
      <c r="B330" s="34" t="s">
        <v>789</v>
      </c>
      <c r="C330" s="34"/>
      <c r="D330" s="43" t="s">
        <v>791</v>
      </c>
      <c r="E330" s="34" t="s">
        <v>70</v>
      </c>
      <c r="F330" s="6" t="s">
        <v>792</v>
      </c>
      <c r="G330" s="8">
        <v>1</v>
      </c>
      <c r="H330" s="58">
        <v>19.5</v>
      </c>
      <c r="I330" s="52">
        <f t="shared" si="20"/>
        <v>944.9121533347138</v>
      </c>
      <c r="J330" s="36"/>
      <c r="K330" s="34"/>
      <c r="L330" s="34"/>
      <c r="N330" s="34"/>
      <c r="O330" s="16" t="s">
        <v>30</v>
      </c>
      <c r="P330" s="30">
        <f>1+P322</f>
        <v>1.2183151923346764</v>
      </c>
      <c r="R330" s="34"/>
      <c r="S330" s="34"/>
    </row>
    <row r="331" spans="1:19" ht="15.75">
      <c r="A331" s="34" t="s">
        <v>63</v>
      </c>
      <c r="B331" s="34" t="s">
        <v>793</v>
      </c>
      <c r="C331" s="34"/>
      <c r="D331" s="43" t="s">
        <v>794</v>
      </c>
      <c r="E331" s="34" t="s">
        <v>7</v>
      </c>
      <c r="F331" s="6" t="s">
        <v>795</v>
      </c>
      <c r="G331" s="8">
        <v>1</v>
      </c>
      <c r="H331" s="58">
        <v>5.4</v>
      </c>
      <c r="I331" s="52">
        <f t="shared" si="20"/>
        <v>261.6679809234592</v>
      </c>
      <c r="J331" s="36">
        <f>2151-2309</f>
        <v>-158</v>
      </c>
      <c r="K331" s="34"/>
      <c r="L331" s="34"/>
      <c r="N331" s="34"/>
      <c r="O331" s="16" t="s">
        <v>31</v>
      </c>
      <c r="P331" s="30">
        <f>1+P323</f>
        <v>1.2683151923346765</v>
      </c>
      <c r="R331" s="34"/>
      <c r="S331" s="34"/>
    </row>
    <row r="332" spans="1:19" ht="16.5" thickBot="1">
      <c r="A332" s="34" t="s">
        <v>38</v>
      </c>
      <c r="B332" s="34" t="s">
        <v>796</v>
      </c>
      <c r="C332" s="34"/>
      <c r="D332" s="43" t="s">
        <v>797</v>
      </c>
      <c r="E332" s="34" t="s">
        <v>7</v>
      </c>
      <c r="F332" s="6" t="s">
        <v>798</v>
      </c>
      <c r="G332" s="8">
        <v>1</v>
      </c>
      <c r="H332" s="58">
        <v>34.5</v>
      </c>
      <c r="I332" s="52">
        <f t="shared" si="20"/>
        <v>1671.7676558998783</v>
      </c>
      <c r="J332" s="36"/>
      <c r="K332" s="34"/>
      <c r="L332" s="34"/>
      <c r="N332" s="34"/>
      <c r="O332" s="82" t="s">
        <v>973</v>
      </c>
      <c r="P332" s="32">
        <v>53</v>
      </c>
      <c r="R332" s="34"/>
      <c r="S332" s="34"/>
    </row>
    <row r="333" spans="1:19" ht="15.75">
      <c r="A333" s="34" t="s">
        <v>38</v>
      </c>
      <c r="B333" s="34" t="s">
        <v>799</v>
      </c>
      <c r="C333" s="34"/>
      <c r="D333" s="43" t="s">
        <v>800</v>
      </c>
      <c r="E333" s="34" t="s">
        <v>7</v>
      </c>
      <c r="F333" s="6" t="s">
        <v>801</v>
      </c>
      <c r="G333" s="8">
        <v>1</v>
      </c>
      <c r="H333" s="58">
        <v>42</v>
      </c>
      <c r="I333" s="52">
        <f t="shared" si="20"/>
        <v>2035.1954071824603</v>
      </c>
      <c r="J333" s="36"/>
      <c r="K333" s="50" t="s">
        <v>802</v>
      </c>
      <c r="L333" s="34"/>
      <c r="N333" s="34"/>
      <c r="O333" s="34"/>
      <c r="P333" s="34"/>
      <c r="Q333" s="34"/>
      <c r="R333" s="34"/>
      <c r="S333" s="34"/>
    </row>
    <row r="334" spans="1:19" ht="15.75">
      <c r="A334" s="34" t="s">
        <v>38</v>
      </c>
      <c r="B334" s="34" t="s">
        <v>803</v>
      </c>
      <c r="C334" s="34"/>
      <c r="D334" s="43" t="s">
        <v>804</v>
      </c>
      <c r="E334" s="34" t="s">
        <v>7</v>
      </c>
      <c r="F334" s="6" t="s">
        <v>805</v>
      </c>
      <c r="G334" s="8">
        <v>1</v>
      </c>
      <c r="H334" s="58">
        <v>52</v>
      </c>
      <c r="I334" s="52">
        <f t="shared" si="20"/>
        <v>2519.7657422259035</v>
      </c>
      <c r="J334" s="36"/>
      <c r="K334" s="50" t="s">
        <v>806</v>
      </c>
      <c r="L334" s="34"/>
      <c r="N334" s="34"/>
      <c r="O334" s="34"/>
      <c r="P334" s="34"/>
      <c r="Q334" s="34"/>
      <c r="R334" s="34"/>
      <c r="S334" s="34"/>
    </row>
    <row r="335" spans="1:19" ht="15.75">
      <c r="A335" s="34" t="s">
        <v>75</v>
      </c>
      <c r="B335" s="34" t="s">
        <v>807</v>
      </c>
      <c r="C335" s="34"/>
      <c r="D335" s="43" t="s">
        <v>808</v>
      </c>
      <c r="E335" s="34" t="s">
        <v>7</v>
      </c>
      <c r="F335" s="6" t="s">
        <v>809</v>
      </c>
      <c r="G335" s="8">
        <v>1</v>
      </c>
      <c r="H335" s="58">
        <v>5.4</v>
      </c>
      <c r="I335" s="52">
        <f t="shared" si="20"/>
        <v>261.6679809234592</v>
      </c>
      <c r="J335" s="36"/>
      <c r="K335" s="34"/>
      <c r="L335" s="34"/>
      <c r="N335" s="34"/>
      <c r="O335" s="34"/>
      <c r="P335" s="34"/>
      <c r="Q335" s="34"/>
      <c r="R335" s="34"/>
      <c r="S335" s="34"/>
    </row>
    <row r="336" spans="1:19" ht="15.75">
      <c r="A336" s="34" t="s">
        <v>75</v>
      </c>
      <c r="B336" s="34" t="s">
        <v>807</v>
      </c>
      <c r="C336" s="34"/>
      <c r="D336" s="43" t="s">
        <v>808</v>
      </c>
      <c r="E336" s="34" t="s">
        <v>7</v>
      </c>
      <c r="F336" s="6" t="s">
        <v>810</v>
      </c>
      <c r="G336" s="8">
        <v>1</v>
      </c>
      <c r="H336" s="58">
        <v>5.4</v>
      </c>
      <c r="I336" s="52">
        <f t="shared" si="20"/>
        <v>261.6679809234592</v>
      </c>
      <c r="J336" s="36"/>
      <c r="K336" s="34"/>
      <c r="L336" s="34"/>
      <c r="N336" s="34"/>
      <c r="O336" s="34"/>
      <c r="P336" s="34"/>
      <c r="Q336" s="34"/>
      <c r="R336" s="34"/>
      <c r="S336" s="34"/>
    </row>
    <row r="337" spans="1:19" ht="15.75">
      <c r="A337" s="34" t="s">
        <v>75</v>
      </c>
      <c r="B337" s="34" t="s">
        <v>811</v>
      </c>
      <c r="C337" s="34"/>
      <c r="D337" s="43" t="s">
        <v>812</v>
      </c>
      <c r="E337" s="34" t="s">
        <v>7</v>
      </c>
      <c r="F337" s="6" t="s">
        <v>813</v>
      </c>
      <c r="G337" s="8">
        <v>1</v>
      </c>
      <c r="H337" s="58">
        <v>5.4</v>
      </c>
      <c r="I337" s="52">
        <f t="shared" si="20"/>
        <v>261.6679809234592</v>
      </c>
      <c r="J337" s="36"/>
      <c r="K337" s="34"/>
      <c r="L337" s="34"/>
      <c r="N337" s="34"/>
      <c r="O337" s="34"/>
      <c r="P337" s="34"/>
      <c r="Q337" s="34"/>
      <c r="R337" s="34"/>
      <c r="S337" s="34"/>
    </row>
    <row r="338" spans="1:19" ht="15.75">
      <c r="A338" s="34" t="s">
        <v>75</v>
      </c>
      <c r="B338" s="34" t="s">
        <v>397</v>
      </c>
      <c r="C338" s="34"/>
      <c r="D338" s="43" t="s">
        <v>814</v>
      </c>
      <c r="E338" s="34" t="s">
        <v>7</v>
      </c>
      <c r="F338" s="6" t="s">
        <v>28</v>
      </c>
      <c r="G338" s="8">
        <v>1</v>
      </c>
      <c r="H338" s="58">
        <v>5.4</v>
      </c>
      <c r="I338" s="52">
        <f t="shared" si="20"/>
        <v>261.6679809234592</v>
      </c>
      <c r="J338" s="36"/>
      <c r="K338" s="34"/>
      <c r="L338" s="34"/>
      <c r="N338" s="34"/>
      <c r="O338" s="34"/>
      <c r="P338" s="34"/>
      <c r="Q338" s="34"/>
      <c r="R338" s="34"/>
      <c r="S338" s="34"/>
    </row>
    <row r="339" spans="1:19" ht="15.75">
      <c r="A339" s="34" t="s">
        <v>75</v>
      </c>
      <c r="B339" s="34" t="s">
        <v>397</v>
      </c>
      <c r="C339" s="34"/>
      <c r="D339" s="43" t="s">
        <v>814</v>
      </c>
      <c r="E339" s="34" t="s">
        <v>7</v>
      </c>
      <c r="F339" s="6" t="s">
        <v>28</v>
      </c>
      <c r="G339" s="8">
        <v>1</v>
      </c>
      <c r="H339" s="58">
        <v>5.4</v>
      </c>
      <c r="I339" s="52">
        <f t="shared" si="20"/>
        <v>261.6679809234592</v>
      </c>
      <c r="J339" s="36"/>
      <c r="K339" s="34"/>
      <c r="L339" s="34"/>
      <c r="N339" s="34"/>
      <c r="O339" s="34"/>
      <c r="P339" s="34"/>
      <c r="Q339" s="34"/>
      <c r="R339" s="34"/>
      <c r="S339" s="34"/>
    </row>
    <row r="340" spans="1:19" ht="15.75">
      <c r="A340" s="34" t="s">
        <v>75</v>
      </c>
      <c r="B340" s="34" t="s">
        <v>815</v>
      </c>
      <c r="C340" s="34"/>
      <c r="D340" s="43" t="s">
        <v>816</v>
      </c>
      <c r="E340" s="34" t="s">
        <v>7</v>
      </c>
      <c r="F340" s="6" t="s">
        <v>817</v>
      </c>
      <c r="G340" s="8">
        <v>1</v>
      </c>
      <c r="H340" s="58">
        <v>5.4</v>
      </c>
      <c r="I340" s="52">
        <f t="shared" si="20"/>
        <v>261.6679809234592</v>
      </c>
      <c r="J340" s="36"/>
      <c r="K340" s="34"/>
      <c r="L340" s="34"/>
      <c r="N340" s="34"/>
      <c r="O340" s="34"/>
      <c r="P340" s="34"/>
      <c r="Q340" s="34"/>
      <c r="R340" s="34"/>
      <c r="S340" s="34"/>
    </row>
    <row r="341" spans="1:19" ht="15.75">
      <c r="A341" s="34" t="s">
        <v>85</v>
      </c>
      <c r="B341" s="34" t="s">
        <v>807</v>
      </c>
      <c r="C341" s="34"/>
      <c r="D341" s="43" t="s">
        <v>808</v>
      </c>
      <c r="E341" s="34" t="s">
        <v>7</v>
      </c>
      <c r="F341" s="6" t="s">
        <v>809</v>
      </c>
      <c r="G341" s="8">
        <v>1</v>
      </c>
      <c r="H341" s="58">
        <v>5.4</v>
      </c>
      <c r="I341" s="52">
        <f t="shared" si="20"/>
        <v>261.6679809234592</v>
      </c>
      <c r="J341" s="36"/>
      <c r="K341" s="34"/>
      <c r="L341" s="34"/>
      <c r="N341" s="34"/>
      <c r="O341" s="34"/>
      <c r="P341" s="34"/>
      <c r="Q341" s="34"/>
      <c r="R341" s="34"/>
      <c r="S341" s="34"/>
    </row>
    <row r="342" spans="1:19" ht="15.75">
      <c r="A342" s="34" t="s">
        <v>85</v>
      </c>
      <c r="B342" s="34" t="s">
        <v>397</v>
      </c>
      <c r="C342" s="34"/>
      <c r="D342" s="43" t="s">
        <v>814</v>
      </c>
      <c r="E342" s="34" t="s">
        <v>7</v>
      </c>
      <c r="F342" s="6" t="s">
        <v>28</v>
      </c>
      <c r="G342" s="8">
        <v>1</v>
      </c>
      <c r="H342" s="58">
        <v>5.4</v>
      </c>
      <c r="I342" s="52">
        <f t="shared" si="20"/>
        <v>261.6679809234592</v>
      </c>
      <c r="J342" s="36"/>
      <c r="K342" s="34"/>
      <c r="L342" s="34"/>
      <c r="N342" s="34"/>
      <c r="O342" s="34"/>
      <c r="P342" s="34"/>
      <c r="Q342" s="34"/>
      <c r="R342" s="34"/>
      <c r="S342" s="34"/>
    </row>
    <row r="343" spans="1:19" ht="15.75">
      <c r="A343" s="34" t="s">
        <v>38</v>
      </c>
      <c r="B343" s="34" t="s">
        <v>818</v>
      </c>
      <c r="C343" s="34"/>
      <c r="D343" s="43" t="s">
        <v>819</v>
      </c>
      <c r="E343" s="34">
        <v>7.5</v>
      </c>
      <c r="F343" s="6" t="s">
        <v>37</v>
      </c>
      <c r="G343" s="8">
        <v>1</v>
      </c>
      <c r="H343" s="61">
        <v>65</v>
      </c>
      <c r="I343" s="53">
        <f>H343*G343*P$330*$P$332</f>
        <v>4197.09583759296</v>
      </c>
      <c r="J343" s="37"/>
      <c r="K343" s="50" t="s">
        <v>820</v>
      </c>
      <c r="L343" s="34"/>
      <c r="N343" s="34"/>
      <c r="O343" s="34"/>
      <c r="P343" s="34"/>
      <c r="Q343" s="34"/>
      <c r="R343" s="34"/>
      <c r="S343" s="34"/>
    </row>
    <row r="344" spans="1:19" ht="15.75">
      <c r="A344" s="34" t="s">
        <v>821</v>
      </c>
      <c r="B344" s="34" t="s">
        <v>822</v>
      </c>
      <c r="C344" s="34"/>
      <c r="D344" s="43" t="s">
        <v>823</v>
      </c>
      <c r="E344" s="34" t="s">
        <v>7</v>
      </c>
      <c r="F344" s="6" t="s">
        <v>824</v>
      </c>
      <c r="G344" s="8">
        <v>1</v>
      </c>
      <c r="H344" s="61">
        <v>19.99</v>
      </c>
      <c r="I344" s="53">
        <f>H344*G344*P$330*$P$332</f>
        <v>1290.7683968228196</v>
      </c>
      <c r="J344" s="37"/>
      <c r="K344" s="34"/>
      <c r="L344" s="34"/>
      <c r="N344" s="34"/>
      <c r="O344" s="34"/>
      <c r="P344" s="34"/>
      <c r="Q344" s="34"/>
      <c r="R344" s="34"/>
      <c r="S344" s="34"/>
    </row>
    <row r="345" spans="1:19" ht="15.75">
      <c r="A345" s="34" t="s">
        <v>821</v>
      </c>
      <c r="B345" s="34" t="s">
        <v>825</v>
      </c>
      <c r="C345" s="34"/>
      <c r="D345" s="43" t="s">
        <v>826</v>
      </c>
      <c r="E345" s="34" t="s">
        <v>7</v>
      </c>
      <c r="F345" s="6" t="s">
        <v>824</v>
      </c>
      <c r="G345" s="8">
        <v>1</v>
      </c>
      <c r="H345" s="61">
        <v>12.99</v>
      </c>
      <c r="I345" s="53">
        <f>H345*G345*P$330*$P$332</f>
        <v>838.7734604666547</v>
      </c>
      <c r="J345" s="37"/>
      <c r="K345" s="34"/>
      <c r="L345" s="34"/>
      <c r="N345" s="34"/>
      <c r="O345" s="34"/>
      <c r="P345" s="34"/>
      <c r="Q345" s="34"/>
      <c r="R345" s="34"/>
      <c r="S345" s="34"/>
    </row>
    <row r="346" spans="1:19" ht="16.5" thickBot="1">
      <c r="A346" s="34" t="s">
        <v>821</v>
      </c>
      <c r="B346" s="34" t="s">
        <v>827</v>
      </c>
      <c r="C346" s="34"/>
      <c r="D346" s="43" t="s">
        <v>828</v>
      </c>
      <c r="E346" s="40" t="s">
        <v>829</v>
      </c>
      <c r="F346" s="6" t="s">
        <v>830</v>
      </c>
      <c r="G346" s="8">
        <v>1</v>
      </c>
      <c r="H346" s="61">
        <v>24.99</v>
      </c>
      <c r="I346" s="53">
        <f>H346*G346*P$330*$P$332</f>
        <v>1613.6219227915087</v>
      </c>
      <c r="J346" s="37">
        <f>3743-3920</f>
        <v>-177</v>
      </c>
      <c r="K346" s="34"/>
      <c r="L346" s="34"/>
      <c r="N346" s="34"/>
      <c r="O346" s="34"/>
      <c r="P346" s="34"/>
      <c r="Q346" s="34"/>
      <c r="R346" s="34"/>
      <c r="S346" s="34"/>
    </row>
    <row r="347" spans="1:17" ht="15.75">
      <c r="A347" s="23" t="s">
        <v>835</v>
      </c>
      <c r="B347" s="34"/>
      <c r="C347" s="34"/>
      <c r="D347" s="34"/>
      <c r="E347" s="34"/>
      <c r="F347" s="24" t="s">
        <v>881</v>
      </c>
      <c r="G347" s="8"/>
      <c r="H347" s="35"/>
      <c r="I347" s="35"/>
      <c r="J347" s="34"/>
      <c r="K347" s="34"/>
      <c r="L347" s="34"/>
      <c r="M347" s="34"/>
      <c r="N347" s="34"/>
      <c r="O347" s="34"/>
      <c r="P347" s="34"/>
      <c r="Q347" s="34"/>
    </row>
    <row r="348" spans="1:17" ht="15.75">
      <c r="A348" s="34" t="s">
        <v>836</v>
      </c>
      <c r="B348" s="34" t="s">
        <v>837</v>
      </c>
      <c r="C348" s="34"/>
      <c r="D348" s="43" t="s">
        <v>838</v>
      </c>
      <c r="E348" s="34"/>
      <c r="F348" s="6" t="s">
        <v>839</v>
      </c>
      <c r="G348" s="8">
        <v>1</v>
      </c>
      <c r="H348" s="58">
        <v>5</v>
      </c>
      <c r="I348" s="36">
        <v>0</v>
      </c>
      <c r="J348" s="36">
        <v>0</v>
      </c>
      <c r="L348" s="34"/>
      <c r="M348" s="34"/>
      <c r="N348" s="34"/>
      <c r="O348" s="34"/>
      <c r="P348" s="34"/>
      <c r="Q348" s="34"/>
    </row>
    <row r="349" spans="1:17" ht="15.75">
      <c r="A349" s="34" t="s">
        <v>572</v>
      </c>
      <c r="B349" s="34" t="s">
        <v>837</v>
      </c>
      <c r="C349" s="34"/>
      <c r="D349" s="43" t="s">
        <v>838</v>
      </c>
      <c r="E349" s="34"/>
      <c r="F349" s="6" t="s">
        <v>209</v>
      </c>
      <c r="G349" s="8">
        <v>1</v>
      </c>
      <c r="H349" s="58">
        <v>5</v>
      </c>
      <c r="I349" s="36">
        <f aca="true" t="shared" si="21" ref="I349:I370">H349*G349*$P$360*$P$365</f>
        <v>240.17646671589793</v>
      </c>
      <c r="J349" s="36">
        <f>H349*G349*$P$361*$P$365</f>
        <v>250.45348161447984</v>
      </c>
      <c r="L349" s="34"/>
      <c r="M349" s="34"/>
      <c r="N349" s="34"/>
      <c r="O349" s="34"/>
      <c r="P349" s="34"/>
      <c r="Q349" s="34"/>
    </row>
    <row r="350" spans="1:17" ht="16.5" thickBot="1">
      <c r="A350" s="34" t="s">
        <v>726</v>
      </c>
      <c r="B350" s="34" t="s">
        <v>215</v>
      </c>
      <c r="C350" s="34"/>
      <c r="D350" s="43" t="s">
        <v>838</v>
      </c>
      <c r="E350" s="34"/>
      <c r="F350" s="6" t="s">
        <v>211</v>
      </c>
      <c r="G350" s="8">
        <v>1</v>
      </c>
      <c r="H350" s="58">
        <v>5</v>
      </c>
      <c r="I350" s="52">
        <f t="shared" si="21"/>
        <v>240.17646671589793</v>
      </c>
      <c r="J350" s="36">
        <f>2635-2652</f>
        <v>-17</v>
      </c>
      <c r="L350" s="34"/>
      <c r="M350" s="34"/>
      <c r="N350" s="34"/>
      <c r="O350" s="34"/>
      <c r="P350" s="34"/>
      <c r="Q350" s="34"/>
    </row>
    <row r="351" spans="1:16" ht="15.75">
      <c r="A351" s="34" t="s">
        <v>75</v>
      </c>
      <c r="B351" s="34" t="s">
        <v>215</v>
      </c>
      <c r="C351" s="34"/>
      <c r="D351" s="43" t="s">
        <v>838</v>
      </c>
      <c r="E351" s="34"/>
      <c r="F351" s="6" t="s">
        <v>219</v>
      </c>
      <c r="G351" s="8">
        <v>1</v>
      </c>
      <c r="H351" s="58">
        <v>5</v>
      </c>
      <c r="I351" s="52">
        <f t="shared" si="21"/>
        <v>240.17646671589793</v>
      </c>
      <c r="J351" s="36"/>
      <c r="L351" s="34"/>
      <c r="M351" s="34"/>
      <c r="N351" s="34"/>
      <c r="O351" s="67" t="s">
        <v>41</v>
      </c>
      <c r="P351" s="64">
        <f>SUM(H348:H387)</f>
        <v>876.0699999999998</v>
      </c>
    </row>
    <row r="352" spans="1:16" ht="15.75">
      <c r="A352" s="34" t="s">
        <v>75</v>
      </c>
      <c r="B352" s="34" t="s">
        <v>215</v>
      </c>
      <c r="C352" s="34"/>
      <c r="D352" s="43" t="s">
        <v>838</v>
      </c>
      <c r="E352" s="34"/>
      <c r="F352" s="6" t="s">
        <v>211</v>
      </c>
      <c r="G352" s="8">
        <v>1</v>
      </c>
      <c r="H352" s="58">
        <v>5</v>
      </c>
      <c r="I352" s="52">
        <f t="shared" si="21"/>
        <v>240.17646671589793</v>
      </c>
      <c r="J352" s="36"/>
      <c r="L352" s="34"/>
      <c r="M352" s="34"/>
      <c r="N352" s="34"/>
      <c r="O352" s="16" t="s">
        <v>42</v>
      </c>
      <c r="P352" s="25">
        <f>SUM(H348:H370)</f>
        <v>557.0999999999998</v>
      </c>
    </row>
    <row r="353" spans="1:16" ht="15.75">
      <c r="A353" s="34" t="s">
        <v>75</v>
      </c>
      <c r="B353" s="34" t="s">
        <v>215</v>
      </c>
      <c r="C353" s="34"/>
      <c r="D353" s="43" t="s">
        <v>838</v>
      </c>
      <c r="E353" s="34"/>
      <c r="F353" s="6" t="s">
        <v>839</v>
      </c>
      <c r="G353" s="8">
        <v>1</v>
      </c>
      <c r="H353" s="58">
        <v>5</v>
      </c>
      <c r="I353" s="52">
        <f t="shared" si="21"/>
        <v>240.17646671589793</v>
      </c>
      <c r="J353" s="36">
        <f>4505-1534-2527-780</f>
        <v>-336</v>
      </c>
      <c r="L353" s="34"/>
      <c r="M353" s="34"/>
      <c r="N353" s="34"/>
      <c r="O353" s="16" t="s">
        <v>43</v>
      </c>
      <c r="P353" s="25">
        <f>SUM(H371:H373)</f>
        <v>68.97</v>
      </c>
    </row>
    <row r="354" spans="1:16" ht="15.75">
      <c r="A354" s="34" t="s">
        <v>38</v>
      </c>
      <c r="B354" s="34" t="s">
        <v>840</v>
      </c>
      <c r="C354" s="34"/>
      <c r="D354" s="43" t="s">
        <v>841</v>
      </c>
      <c r="E354" s="34" t="s">
        <v>12</v>
      </c>
      <c r="F354" s="6" t="s">
        <v>842</v>
      </c>
      <c r="G354" s="8">
        <v>1</v>
      </c>
      <c r="H354" s="58">
        <v>58.5</v>
      </c>
      <c r="I354" s="52">
        <f t="shared" si="21"/>
        <v>2810.0646605760057</v>
      </c>
      <c r="J354" s="36"/>
      <c r="L354" s="34"/>
      <c r="M354" s="34"/>
      <c r="N354" s="34"/>
      <c r="O354" s="16" t="s">
        <v>29</v>
      </c>
      <c r="P354" s="26">
        <v>73.99</v>
      </c>
    </row>
    <row r="355" spans="1:16" ht="15.75">
      <c r="A355" s="34" t="s">
        <v>38</v>
      </c>
      <c r="B355" s="34" t="s">
        <v>840</v>
      </c>
      <c r="C355" s="34"/>
      <c r="D355" s="43" t="s">
        <v>843</v>
      </c>
      <c r="E355" s="34" t="s">
        <v>7</v>
      </c>
      <c r="F355" s="6" t="s">
        <v>842</v>
      </c>
      <c r="G355" s="8">
        <v>1</v>
      </c>
      <c r="H355" s="58">
        <v>38.5</v>
      </c>
      <c r="I355" s="52">
        <f t="shared" si="21"/>
        <v>1849.358793712414</v>
      </c>
      <c r="J355" s="36"/>
      <c r="L355" s="34"/>
      <c r="M355" s="34"/>
      <c r="N355" s="34"/>
      <c r="O355" s="16" t="s">
        <v>32</v>
      </c>
      <c r="P355" s="27">
        <f>P354/(P351-P357)+0.07</f>
        <v>0.16851278842185152</v>
      </c>
    </row>
    <row r="356" spans="1:16" ht="30">
      <c r="A356" s="34" t="s">
        <v>62</v>
      </c>
      <c r="B356" s="34" t="s">
        <v>844</v>
      </c>
      <c r="C356" s="34"/>
      <c r="D356" s="43" t="s">
        <v>845</v>
      </c>
      <c r="E356" s="34" t="s">
        <v>313</v>
      </c>
      <c r="F356" s="6" t="s">
        <v>846</v>
      </c>
      <c r="G356" s="8">
        <v>1</v>
      </c>
      <c r="H356" s="58">
        <v>19.5</v>
      </c>
      <c r="I356" s="52">
        <f t="shared" si="21"/>
        <v>936.688220192002</v>
      </c>
      <c r="J356" s="36"/>
      <c r="L356" s="34"/>
      <c r="M356" s="34"/>
      <c r="N356" s="34"/>
      <c r="O356" s="16" t="s">
        <v>32</v>
      </c>
      <c r="P356" s="27">
        <f>P354/(P351-P357)+0.12</f>
        <v>0.2185127884218515</v>
      </c>
    </row>
    <row r="357" spans="1:16" ht="15.75">
      <c r="A357" s="34" t="s">
        <v>62</v>
      </c>
      <c r="B357" s="34" t="s">
        <v>847</v>
      </c>
      <c r="C357" s="34"/>
      <c r="D357" s="43" t="s">
        <v>848</v>
      </c>
      <c r="E357" s="34" t="s">
        <v>313</v>
      </c>
      <c r="F357" s="6" t="s">
        <v>849</v>
      </c>
      <c r="G357" s="8">
        <v>1</v>
      </c>
      <c r="H357" s="58">
        <v>19.5</v>
      </c>
      <c r="I357" s="52">
        <f t="shared" si="21"/>
        <v>936.688220192002</v>
      </c>
      <c r="J357" s="36">
        <f>1873-1872</f>
        <v>1</v>
      </c>
      <c r="L357" s="34"/>
      <c r="M357" s="34"/>
      <c r="N357" s="34"/>
      <c r="O357" s="16" t="s">
        <v>44</v>
      </c>
      <c r="P357" s="39">
        <v>125</v>
      </c>
    </row>
    <row r="358" spans="1:16" ht="15.75">
      <c r="A358" s="84" t="s">
        <v>38</v>
      </c>
      <c r="B358" s="34" t="s">
        <v>850</v>
      </c>
      <c r="C358" s="34"/>
      <c r="D358" s="43" t="s">
        <v>851</v>
      </c>
      <c r="E358" s="34" t="s">
        <v>12</v>
      </c>
      <c r="F358" s="6" t="s">
        <v>852</v>
      </c>
      <c r="G358" s="8">
        <v>1</v>
      </c>
      <c r="H358" s="58">
        <v>248</v>
      </c>
      <c r="I358" s="52">
        <f t="shared" si="21"/>
        <v>11912.752749108537</v>
      </c>
      <c r="J358" s="36"/>
      <c r="L358" s="34"/>
      <c r="M358" s="34"/>
      <c r="N358" s="34"/>
      <c r="O358" s="16" t="s">
        <v>45</v>
      </c>
      <c r="P358" s="26">
        <f>P357/P352</f>
        <v>0.22437623406928747</v>
      </c>
    </row>
    <row r="359" spans="1:16" ht="15.75">
      <c r="A359" s="34" t="s">
        <v>85</v>
      </c>
      <c r="B359" s="34" t="s">
        <v>853</v>
      </c>
      <c r="C359" s="34"/>
      <c r="D359" s="43" t="s">
        <v>854</v>
      </c>
      <c r="E359" s="34" t="s">
        <v>7</v>
      </c>
      <c r="F359" s="6" t="s">
        <v>307</v>
      </c>
      <c r="G359" s="8">
        <v>1</v>
      </c>
      <c r="H359" s="58">
        <v>55.5</v>
      </c>
      <c r="I359" s="52">
        <f t="shared" si="21"/>
        <v>2665.958780546467</v>
      </c>
      <c r="J359" s="36">
        <f>3189-3632</f>
        <v>-443</v>
      </c>
      <c r="L359" s="34"/>
      <c r="M359" s="34"/>
      <c r="N359" s="34"/>
      <c r="O359" s="81" t="s">
        <v>42</v>
      </c>
      <c r="P359" s="27"/>
    </row>
    <row r="360" spans="1:16" ht="15.75">
      <c r="A360" s="34" t="s">
        <v>76</v>
      </c>
      <c r="B360" s="34" t="s">
        <v>746</v>
      </c>
      <c r="C360" s="34"/>
      <c r="D360" s="43" t="s">
        <v>855</v>
      </c>
      <c r="E360" s="34" t="s">
        <v>53</v>
      </c>
      <c r="F360" s="6" t="s">
        <v>792</v>
      </c>
      <c r="G360" s="8">
        <v>1</v>
      </c>
      <c r="H360" s="58">
        <v>19.5</v>
      </c>
      <c r="I360" s="52">
        <f t="shared" si="21"/>
        <v>936.688220192002</v>
      </c>
      <c r="J360" s="36"/>
      <c r="L360" s="34"/>
      <c r="M360" s="34"/>
      <c r="N360" s="34"/>
      <c r="O360" s="16" t="s">
        <v>30</v>
      </c>
      <c r="P360" s="29">
        <f>(1-P358)*(1+P355)</f>
        <v>0.9063262894939544</v>
      </c>
    </row>
    <row r="361" spans="1:16" ht="15.75">
      <c r="A361" s="34" t="s">
        <v>23</v>
      </c>
      <c r="B361" s="60" t="s">
        <v>856</v>
      </c>
      <c r="C361" s="34"/>
      <c r="D361" s="43" t="s">
        <v>780</v>
      </c>
      <c r="E361" s="34" t="s">
        <v>13</v>
      </c>
      <c r="F361" s="6" t="s">
        <v>857</v>
      </c>
      <c r="G361" s="8">
        <v>1</v>
      </c>
      <c r="H361" s="58">
        <v>5.4</v>
      </c>
      <c r="I361" s="36">
        <f t="shared" si="21"/>
        <v>259.3905840531698</v>
      </c>
      <c r="J361" s="36">
        <f>H361*G361*$P$361*$P$365</f>
        <v>270.48976014363825</v>
      </c>
      <c r="L361" s="34"/>
      <c r="M361" s="34"/>
      <c r="N361" s="34"/>
      <c r="O361" s="16" t="s">
        <v>31</v>
      </c>
      <c r="P361" s="29">
        <f>(1-P358)*(1+P356)</f>
        <v>0.94510747779049</v>
      </c>
    </row>
    <row r="362" spans="1:16" ht="15.75">
      <c r="A362" s="34" t="s">
        <v>23</v>
      </c>
      <c r="B362" s="60" t="s">
        <v>858</v>
      </c>
      <c r="C362" s="34"/>
      <c r="D362" s="43" t="s">
        <v>859</v>
      </c>
      <c r="E362" s="34" t="s">
        <v>13</v>
      </c>
      <c r="F362" s="6" t="s">
        <v>860</v>
      </c>
      <c r="G362" s="34">
        <v>1</v>
      </c>
      <c r="H362" s="58">
        <v>5.4</v>
      </c>
      <c r="I362" s="36">
        <f t="shared" si="21"/>
        <v>259.3905840531698</v>
      </c>
      <c r="J362" s="36">
        <f>H362*G362*$P$361*$P$365</f>
        <v>270.48976014363825</v>
      </c>
      <c r="L362" s="34"/>
      <c r="M362" s="34"/>
      <c r="N362" s="34"/>
      <c r="O362" s="80" t="s">
        <v>43</v>
      </c>
      <c r="P362" s="26"/>
    </row>
    <row r="363" spans="1:16" ht="15.75">
      <c r="A363" s="34" t="s">
        <v>57</v>
      </c>
      <c r="B363" s="60" t="s">
        <v>315</v>
      </c>
      <c r="C363" s="34"/>
      <c r="D363" s="43" t="s">
        <v>861</v>
      </c>
      <c r="E363" s="34" t="s">
        <v>13</v>
      </c>
      <c r="F363" s="6" t="s">
        <v>862</v>
      </c>
      <c r="G363" s="8">
        <v>1</v>
      </c>
      <c r="H363" s="58">
        <v>5.4</v>
      </c>
      <c r="I363" s="36">
        <f t="shared" si="21"/>
        <v>259.3905840531698</v>
      </c>
      <c r="J363" s="36">
        <f>H363*G363*$P$361*$P$365</f>
        <v>270.48976014363825</v>
      </c>
      <c r="L363" s="34"/>
      <c r="M363" s="34"/>
      <c r="N363" s="34"/>
      <c r="O363" s="16" t="s">
        <v>30</v>
      </c>
      <c r="P363" s="30">
        <f>1+P355</f>
        <v>1.1685127884218516</v>
      </c>
    </row>
    <row r="364" spans="1:16" ht="15.75">
      <c r="A364" s="34" t="s">
        <v>57</v>
      </c>
      <c r="B364" s="60" t="s">
        <v>101</v>
      </c>
      <c r="C364" s="34"/>
      <c r="D364" s="43" t="s">
        <v>863</v>
      </c>
      <c r="E364" s="34" t="s">
        <v>13</v>
      </c>
      <c r="F364" s="6" t="s">
        <v>864</v>
      </c>
      <c r="G364" s="34">
        <v>1</v>
      </c>
      <c r="H364" s="58">
        <v>5.4</v>
      </c>
      <c r="I364" s="36">
        <f t="shared" si="21"/>
        <v>259.3905840531698</v>
      </c>
      <c r="J364" s="36">
        <f>H364*G364*$P$361*$P$365</f>
        <v>270.48976014363825</v>
      </c>
      <c r="L364" s="34"/>
      <c r="M364" s="34"/>
      <c r="N364" s="34"/>
      <c r="O364" s="16" t="s">
        <v>31</v>
      </c>
      <c r="P364" s="30">
        <f>1+P356</f>
        <v>1.2185127884218514</v>
      </c>
    </row>
    <row r="365" spans="1:16" ht="16.5" thickBot="1">
      <c r="A365" s="34" t="s">
        <v>660</v>
      </c>
      <c r="B365" s="34" t="s">
        <v>865</v>
      </c>
      <c r="C365" s="34"/>
      <c r="D365" s="43" t="s">
        <v>866</v>
      </c>
      <c r="E365" s="34" t="s">
        <v>13</v>
      </c>
      <c r="F365" s="6" t="s">
        <v>781</v>
      </c>
      <c r="G365" s="34">
        <v>1</v>
      </c>
      <c r="H365" s="58">
        <v>5.4</v>
      </c>
      <c r="I365" s="52">
        <f t="shared" si="21"/>
        <v>259.3905840531698</v>
      </c>
      <c r="J365" s="36"/>
      <c r="L365" s="34"/>
      <c r="M365" s="34"/>
      <c r="N365" s="34"/>
      <c r="O365" s="82" t="s">
        <v>973</v>
      </c>
      <c r="P365" s="32">
        <v>53</v>
      </c>
    </row>
    <row r="366" spans="1:17" ht="15.75">
      <c r="A366" s="34" t="s">
        <v>660</v>
      </c>
      <c r="B366" s="34" t="s">
        <v>720</v>
      </c>
      <c r="C366" s="34"/>
      <c r="D366" s="43" t="s">
        <v>721</v>
      </c>
      <c r="E366" s="34" t="s">
        <v>13</v>
      </c>
      <c r="F366" s="42" t="s">
        <v>304</v>
      </c>
      <c r="G366" s="34">
        <v>1</v>
      </c>
      <c r="H366" s="58">
        <v>5.4</v>
      </c>
      <c r="I366" s="52">
        <f t="shared" si="21"/>
        <v>259.3905840531698</v>
      </c>
      <c r="J366" s="36"/>
      <c r="L366" s="34"/>
      <c r="M366" s="34"/>
      <c r="N366" s="34"/>
      <c r="O366" s="34"/>
      <c r="P366" s="34"/>
      <c r="Q366" s="34"/>
    </row>
    <row r="367" spans="1:17" ht="15.75">
      <c r="A367" s="34" t="s">
        <v>660</v>
      </c>
      <c r="B367" s="34" t="s">
        <v>284</v>
      </c>
      <c r="C367" s="34"/>
      <c r="D367" s="43" t="s">
        <v>867</v>
      </c>
      <c r="E367" s="34" t="s">
        <v>13</v>
      </c>
      <c r="F367" s="42" t="s">
        <v>26</v>
      </c>
      <c r="G367" s="34">
        <v>1</v>
      </c>
      <c r="H367" s="58">
        <v>5.4</v>
      </c>
      <c r="I367" s="52">
        <f t="shared" si="21"/>
        <v>259.3905840531698</v>
      </c>
      <c r="J367" s="36"/>
      <c r="L367" s="34"/>
      <c r="M367" s="34"/>
      <c r="N367" s="34"/>
      <c r="O367" s="34"/>
      <c r="P367" s="34"/>
      <c r="Q367" s="34"/>
    </row>
    <row r="368" spans="1:17" ht="15.75">
      <c r="A368" s="34" t="s">
        <v>660</v>
      </c>
      <c r="B368" s="34" t="s">
        <v>868</v>
      </c>
      <c r="C368" s="34"/>
      <c r="D368" s="43" t="s">
        <v>869</v>
      </c>
      <c r="E368" s="34" t="s">
        <v>13</v>
      </c>
      <c r="F368" s="42" t="s">
        <v>330</v>
      </c>
      <c r="G368" s="34">
        <v>1</v>
      </c>
      <c r="H368" s="58">
        <v>5.4</v>
      </c>
      <c r="I368" s="52">
        <f t="shared" si="21"/>
        <v>259.3905840531698</v>
      </c>
      <c r="J368" s="36"/>
      <c r="L368" s="34"/>
      <c r="M368" s="34"/>
      <c r="N368" s="34"/>
      <c r="O368" s="34"/>
      <c r="P368" s="34"/>
      <c r="Q368" s="34"/>
    </row>
    <row r="369" spans="1:17" ht="15.75">
      <c r="A369" s="34" t="s">
        <v>660</v>
      </c>
      <c r="B369" s="34" t="s">
        <v>281</v>
      </c>
      <c r="C369" s="34"/>
      <c r="D369" s="43" t="s">
        <v>560</v>
      </c>
      <c r="E369" s="34" t="s">
        <v>13</v>
      </c>
      <c r="F369" s="42" t="s">
        <v>870</v>
      </c>
      <c r="G369" s="34">
        <v>1</v>
      </c>
      <c r="H369" s="58">
        <v>5.4</v>
      </c>
      <c r="I369" s="52">
        <f t="shared" si="21"/>
        <v>259.3905840531698</v>
      </c>
      <c r="J369" s="36">
        <f>1297-1404</f>
        <v>-107</v>
      </c>
      <c r="L369" s="34"/>
      <c r="M369" s="34"/>
      <c r="N369" s="34"/>
      <c r="O369" s="34"/>
      <c r="P369" s="34"/>
      <c r="Q369" s="34"/>
    </row>
    <row r="370" spans="1:17" ht="30">
      <c r="A370" s="34" t="s">
        <v>416</v>
      </c>
      <c r="B370" s="60" t="s">
        <v>871</v>
      </c>
      <c r="C370" s="34"/>
      <c r="D370" s="43" t="s">
        <v>872</v>
      </c>
      <c r="E370" s="34" t="s">
        <v>46</v>
      </c>
      <c r="F370" s="6" t="s">
        <v>873</v>
      </c>
      <c r="G370" s="8">
        <v>1</v>
      </c>
      <c r="H370" s="58">
        <v>19.5</v>
      </c>
      <c r="I370" s="36">
        <f t="shared" si="21"/>
        <v>936.688220192002</v>
      </c>
      <c r="J370" s="36">
        <f>H370*G370*$P$361*$P$365</f>
        <v>976.7685782964714</v>
      </c>
      <c r="L370" s="34"/>
      <c r="M370" s="34"/>
      <c r="N370" s="34"/>
      <c r="O370" s="34"/>
      <c r="P370" s="34"/>
      <c r="Q370" s="34"/>
    </row>
    <row r="371" spans="1:17" ht="15.75">
      <c r="A371" s="34" t="s">
        <v>38</v>
      </c>
      <c r="B371" s="60" t="s">
        <v>874</v>
      </c>
      <c r="C371" s="34"/>
      <c r="D371" s="43" t="s">
        <v>875</v>
      </c>
      <c r="E371" s="34" t="s">
        <v>7</v>
      </c>
      <c r="F371" s="6" t="s">
        <v>876</v>
      </c>
      <c r="G371" s="8">
        <v>1</v>
      </c>
      <c r="H371" s="61">
        <v>39.99</v>
      </c>
      <c r="I371" s="53">
        <f>H371*G371*P$363*$P$365</f>
        <v>2476.627799676462</v>
      </c>
      <c r="J371" s="37"/>
      <c r="L371" s="34"/>
      <c r="M371" s="34"/>
      <c r="N371" s="34"/>
      <c r="O371" s="34"/>
      <c r="P371" s="34"/>
      <c r="Q371" s="34"/>
    </row>
    <row r="372" spans="1:17" ht="16.5" thickBot="1">
      <c r="A372" s="34" t="s">
        <v>877</v>
      </c>
      <c r="B372" s="34" t="s">
        <v>878</v>
      </c>
      <c r="C372" s="34"/>
      <c r="D372" s="43" t="s">
        <v>879</v>
      </c>
      <c r="E372" s="34" t="s">
        <v>13</v>
      </c>
      <c r="F372" s="6" t="s">
        <v>880</v>
      </c>
      <c r="G372" s="8">
        <v>1</v>
      </c>
      <c r="H372" s="61">
        <v>24.99</v>
      </c>
      <c r="I372" s="53">
        <f>H372*G372*P$363*$P$365</f>
        <v>1547.6601328810896</v>
      </c>
      <c r="J372" s="37"/>
      <c r="L372" s="34"/>
      <c r="M372" s="34"/>
      <c r="N372" s="34"/>
      <c r="O372" s="34"/>
      <c r="P372" s="34"/>
      <c r="Q372" s="34"/>
    </row>
    <row r="373" spans="1:17" ht="16.5" thickBot="1">
      <c r="A373" s="34" t="s">
        <v>877</v>
      </c>
      <c r="B373" s="34" t="s">
        <v>608</v>
      </c>
      <c r="C373" s="34"/>
      <c r="D373" s="43" t="s">
        <v>599</v>
      </c>
      <c r="E373" s="34" t="s">
        <v>13</v>
      </c>
      <c r="F373" s="6" t="s">
        <v>600</v>
      </c>
      <c r="G373" s="8">
        <v>1</v>
      </c>
      <c r="H373" s="61">
        <v>3.99</v>
      </c>
      <c r="I373" s="53">
        <f>H373*G373*P$363*$P$365</f>
        <v>247.105399367569</v>
      </c>
      <c r="J373" s="37">
        <f>1795-1959</f>
        <v>-164</v>
      </c>
      <c r="L373" s="34"/>
      <c r="M373" s="34"/>
      <c r="N373" s="34"/>
      <c r="O373" s="67" t="s">
        <v>41</v>
      </c>
      <c r="P373" s="64">
        <f>SUM(H375:H384)</f>
        <v>250</v>
      </c>
      <c r="Q373" s="34"/>
    </row>
    <row r="374" spans="1:17" ht="15.75">
      <c r="A374" s="23" t="s">
        <v>884</v>
      </c>
      <c r="B374" s="34"/>
      <c r="C374" s="34"/>
      <c r="D374" s="34"/>
      <c r="E374" s="34"/>
      <c r="F374" s="24" t="s">
        <v>906</v>
      </c>
      <c r="G374" s="8"/>
      <c r="H374" s="35"/>
      <c r="I374" s="35"/>
      <c r="J374" s="34"/>
      <c r="K374" s="34"/>
      <c r="L374" s="34"/>
      <c r="M374" s="34"/>
      <c r="N374" s="34"/>
      <c r="O374" s="16" t="s">
        <v>42</v>
      </c>
      <c r="P374" s="64">
        <f>SUM(H375:H384)</f>
        <v>250</v>
      </c>
      <c r="Q374" s="34"/>
    </row>
    <row r="375" spans="1:16" ht="15.75">
      <c r="A375" s="34" t="s">
        <v>76</v>
      </c>
      <c r="B375" s="34" t="s">
        <v>883</v>
      </c>
      <c r="C375" s="34"/>
      <c r="D375" s="43" t="s">
        <v>885</v>
      </c>
      <c r="E375" s="34" t="s">
        <v>13</v>
      </c>
      <c r="F375" s="6" t="s">
        <v>25</v>
      </c>
      <c r="G375" s="34">
        <v>1</v>
      </c>
      <c r="H375" s="58">
        <v>34.5</v>
      </c>
      <c r="I375" s="52">
        <f aca="true" t="shared" si="22" ref="I375:I384">H375*G375*$P$382*$P$384</f>
        <v>1834.4726400000004</v>
      </c>
      <c r="J375" s="36">
        <f>2771-3000</f>
        <v>-229</v>
      </c>
      <c r="K375" s="34"/>
      <c r="M375" s="34"/>
      <c r="N375" s="34"/>
      <c r="O375" s="16" t="s">
        <v>43</v>
      </c>
      <c r="P375" s="25" t="e">
        <f>SUM(#REF!)</f>
        <v>#REF!</v>
      </c>
    </row>
    <row r="376" spans="1:16" ht="15.75">
      <c r="A376" s="11" t="s">
        <v>886</v>
      </c>
      <c r="B376" s="34" t="s">
        <v>887</v>
      </c>
      <c r="C376" s="34"/>
      <c r="D376" s="43" t="s">
        <v>888</v>
      </c>
      <c r="E376" s="34" t="s">
        <v>69</v>
      </c>
      <c r="F376" s="6" t="s">
        <v>889</v>
      </c>
      <c r="G376" s="34">
        <v>1</v>
      </c>
      <c r="H376" s="58">
        <v>23</v>
      </c>
      <c r="I376" s="36">
        <f t="shared" si="22"/>
        <v>1222.9817600000001</v>
      </c>
      <c r="J376" s="36">
        <f aca="true" t="shared" si="23" ref="J376:J384">H376*G376*$P$383*$P$384</f>
        <v>1269.6257600000001</v>
      </c>
      <c r="K376" s="50" t="s">
        <v>890</v>
      </c>
      <c r="M376" s="34"/>
      <c r="N376" s="34"/>
      <c r="O376" s="16" t="s">
        <v>29</v>
      </c>
      <c r="P376" s="26">
        <v>46.99</v>
      </c>
    </row>
    <row r="377" spans="1:16" ht="15.75">
      <c r="A377" s="11" t="s">
        <v>886</v>
      </c>
      <c r="B377" s="34" t="s">
        <v>887</v>
      </c>
      <c r="C377" s="34"/>
      <c r="D377" s="43" t="s">
        <v>891</v>
      </c>
      <c r="E377" s="34" t="s">
        <v>13</v>
      </c>
      <c r="F377" s="6" t="s">
        <v>889</v>
      </c>
      <c r="G377" s="34">
        <v>1</v>
      </c>
      <c r="H377" s="58">
        <v>16</v>
      </c>
      <c r="I377" s="36">
        <f t="shared" si="22"/>
        <v>850.7699200000001</v>
      </c>
      <c r="J377" s="36">
        <f t="shared" si="23"/>
        <v>883.21792</v>
      </c>
      <c r="K377" s="50" t="s">
        <v>890</v>
      </c>
      <c r="M377" s="34"/>
      <c r="N377" s="34"/>
      <c r="O377" s="16" t="s">
        <v>32</v>
      </c>
      <c r="P377" s="27">
        <f>P376/(P373-P379)+0.07</f>
        <v>0.310974358974359</v>
      </c>
    </row>
    <row r="378" spans="1:16" ht="15.75">
      <c r="A378" s="11" t="s">
        <v>886</v>
      </c>
      <c r="B378" s="34" t="s">
        <v>892</v>
      </c>
      <c r="C378" s="34"/>
      <c r="D378" s="43" t="s">
        <v>893</v>
      </c>
      <c r="E378" s="34" t="s">
        <v>13</v>
      </c>
      <c r="F378" s="6" t="s">
        <v>894</v>
      </c>
      <c r="G378" s="34">
        <v>1</v>
      </c>
      <c r="H378" s="58">
        <v>36</v>
      </c>
      <c r="I378" s="36">
        <f t="shared" si="22"/>
        <v>1914.2323200000003</v>
      </c>
      <c r="J378" s="36">
        <f t="shared" si="23"/>
        <v>1987.24032</v>
      </c>
      <c r="K378" s="34"/>
      <c r="M378" s="34"/>
      <c r="N378" s="34"/>
      <c r="O378" s="16" t="s">
        <v>32</v>
      </c>
      <c r="P378" s="27">
        <f>P376/(P373-P379)+0.12</f>
        <v>0.360974358974359</v>
      </c>
    </row>
    <row r="379" spans="1:16" ht="15.75">
      <c r="A379" s="11" t="s">
        <v>886</v>
      </c>
      <c r="B379" s="34" t="s">
        <v>892</v>
      </c>
      <c r="C379" s="34"/>
      <c r="D379" s="43" t="s">
        <v>895</v>
      </c>
      <c r="E379" s="34" t="s">
        <v>13</v>
      </c>
      <c r="F379" s="6" t="s">
        <v>894</v>
      </c>
      <c r="G379" s="8">
        <v>1</v>
      </c>
      <c r="H379" s="58">
        <v>23</v>
      </c>
      <c r="I379" s="36">
        <f t="shared" si="22"/>
        <v>1222.9817600000001</v>
      </c>
      <c r="J379" s="36">
        <f t="shared" si="23"/>
        <v>1269.6257600000001</v>
      </c>
      <c r="K379" s="34"/>
      <c r="M379" s="34"/>
      <c r="N379" s="34"/>
      <c r="O379" s="16" t="s">
        <v>44</v>
      </c>
      <c r="P379" s="39">
        <v>55</v>
      </c>
    </row>
    <row r="380" spans="1:16" ht="15.75">
      <c r="A380" s="11" t="s">
        <v>23</v>
      </c>
      <c r="B380" s="34" t="s">
        <v>896</v>
      </c>
      <c r="C380" s="34"/>
      <c r="D380" s="43" t="s">
        <v>897</v>
      </c>
      <c r="E380" s="34" t="s">
        <v>13</v>
      </c>
      <c r="F380" s="6" t="s">
        <v>898</v>
      </c>
      <c r="G380" s="8">
        <v>1</v>
      </c>
      <c r="H380" s="58">
        <v>39.5</v>
      </c>
      <c r="I380" s="36">
        <f t="shared" si="22"/>
        <v>2100.3382400000005</v>
      </c>
      <c r="J380" s="36">
        <f t="shared" si="23"/>
        <v>2180.4442400000003</v>
      </c>
      <c r="K380" s="50" t="s">
        <v>899</v>
      </c>
      <c r="M380" s="34"/>
      <c r="N380" s="34"/>
      <c r="O380" s="16" t="s">
        <v>45</v>
      </c>
      <c r="P380" s="26">
        <f>P379/P374</f>
        <v>0.22</v>
      </c>
    </row>
    <row r="381" spans="1:16" ht="15.75">
      <c r="A381" s="34" t="s">
        <v>38</v>
      </c>
      <c r="B381" s="34" t="s">
        <v>882</v>
      </c>
      <c r="C381" s="34"/>
      <c r="D381" s="43" t="s">
        <v>900</v>
      </c>
      <c r="E381" s="34" t="s">
        <v>12</v>
      </c>
      <c r="F381" s="6" t="s">
        <v>901</v>
      </c>
      <c r="G381" s="8">
        <v>1</v>
      </c>
      <c r="H381" s="58">
        <v>48</v>
      </c>
      <c r="I381" s="52">
        <f t="shared" si="22"/>
        <v>2552.30976</v>
      </c>
      <c r="J381" s="36"/>
      <c r="K381" s="34"/>
      <c r="M381" s="34"/>
      <c r="N381" s="34"/>
      <c r="O381" s="81" t="s">
        <v>42</v>
      </c>
      <c r="P381" s="27"/>
    </row>
    <row r="382" spans="1:16" ht="15.75">
      <c r="A382" s="34" t="s">
        <v>38</v>
      </c>
      <c r="B382" s="34" t="s">
        <v>882</v>
      </c>
      <c r="C382" s="34"/>
      <c r="D382" s="43" t="s">
        <v>902</v>
      </c>
      <c r="E382" s="34" t="s">
        <v>7</v>
      </c>
      <c r="F382" s="6" t="s">
        <v>901</v>
      </c>
      <c r="G382" s="8">
        <v>1</v>
      </c>
      <c r="H382" s="58">
        <v>22</v>
      </c>
      <c r="I382" s="52">
        <f t="shared" si="22"/>
        <v>1169.8086400000002</v>
      </c>
      <c r="J382" s="36"/>
      <c r="K382" s="34"/>
      <c r="M382" s="34"/>
      <c r="N382" s="34"/>
      <c r="O382" s="16" t="s">
        <v>30</v>
      </c>
      <c r="P382" s="29">
        <f>(1-P380)*(1+P377)</f>
        <v>1.0225600000000001</v>
      </c>
    </row>
    <row r="383" spans="1:16" ht="15.75">
      <c r="A383" s="34" t="s">
        <v>58</v>
      </c>
      <c r="B383" s="34"/>
      <c r="C383" s="34"/>
      <c r="D383" s="43" t="s">
        <v>903</v>
      </c>
      <c r="E383" s="34"/>
      <c r="F383" s="79" t="s">
        <v>904</v>
      </c>
      <c r="G383" s="8">
        <v>1</v>
      </c>
      <c r="H383" s="58">
        <v>5</v>
      </c>
      <c r="I383" s="36">
        <f t="shared" si="22"/>
        <v>265.86560000000003</v>
      </c>
      <c r="J383" s="36">
        <f t="shared" si="23"/>
        <v>276.0056</v>
      </c>
      <c r="K383" s="34"/>
      <c r="M383" s="34"/>
      <c r="N383" s="34"/>
      <c r="O383" s="16" t="s">
        <v>31</v>
      </c>
      <c r="P383" s="29">
        <f>(1-P380)*(1+P378)</f>
        <v>1.06156</v>
      </c>
    </row>
    <row r="384" spans="1:16" ht="16.5" thickBot="1">
      <c r="A384" s="34" t="s">
        <v>58</v>
      </c>
      <c r="B384" s="34"/>
      <c r="C384" s="34"/>
      <c r="D384" s="43" t="s">
        <v>905</v>
      </c>
      <c r="E384" s="34"/>
      <c r="F384" s="79" t="s">
        <v>72</v>
      </c>
      <c r="G384" s="8">
        <v>1</v>
      </c>
      <c r="H384" s="58">
        <v>3</v>
      </c>
      <c r="I384" s="36">
        <f t="shared" si="22"/>
        <v>159.51936</v>
      </c>
      <c r="J384" s="36">
        <f t="shared" si="23"/>
        <v>165.60336</v>
      </c>
      <c r="K384" s="34"/>
      <c r="M384" s="34"/>
      <c r="N384" s="34"/>
      <c r="O384" s="31" t="s">
        <v>33</v>
      </c>
      <c r="P384" s="32">
        <v>52</v>
      </c>
    </row>
    <row r="385" ht="15">
      <c r="A385" s="9">
        <v>1</v>
      </c>
    </row>
    <row r="386" ht="15.75" thickBot="1">
      <c r="A386" s="9">
        <v>1</v>
      </c>
    </row>
    <row r="387" spans="1:17" ht="15.75">
      <c r="A387" s="23" t="s">
        <v>912</v>
      </c>
      <c r="B387" s="34"/>
      <c r="C387" s="34"/>
      <c r="D387" s="34"/>
      <c r="E387" s="34"/>
      <c r="F387" s="24" t="s">
        <v>940</v>
      </c>
      <c r="G387" s="8"/>
      <c r="H387" s="35"/>
      <c r="I387" s="35"/>
      <c r="J387" s="34"/>
      <c r="K387" s="34"/>
      <c r="L387" s="68"/>
      <c r="M387" s="34"/>
      <c r="N387" s="34"/>
      <c r="O387" s="34"/>
      <c r="P387" s="34"/>
      <c r="Q387" s="34"/>
    </row>
    <row r="388" spans="1:17" ht="16.5" thickBot="1">
      <c r="A388" s="11" t="s">
        <v>14</v>
      </c>
      <c r="B388" s="60" t="s">
        <v>907</v>
      </c>
      <c r="C388" s="34"/>
      <c r="D388" s="43" t="s">
        <v>913</v>
      </c>
      <c r="E388" s="34" t="s">
        <v>914</v>
      </c>
      <c r="F388" s="42" t="s">
        <v>233</v>
      </c>
      <c r="G388" s="34">
        <v>1</v>
      </c>
      <c r="H388" s="58">
        <v>29.5</v>
      </c>
      <c r="I388" s="36">
        <f aca="true" t="shared" si="24" ref="I388:I400">H388*G388*$P$398*$P$400</f>
        <v>1568.6070400000003</v>
      </c>
      <c r="J388" s="36">
        <f aca="true" t="shared" si="25" ref="J388:J400">H388*G388*$P$399*$P$400</f>
        <v>1628.4330400000001</v>
      </c>
      <c r="K388" s="34"/>
      <c r="M388" s="34"/>
      <c r="N388" s="34"/>
      <c r="O388" s="34"/>
      <c r="P388" s="34"/>
      <c r="Q388" s="34"/>
    </row>
    <row r="389" spans="1:16" ht="16.5" thickBot="1">
      <c r="A389" s="11" t="s">
        <v>14</v>
      </c>
      <c r="B389" s="69" t="s">
        <v>908</v>
      </c>
      <c r="C389" s="34"/>
      <c r="D389" s="43" t="s">
        <v>915</v>
      </c>
      <c r="E389" s="34" t="s">
        <v>914</v>
      </c>
      <c r="F389" s="68" t="s">
        <v>916</v>
      </c>
      <c r="G389" s="8">
        <v>1</v>
      </c>
      <c r="H389" s="58">
        <v>38</v>
      </c>
      <c r="I389" s="36">
        <f t="shared" si="24"/>
        <v>2020.5785600000002</v>
      </c>
      <c r="J389" s="36">
        <f t="shared" si="25"/>
        <v>2097.6425600000002</v>
      </c>
      <c r="K389" s="34"/>
      <c r="M389" s="34"/>
      <c r="N389" s="34"/>
      <c r="O389" s="67" t="s">
        <v>41</v>
      </c>
      <c r="P389" s="64">
        <f>SUM(H388:H400)</f>
        <v>250</v>
      </c>
    </row>
    <row r="390" spans="1:16" ht="15.75">
      <c r="A390" s="11" t="s">
        <v>14</v>
      </c>
      <c r="B390" s="69" t="s">
        <v>909</v>
      </c>
      <c r="C390" s="34"/>
      <c r="D390" s="43" t="s">
        <v>917</v>
      </c>
      <c r="E390" s="34" t="s">
        <v>12</v>
      </c>
      <c r="F390" s="42" t="s">
        <v>918</v>
      </c>
      <c r="G390" s="34">
        <v>1</v>
      </c>
      <c r="H390" s="58">
        <v>52</v>
      </c>
      <c r="I390" s="36">
        <f t="shared" si="24"/>
        <v>2765.0022400000003</v>
      </c>
      <c r="J390" s="36">
        <f t="shared" si="25"/>
        <v>2870.45824</v>
      </c>
      <c r="K390" s="34"/>
      <c r="M390" s="34"/>
      <c r="N390" s="34"/>
      <c r="O390" s="16" t="s">
        <v>42</v>
      </c>
      <c r="P390" s="64">
        <f>SUM(H388:H400)</f>
        <v>250</v>
      </c>
    </row>
    <row r="391" spans="1:16" ht="15.75">
      <c r="A391" s="11" t="s">
        <v>14</v>
      </c>
      <c r="B391" s="12" t="s">
        <v>910</v>
      </c>
      <c r="D391" s="43" t="s">
        <v>919</v>
      </c>
      <c r="E391" s="68" t="s">
        <v>20</v>
      </c>
      <c r="F391" s="42" t="s">
        <v>920</v>
      </c>
      <c r="G391" s="8">
        <v>1</v>
      </c>
      <c r="H391" s="58">
        <v>11</v>
      </c>
      <c r="I391" s="36">
        <f t="shared" si="24"/>
        <v>584.9043200000001</v>
      </c>
      <c r="J391" s="36">
        <f t="shared" si="25"/>
        <v>607.2123200000001</v>
      </c>
      <c r="O391" s="16" t="s">
        <v>43</v>
      </c>
      <c r="P391" s="25">
        <v>0</v>
      </c>
    </row>
    <row r="392" spans="1:16" ht="15.75">
      <c r="A392" s="11" t="s">
        <v>14</v>
      </c>
      <c r="B392" s="69" t="s">
        <v>911</v>
      </c>
      <c r="D392" s="43" t="s">
        <v>921</v>
      </c>
      <c r="E392" s="68" t="s">
        <v>20</v>
      </c>
      <c r="F392" s="42" t="s">
        <v>922</v>
      </c>
      <c r="G392" s="8">
        <v>1</v>
      </c>
      <c r="H392" s="58">
        <v>11</v>
      </c>
      <c r="I392" s="36">
        <f t="shared" si="24"/>
        <v>584.9043200000001</v>
      </c>
      <c r="J392" s="36">
        <f t="shared" si="25"/>
        <v>607.2123200000001</v>
      </c>
      <c r="O392" s="16" t="s">
        <v>29</v>
      </c>
      <c r="P392" s="26">
        <v>46.99</v>
      </c>
    </row>
    <row r="393" spans="1:16" ht="15.75">
      <c r="A393" s="11" t="s">
        <v>14</v>
      </c>
      <c r="B393" s="69" t="s">
        <v>911</v>
      </c>
      <c r="C393" s="34"/>
      <c r="D393" s="43" t="s">
        <v>923</v>
      </c>
      <c r="E393" s="68" t="s">
        <v>20</v>
      </c>
      <c r="F393" s="42" t="s">
        <v>924</v>
      </c>
      <c r="G393" s="8">
        <v>1</v>
      </c>
      <c r="H393" s="58">
        <v>11</v>
      </c>
      <c r="I393" s="36">
        <f t="shared" si="24"/>
        <v>584.9043200000001</v>
      </c>
      <c r="J393" s="36">
        <f t="shared" si="25"/>
        <v>607.2123200000001</v>
      </c>
      <c r="K393" s="50" t="s">
        <v>925</v>
      </c>
      <c r="M393" s="34"/>
      <c r="N393" s="34"/>
      <c r="O393" s="16" t="s">
        <v>32</v>
      </c>
      <c r="P393" s="27">
        <f>P392/(P389-P395)+0.07</f>
        <v>0.310974358974359</v>
      </c>
    </row>
    <row r="394" spans="1:16" ht="15.75">
      <c r="A394" s="11" t="s">
        <v>14</v>
      </c>
      <c r="B394" s="34" t="s">
        <v>926</v>
      </c>
      <c r="C394" s="34"/>
      <c r="D394" s="34" t="s">
        <v>927</v>
      </c>
      <c r="E394" s="68" t="s">
        <v>928</v>
      </c>
      <c r="F394" s="42" t="s">
        <v>929</v>
      </c>
      <c r="G394" s="8">
        <v>1</v>
      </c>
      <c r="H394" s="58">
        <v>35</v>
      </c>
      <c r="I394" s="36">
        <f t="shared" si="24"/>
        <v>1861.0592000000004</v>
      </c>
      <c r="J394" s="36">
        <f t="shared" si="25"/>
        <v>1932.0392000000002</v>
      </c>
      <c r="K394" s="34"/>
      <c r="M394" s="34"/>
      <c r="N394" s="34"/>
      <c r="O394" s="16" t="s">
        <v>32</v>
      </c>
      <c r="P394" s="27">
        <f>P392/(P389-P395)+0.12</f>
        <v>0.360974358974359</v>
      </c>
    </row>
    <row r="395" spans="1:16" ht="15.75">
      <c r="A395" s="11" t="s">
        <v>821</v>
      </c>
      <c r="B395" s="34" t="s">
        <v>930</v>
      </c>
      <c r="C395" s="34"/>
      <c r="D395" s="43" t="s">
        <v>784</v>
      </c>
      <c r="E395" s="34" t="s">
        <v>829</v>
      </c>
      <c r="F395" s="42" t="s">
        <v>35</v>
      </c>
      <c r="G395" s="8">
        <v>1</v>
      </c>
      <c r="H395" s="58">
        <v>21.25</v>
      </c>
      <c r="I395" s="52">
        <f t="shared" si="24"/>
        <v>1129.9288000000001</v>
      </c>
      <c r="J395" s="36"/>
      <c r="K395" s="34"/>
      <c r="M395" s="34"/>
      <c r="N395" s="34"/>
      <c r="O395" s="16" t="s">
        <v>44</v>
      </c>
      <c r="P395" s="39">
        <v>55</v>
      </c>
    </row>
    <row r="396" spans="1:16" ht="15.75">
      <c r="A396" s="11" t="s">
        <v>821</v>
      </c>
      <c r="B396" s="34" t="s">
        <v>930</v>
      </c>
      <c r="C396" s="34"/>
      <c r="D396" s="43" t="s">
        <v>784</v>
      </c>
      <c r="E396" s="34" t="s">
        <v>829</v>
      </c>
      <c r="F396" s="42" t="s">
        <v>931</v>
      </c>
      <c r="G396" s="8">
        <v>1</v>
      </c>
      <c r="H396" s="58">
        <v>21.25</v>
      </c>
      <c r="I396" s="52">
        <f t="shared" si="24"/>
        <v>1129.9288000000001</v>
      </c>
      <c r="J396" s="36">
        <f>2260-2210</f>
        <v>50</v>
      </c>
      <c r="K396" s="34"/>
      <c r="M396" s="34"/>
      <c r="N396" s="34"/>
      <c r="O396" s="16" t="s">
        <v>45</v>
      </c>
      <c r="P396" s="26">
        <f>P395/P390</f>
        <v>0.22</v>
      </c>
    </row>
    <row r="397" spans="1:16" ht="15.75">
      <c r="A397" s="11" t="s">
        <v>58</v>
      </c>
      <c r="B397" s="34"/>
      <c r="C397" s="34"/>
      <c r="D397" s="43" t="s">
        <v>932</v>
      </c>
      <c r="E397" s="34"/>
      <c r="F397" s="68" t="s">
        <v>933</v>
      </c>
      <c r="G397" s="8">
        <v>1</v>
      </c>
      <c r="H397" s="58">
        <v>5</v>
      </c>
      <c r="I397" s="36">
        <f t="shared" si="24"/>
        <v>265.86560000000003</v>
      </c>
      <c r="J397" s="36">
        <f t="shared" si="25"/>
        <v>276.0056</v>
      </c>
      <c r="K397" s="34"/>
      <c r="M397" s="34"/>
      <c r="N397" s="34"/>
      <c r="O397" s="81" t="s">
        <v>42</v>
      </c>
      <c r="P397" s="27"/>
    </row>
    <row r="398" spans="1:16" ht="15.75">
      <c r="A398" s="11" t="s">
        <v>58</v>
      </c>
      <c r="B398" s="34"/>
      <c r="C398" s="34"/>
      <c r="D398" s="43" t="s">
        <v>934</v>
      </c>
      <c r="E398" s="34"/>
      <c r="F398" s="68" t="s">
        <v>935</v>
      </c>
      <c r="G398" s="8">
        <v>1</v>
      </c>
      <c r="H398" s="58">
        <v>5</v>
      </c>
      <c r="I398" s="36">
        <f t="shared" si="24"/>
        <v>265.86560000000003</v>
      </c>
      <c r="J398" s="36">
        <f t="shared" si="25"/>
        <v>276.0056</v>
      </c>
      <c r="K398" s="34"/>
      <c r="M398" s="34"/>
      <c r="N398" s="34"/>
      <c r="O398" s="16" t="s">
        <v>30</v>
      </c>
      <c r="P398" s="29">
        <f>(1-P396)*(1+P393)</f>
        <v>1.0225600000000001</v>
      </c>
    </row>
    <row r="399" spans="1:16" ht="15.75">
      <c r="A399" s="11" t="s">
        <v>58</v>
      </c>
      <c r="B399" s="34"/>
      <c r="C399" s="34"/>
      <c r="D399" s="43" t="s">
        <v>936</v>
      </c>
      <c r="E399" s="34"/>
      <c r="F399" s="68" t="s">
        <v>937</v>
      </c>
      <c r="G399" s="8">
        <v>1</v>
      </c>
      <c r="H399" s="58">
        <v>5</v>
      </c>
      <c r="I399" s="36">
        <f t="shared" si="24"/>
        <v>265.86560000000003</v>
      </c>
      <c r="J399" s="36">
        <f t="shared" si="25"/>
        <v>276.0056</v>
      </c>
      <c r="K399" s="34"/>
      <c r="M399" s="34"/>
      <c r="N399" s="34"/>
      <c r="O399" s="16" t="s">
        <v>31</v>
      </c>
      <c r="P399" s="29">
        <f>(1-P396)*(1+P394)</f>
        <v>1.06156</v>
      </c>
    </row>
    <row r="400" spans="1:16" ht="16.5" thickBot="1">
      <c r="A400" s="11" t="s">
        <v>58</v>
      </c>
      <c r="B400" s="34"/>
      <c r="C400" s="34"/>
      <c r="D400" s="43" t="s">
        <v>938</v>
      </c>
      <c r="E400" s="34"/>
      <c r="F400" s="68" t="s">
        <v>939</v>
      </c>
      <c r="G400" s="8">
        <v>1</v>
      </c>
      <c r="H400" s="58">
        <v>5</v>
      </c>
      <c r="I400" s="36">
        <f t="shared" si="24"/>
        <v>265.86560000000003</v>
      </c>
      <c r="J400" s="36">
        <f t="shared" si="25"/>
        <v>276.0056</v>
      </c>
      <c r="K400" s="34"/>
      <c r="M400" s="34"/>
      <c r="N400" s="34"/>
      <c r="O400" s="31" t="s">
        <v>33</v>
      </c>
      <c r="P400" s="32">
        <v>52</v>
      </c>
    </row>
    <row r="401" spans="1:8" ht="15">
      <c r="A401" s="9">
        <v>1</v>
      </c>
      <c r="H401" s="35"/>
    </row>
    <row r="402" ht="15.75" thickBot="1">
      <c r="A402" s="9">
        <v>1</v>
      </c>
    </row>
    <row r="403" spans="1:17" ht="16.5" thickBot="1">
      <c r="A403" s="23" t="s">
        <v>941</v>
      </c>
      <c r="B403" s="34"/>
      <c r="C403" s="34"/>
      <c r="D403" s="34"/>
      <c r="E403" s="34"/>
      <c r="F403" s="24" t="s">
        <v>968</v>
      </c>
      <c r="G403" s="34"/>
      <c r="H403" s="35"/>
      <c r="I403" s="35"/>
      <c r="J403" s="34"/>
      <c r="K403" s="34"/>
      <c r="L403" s="34"/>
      <c r="M403" s="34"/>
      <c r="N403" s="34"/>
      <c r="O403" s="67" t="s">
        <v>41</v>
      </c>
      <c r="P403" s="64">
        <f>SUM(H404:H414)</f>
        <v>338.46000000000004</v>
      </c>
      <c r="Q403" s="34"/>
    </row>
    <row r="404" spans="1:16" ht="15.75">
      <c r="A404" s="34" t="s">
        <v>942</v>
      </c>
      <c r="B404" s="60" t="s">
        <v>943</v>
      </c>
      <c r="C404" s="34"/>
      <c r="D404" s="43" t="s">
        <v>944</v>
      </c>
      <c r="E404" s="34" t="s">
        <v>829</v>
      </c>
      <c r="F404" s="6" t="s">
        <v>945</v>
      </c>
      <c r="G404" s="34">
        <v>1</v>
      </c>
      <c r="H404" s="58">
        <v>33</v>
      </c>
      <c r="I404" s="52">
        <f aca="true" t="shared" si="26" ref="I404:I410">H404*G404*$P$412*$P$417</f>
        <v>1709.7612665439156</v>
      </c>
      <c r="J404" s="36">
        <f>I404-1768</f>
        <v>-58.23873345608445</v>
      </c>
      <c r="K404" s="34"/>
      <c r="M404" s="34"/>
      <c r="N404" s="34"/>
      <c r="O404" s="16" t="s">
        <v>42</v>
      </c>
      <c r="P404" s="64">
        <f>SUM(H404:H410)</f>
        <v>254.5</v>
      </c>
    </row>
    <row r="405" spans="1:16" ht="15.75">
      <c r="A405" s="34" t="s">
        <v>39</v>
      </c>
      <c r="B405" s="34" t="s">
        <v>946</v>
      </c>
      <c r="C405" s="34"/>
      <c r="D405" s="43" t="s">
        <v>972</v>
      </c>
      <c r="E405" s="34" t="s">
        <v>12</v>
      </c>
      <c r="F405" s="6" t="s">
        <v>947</v>
      </c>
      <c r="G405" s="8">
        <v>1</v>
      </c>
      <c r="H405" s="58">
        <v>37</v>
      </c>
      <c r="I405" s="36">
        <f t="shared" si="26"/>
        <v>1917.0050564280264</v>
      </c>
      <c r="J405" s="36">
        <f>H405*G405*$P$413*$P$417</f>
        <v>1992.4152725380463</v>
      </c>
      <c r="K405" s="34"/>
      <c r="M405" s="34"/>
      <c r="N405" s="34"/>
      <c r="O405" s="16" t="s">
        <v>43</v>
      </c>
      <c r="P405" s="25">
        <f>SUM(H411:H414)</f>
        <v>83.96</v>
      </c>
    </row>
    <row r="406" spans="1:16" ht="15.75">
      <c r="A406" s="11" t="s">
        <v>14</v>
      </c>
      <c r="B406" s="34" t="s">
        <v>948</v>
      </c>
      <c r="C406" s="34"/>
      <c r="D406" s="43" t="s">
        <v>971</v>
      </c>
      <c r="E406" s="34" t="s">
        <v>7</v>
      </c>
      <c r="F406" s="6" t="s">
        <v>949</v>
      </c>
      <c r="G406" s="8">
        <v>1</v>
      </c>
      <c r="H406" s="58">
        <v>52</v>
      </c>
      <c r="I406" s="36">
        <f t="shared" si="26"/>
        <v>2694.1692684934424</v>
      </c>
      <c r="J406" s="36">
        <f>H406*G406*$P$413*$P$417</f>
        <v>2800.151193837254</v>
      </c>
      <c r="K406" s="34"/>
      <c r="M406" s="34"/>
      <c r="N406" s="34"/>
      <c r="O406" s="16" t="s">
        <v>29</v>
      </c>
      <c r="P406" s="26">
        <v>56.99</v>
      </c>
    </row>
    <row r="407" spans="1:16" ht="15.75">
      <c r="A407" s="11" t="s">
        <v>14</v>
      </c>
      <c r="B407" s="34" t="s">
        <v>950</v>
      </c>
      <c r="C407" s="34"/>
      <c r="D407" s="43" t="s">
        <v>970</v>
      </c>
      <c r="E407" s="34" t="s">
        <v>13</v>
      </c>
      <c r="F407" s="6" t="s">
        <v>951</v>
      </c>
      <c r="G407" s="8">
        <v>1</v>
      </c>
      <c r="H407" s="58">
        <v>34.5</v>
      </c>
      <c r="I407" s="36">
        <f t="shared" si="26"/>
        <v>1787.4776877504569</v>
      </c>
      <c r="J407" s="36">
        <f>H407*G407*$P$413*$P$417</f>
        <v>1857.7926189881782</v>
      </c>
      <c r="K407" s="34"/>
      <c r="M407" s="34"/>
      <c r="N407" s="34"/>
      <c r="O407" s="16" t="s">
        <v>32</v>
      </c>
      <c r="P407" s="27">
        <f>P406/(P403-P409)+0.07</f>
        <v>0.27105129471530376</v>
      </c>
    </row>
    <row r="408" spans="1:16" ht="15.75">
      <c r="A408" s="11" t="s">
        <v>14</v>
      </c>
      <c r="B408" s="34" t="s">
        <v>952</v>
      </c>
      <c r="C408" s="34"/>
      <c r="D408" s="43" t="s">
        <v>969</v>
      </c>
      <c r="E408" s="34" t="s">
        <v>12</v>
      </c>
      <c r="F408" s="6" t="s">
        <v>951</v>
      </c>
      <c r="G408" s="8">
        <v>1</v>
      </c>
      <c r="H408" s="58">
        <v>48.5</v>
      </c>
      <c r="I408" s="36">
        <f t="shared" si="26"/>
        <v>2512.830952344845</v>
      </c>
      <c r="J408" s="36">
        <f>H408*G408*$P$413*$P$417</f>
        <v>2611.679478867439</v>
      </c>
      <c r="K408" s="50" t="s">
        <v>953</v>
      </c>
      <c r="M408" s="34"/>
      <c r="N408" s="34"/>
      <c r="O408" s="16" t="s">
        <v>32</v>
      </c>
      <c r="P408" s="27">
        <f>P406/(P403-P409)+0.12</f>
        <v>0.3210512947153037</v>
      </c>
    </row>
    <row r="409" spans="1:16" ht="15.75">
      <c r="A409" s="11" t="s">
        <v>38</v>
      </c>
      <c r="B409" s="34" t="s">
        <v>954</v>
      </c>
      <c r="C409" s="34"/>
      <c r="D409" s="43" t="s">
        <v>955</v>
      </c>
      <c r="E409" s="34" t="s">
        <v>7</v>
      </c>
      <c r="F409" s="6" t="s">
        <v>956</v>
      </c>
      <c r="G409" s="8">
        <v>1</v>
      </c>
      <c r="H409" s="58">
        <f>49.5/2</f>
        <v>24.75</v>
      </c>
      <c r="I409" s="52">
        <f t="shared" si="26"/>
        <v>1282.3209499079364</v>
      </c>
      <c r="J409" s="36"/>
      <c r="K409" s="34"/>
      <c r="M409" s="34"/>
      <c r="N409" s="34"/>
      <c r="O409" s="16" t="s">
        <v>44</v>
      </c>
      <c r="P409" s="39">
        <v>55</v>
      </c>
    </row>
    <row r="410" spans="1:16" ht="15.75">
      <c r="A410" s="11" t="s">
        <v>38</v>
      </c>
      <c r="B410" s="34" t="s">
        <v>954</v>
      </c>
      <c r="C410" s="34"/>
      <c r="D410" s="43" t="s">
        <v>957</v>
      </c>
      <c r="E410" s="34" t="s">
        <v>7</v>
      </c>
      <c r="F410" s="6" t="s">
        <v>857</v>
      </c>
      <c r="G410" s="8">
        <v>1</v>
      </c>
      <c r="H410" s="58">
        <f>49.5/2</f>
        <v>24.75</v>
      </c>
      <c r="I410" s="52">
        <f t="shared" si="26"/>
        <v>1282.3209499079364</v>
      </c>
      <c r="K410" s="34"/>
      <c r="M410" s="34"/>
      <c r="N410" s="34"/>
      <c r="O410" s="16" t="s">
        <v>45</v>
      </c>
      <c r="P410" s="26">
        <f>P409/P404</f>
        <v>0.21611001964636542</v>
      </c>
    </row>
    <row r="411" spans="1:16" ht="15.75">
      <c r="A411" s="34" t="s">
        <v>958</v>
      </c>
      <c r="B411" s="34" t="s">
        <v>959</v>
      </c>
      <c r="C411" s="34"/>
      <c r="D411" s="43" t="s">
        <v>960</v>
      </c>
      <c r="E411" s="34" t="s">
        <v>13</v>
      </c>
      <c r="F411" s="6" t="s">
        <v>35</v>
      </c>
      <c r="G411" s="8">
        <v>1</v>
      </c>
      <c r="H411" s="61">
        <v>14.99</v>
      </c>
      <c r="I411" s="37">
        <f>H411*G411*$P$417*$P$415</f>
        <v>990.7590632046849</v>
      </c>
      <c r="J411" s="37">
        <f>H411*G411*$P$417*$P$416</f>
        <v>1029.7330632046849</v>
      </c>
      <c r="K411" s="34"/>
      <c r="M411" s="34"/>
      <c r="N411" s="34"/>
      <c r="O411" s="81" t="s">
        <v>42</v>
      </c>
      <c r="P411" s="27"/>
    </row>
    <row r="412" spans="1:16" ht="15.75">
      <c r="A412" s="34" t="s">
        <v>422</v>
      </c>
      <c r="B412" s="34" t="s">
        <v>961</v>
      </c>
      <c r="C412" s="34"/>
      <c r="D412" s="43" t="s">
        <v>962</v>
      </c>
      <c r="E412" s="34" t="s">
        <v>13</v>
      </c>
      <c r="F412" s="6" t="s">
        <v>439</v>
      </c>
      <c r="G412" s="8">
        <v>1</v>
      </c>
      <c r="H412" s="61">
        <v>19.99</v>
      </c>
      <c r="I412" s="37">
        <f>H412*G412*$P$417*$P$415</f>
        <v>1321.2323998306638</v>
      </c>
      <c r="J412" s="37">
        <f>H412*G412*$P$417*$P$416</f>
        <v>1373.206399830664</v>
      </c>
      <c r="K412" s="34"/>
      <c r="M412" s="34"/>
      <c r="N412" s="34"/>
      <c r="O412" s="16" t="s">
        <v>30</v>
      </c>
      <c r="P412" s="29">
        <f>(1-P410)*(1+P407)</f>
        <v>0.9963643744428411</v>
      </c>
    </row>
    <row r="413" spans="1:16" ht="15.75">
      <c r="A413" s="34" t="s">
        <v>57</v>
      </c>
      <c r="B413" s="34" t="s">
        <v>963</v>
      </c>
      <c r="C413" s="34"/>
      <c r="D413" s="43" t="s">
        <v>964</v>
      </c>
      <c r="E413" s="34" t="s">
        <v>11</v>
      </c>
      <c r="F413" s="6" t="s">
        <v>965</v>
      </c>
      <c r="G413" s="8">
        <v>1</v>
      </c>
      <c r="H413" s="61">
        <v>28.99</v>
      </c>
      <c r="I413" s="37">
        <f>H413*G413*$P$417*$P$415</f>
        <v>1916.0844057574259</v>
      </c>
      <c r="J413" s="37">
        <f>H413*G413*$P$417*$P$416</f>
        <v>1991.4584057574261</v>
      </c>
      <c r="K413" s="34"/>
      <c r="M413" s="34"/>
      <c r="N413" s="34"/>
      <c r="O413" s="16" t="s">
        <v>31</v>
      </c>
      <c r="P413" s="29">
        <f>(1-P410)*(1+P408)</f>
        <v>1.035558873460523</v>
      </c>
    </row>
    <row r="414" spans="1:16" ht="15.75">
      <c r="A414" s="34" t="s">
        <v>57</v>
      </c>
      <c r="B414" s="34" t="s">
        <v>966</v>
      </c>
      <c r="C414" s="34"/>
      <c r="D414" s="43" t="s">
        <v>967</v>
      </c>
      <c r="E414" s="34" t="s">
        <v>13</v>
      </c>
      <c r="F414" s="6" t="s">
        <v>965</v>
      </c>
      <c r="G414" s="8">
        <v>1</v>
      </c>
      <c r="H414" s="61">
        <v>19.99</v>
      </c>
      <c r="I414" s="37">
        <f>H414*G414*$P$417*$P$415</f>
        <v>1321.2323998306638</v>
      </c>
      <c r="J414" s="37">
        <f>H414*G414*$P$417*$P$416</f>
        <v>1373.206399830664</v>
      </c>
      <c r="K414" s="34"/>
      <c r="M414" s="34"/>
      <c r="N414" s="34"/>
      <c r="O414" s="80" t="s">
        <v>43</v>
      </c>
      <c r="P414" s="26"/>
    </row>
    <row r="415" spans="1:16" ht="15.75">
      <c r="A415" s="9">
        <v>1</v>
      </c>
      <c r="B415" s="72" t="s">
        <v>833</v>
      </c>
      <c r="L415" s="34"/>
      <c r="M415" s="34"/>
      <c r="N415" s="34"/>
      <c r="O415" s="16" t="s">
        <v>30</v>
      </c>
      <c r="P415" s="30">
        <f>1+P407</f>
        <v>1.2710512947153036</v>
      </c>
    </row>
    <row r="416" spans="1:16" ht="15.75">
      <c r="A416" s="9">
        <v>1</v>
      </c>
      <c r="B416" s="72" t="s">
        <v>834</v>
      </c>
      <c r="L416" s="34"/>
      <c r="M416" s="34"/>
      <c r="N416" s="34"/>
      <c r="O416" s="16" t="s">
        <v>31</v>
      </c>
      <c r="P416" s="30">
        <f>1+P408</f>
        <v>1.3210512947153037</v>
      </c>
    </row>
    <row r="417" spans="1:16" ht="15.75" thickBot="1">
      <c r="A417" s="11">
        <v>1</v>
      </c>
      <c r="L417" s="34"/>
      <c r="M417" s="34"/>
      <c r="N417" s="34"/>
      <c r="O417" s="31" t="s">
        <v>33</v>
      </c>
      <c r="P417" s="32">
        <v>52</v>
      </c>
    </row>
    <row r="418" spans="1:18" ht="16.5" thickBot="1">
      <c r="A418" s="23" t="s">
        <v>1011</v>
      </c>
      <c r="B418" s="34"/>
      <c r="C418" s="34"/>
      <c r="D418" s="34"/>
      <c r="E418" s="34"/>
      <c r="F418" s="24" t="s">
        <v>1010</v>
      </c>
      <c r="G418" s="34"/>
      <c r="H418" s="35"/>
      <c r="I418" s="35"/>
      <c r="J418" s="34"/>
      <c r="K418" s="34"/>
      <c r="L418" s="68"/>
      <c r="M418" s="34"/>
      <c r="N418" s="34"/>
      <c r="O418" s="34"/>
      <c r="P418" s="82"/>
      <c r="Q418" s="32"/>
      <c r="R418" s="34"/>
    </row>
    <row r="419" spans="1:18" ht="16.5" thickBot="1">
      <c r="A419" s="34" t="s">
        <v>24</v>
      </c>
      <c r="B419" s="34" t="s">
        <v>974</v>
      </c>
      <c r="C419" s="34"/>
      <c r="D419" s="43" t="s">
        <v>975</v>
      </c>
      <c r="E419" s="34" t="s">
        <v>40</v>
      </c>
      <c r="F419" s="6" t="s">
        <v>976</v>
      </c>
      <c r="G419" s="8">
        <v>1</v>
      </c>
      <c r="H419" s="58">
        <v>55</v>
      </c>
      <c r="I419" s="36">
        <f aca="true" t="shared" si="27" ref="I419:I429">H419*G419*$P$429*$P$434</f>
        <v>2840.246311696935</v>
      </c>
      <c r="J419" s="36">
        <f aca="true" t="shared" si="28" ref="J419:J427">H419*G419*$P$430*$P$434</f>
        <v>2951.8491061081136</v>
      </c>
      <c r="K419" s="34"/>
      <c r="M419" s="34"/>
      <c r="N419" s="34"/>
      <c r="O419" s="34"/>
      <c r="P419" s="34"/>
      <c r="Q419" s="34"/>
      <c r="R419" s="34"/>
    </row>
    <row r="420" spans="1:18" ht="16.5" thickBot="1">
      <c r="A420" s="34" t="s">
        <v>24</v>
      </c>
      <c r="B420" s="34" t="s">
        <v>977</v>
      </c>
      <c r="C420" s="34"/>
      <c r="D420" s="43" t="s">
        <v>978</v>
      </c>
      <c r="E420" s="34" t="s">
        <v>40</v>
      </c>
      <c r="F420" s="6" t="s">
        <v>979</v>
      </c>
      <c r="G420" s="8">
        <v>1</v>
      </c>
      <c r="H420" s="58">
        <v>21</v>
      </c>
      <c r="I420" s="36">
        <f t="shared" si="27"/>
        <v>1084.4576826479208</v>
      </c>
      <c r="J420" s="36">
        <f t="shared" si="28"/>
        <v>1127.0696586958252</v>
      </c>
      <c r="K420" s="34"/>
      <c r="M420" s="34"/>
      <c r="N420" s="34"/>
      <c r="O420" s="67" t="s">
        <v>41</v>
      </c>
      <c r="P420" s="64">
        <f>SUM(H419:H433)</f>
        <v>336.46000000000004</v>
      </c>
      <c r="R420" s="34"/>
    </row>
    <row r="421" spans="1:18" ht="15.75">
      <c r="A421" s="16" t="s">
        <v>14</v>
      </c>
      <c r="B421" s="60" t="s">
        <v>980</v>
      </c>
      <c r="C421" s="44"/>
      <c r="D421" s="43" t="s">
        <v>981</v>
      </c>
      <c r="E421" s="34" t="s">
        <v>7</v>
      </c>
      <c r="F421" s="6" t="s">
        <v>982</v>
      </c>
      <c r="G421" s="8">
        <v>1</v>
      </c>
      <c r="H421" s="66">
        <v>49.5</v>
      </c>
      <c r="I421" s="36">
        <f t="shared" si="27"/>
        <v>2556.221680527242</v>
      </c>
      <c r="J421" s="36">
        <f t="shared" si="28"/>
        <v>2656.664195497302</v>
      </c>
      <c r="K421" s="50" t="s">
        <v>820</v>
      </c>
      <c r="M421" s="44"/>
      <c r="N421" s="44"/>
      <c r="O421" s="16" t="s">
        <v>42</v>
      </c>
      <c r="P421" s="64">
        <f>SUM(H419:H429)</f>
        <v>250.5</v>
      </c>
      <c r="R421" s="44"/>
    </row>
    <row r="422" spans="1:18" ht="15.75">
      <c r="A422" s="11" t="s">
        <v>983</v>
      </c>
      <c r="B422" s="34" t="s">
        <v>984</v>
      </c>
      <c r="C422" s="34"/>
      <c r="D422" s="43" t="s">
        <v>985</v>
      </c>
      <c r="E422" s="34" t="s">
        <v>7</v>
      </c>
      <c r="F422" s="6" t="s">
        <v>986</v>
      </c>
      <c r="G422" s="8">
        <v>1</v>
      </c>
      <c r="H422" s="58">
        <v>11</v>
      </c>
      <c r="I422" s="36">
        <f t="shared" si="27"/>
        <v>568.0492623393872</v>
      </c>
      <c r="J422" s="36">
        <f t="shared" si="28"/>
        <v>590.3698212216226</v>
      </c>
      <c r="K422" s="34"/>
      <c r="M422" s="34"/>
      <c r="N422" s="34"/>
      <c r="O422" s="16" t="s">
        <v>43</v>
      </c>
      <c r="P422" s="25">
        <f>SUM(H430:H433)</f>
        <v>85.96</v>
      </c>
      <c r="R422" s="34"/>
    </row>
    <row r="423" spans="1:18" ht="15.75">
      <c r="A423" s="11" t="s">
        <v>983</v>
      </c>
      <c r="B423" s="34" t="s">
        <v>987</v>
      </c>
      <c r="C423" s="34"/>
      <c r="D423" s="43" t="s">
        <v>988</v>
      </c>
      <c r="E423" s="34" t="s">
        <v>7</v>
      </c>
      <c r="F423" s="6" t="s">
        <v>989</v>
      </c>
      <c r="G423" s="8">
        <v>1</v>
      </c>
      <c r="H423" s="58">
        <v>11</v>
      </c>
      <c r="I423" s="36">
        <f t="shared" si="27"/>
        <v>568.0492623393872</v>
      </c>
      <c r="J423" s="36">
        <f t="shared" si="28"/>
        <v>590.3698212216226</v>
      </c>
      <c r="K423" s="34"/>
      <c r="M423" s="34"/>
      <c r="N423" s="34"/>
      <c r="O423" s="16" t="s">
        <v>29</v>
      </c>
      <c r="P423" s="26">
        <v>56.99</v>
      </c>
      <c r="R423" s="34"/>
    </row>
    <row r="424" spans="1:18" ht="15.75">
      <c r="A424" s="11" t="s">
        <v>983</v>
      </c>
      <c r="B424" s="34" t="s">
        <v>987</v>
      </c>
      <c r="C424" s="34"/>
      <c r="D424" s="43" t="s">
        <v>988</v>
      </c>
      <c r="E424" s="34" t="s">
        <v>7</v>
      </c>
      <c r="F424" s="6" t="s">
        <v>990</v>
      </c>
      <c r="G424" s="8">
        <v>1</v>
      </c>
      <c r="H424" s="58">
        <v>11</v>
      </c>
      <c r="I424" s="36">
        <f t="shared" si="27"/>
        <v>568.0492623393872</v>
      </c>
      <c r="J424" s="36">
        <f t="shared" si="28"/>
        <v>590.3698212216226</v>
      </c>
      <c r="K424" s="34"/>
      <c r="M424" s="34"/>
      <c r="N424" s="34"/>
      <c r="O424" s="16" t="s">
        <v>32</v>
      </c>
      <c r="P424" s="27">
        <f>P423/(P420-P426)+0.07</f>
        <v>0.27247992609962335</v>
      </c>
      <c r="R424" s="34"/>
    </row>
    <row r="425" spans="1:18" ht="15.75">
      <c r="A425" s="34" t="s">
        <v>39</v>
      </c>
      <c r="B425" s="34" t="s">
        <v>991</v>
      </c>
      <c r="C425" s="34"/>
      <c r="D425" s="43" t="s">
        <v>992</v>
      </c>
      <c r="E425" s="34" t="s">
        <v>13</v>
      </c>
      <c r="F425" s="6" t="s">
        <v>993</v>
      </c>
      <c r="G425" s="8">
        <v>1</v>
      </c>
      <c r="H425" s="58">
        <v>11</v>
      </c>
      <c r="I425" s="36">
        <f t="shared" si="27"/>
        <v>568.0492623393872</v>
      </c>
      <c r="J425" s="36">
        <f t="shared" si="28"/>
        <v>590.3698212216226</v>
      </c>
      <c r="K425" s="34"/>
      <c r="M425" s="34"/>
      <c r="N425" s="34"/>
      <c r="O425" s="16" t="s">
        <v>32</v>
      </c>
      <c r="P425" s="27">
        <f>P423/(P420-P426)+0.12</f>
        <v>0.3224799260996234</v>
      </c>
      <c r="R425" s="34"/>
    </row>
    <row r="426" spans="1:18" ht="15.75">
      <c r="A426" s="11" t="s">
        <v>14</v>
      </c>
      <c r="B426" s="34" t="s">
        <v>994</v>
      </c>
      <c r="C426" s="34"/>
      <c r="D426" s="43" t="s">
        <v>995</v>
      </c>
      <c r="E426" s="34" t="s">
        <v>13</v>
      </c>
      <c r="F426" s="6" t="s">
        <v>996</v>
      </c>
      <c r="G426" s="8">
        <v>1</v>
      </c>
      <c r="H426" s="58">
        <v>11</v>
      </c>
      <c r="I426" s="36">
        <f t="shared" si="27"/>
        <v>568.0492623393872</v>
      </c>
      <c r="J426" s="36">
        <f t="shared" si="28"/>
        <v>590.3698212216226</v>
      </c>
      <c r="K426" s="34"/>
      <c r="M426" s="34"/>
      <c r="N426" s="34"/>
      <c r="O426" s="16" t="s">
        <v>44</v>
      </c>
      <c r="P426" s="39">
        <v>55</v>
      </c>
      <c r="R426" s="34"/>
    </row>
    <row r="427" spans="1:18" ht="15.75">
      <c r="A427" s="11" t="s">
        <v>14</v>
      </c>
      <c r="B427" s="69" t="s">
        <v>997</v>
      </c>
      <c r="C427" s="34"/>
      <c r="D427" s="43" t="s">
        <v>998</v>
      </c>
      <c r="E427" s="34" t="s">
        <v>13</v>
      </c>
      <c r="F427" s="6" t="s">
        <v>999</v>
      </c>
      <c r="G427" s="8">
        <v>1</v>
      </c>
      <c r="H427" s="58">
        <v>11</v>
      </c>
      <c r="I427" s="36">
        <f t="shared" si="27"/>
        <v>568.0492623393872</v>
      </c>
      <c r="J427" s="36">
        <f t="shared" si="28"/>
        <v>590.3698212216226</v>
      </c>
      <c r="K427" s="34"/>
      <c r="M427" s="34"/>
      <c r="N427" s="34"/>
      <c r="O427" s="16" t="s">
        <v>45</v>
      </c>
      <c r="P427" s="26">
        <f>P426/P421</f>
        <v>0.21956087824351297</v>
      </c>
      <c r="R427" s="34"/>
    </row>
    <row r="428" spans="1:18" ht="15.75">
      <c r="A428" s="11" t="s">
        <v>38</v>
      </c>
      <c r="B428" s="34" t="s">
        <v>1000</v>
      </c>
      <c r="C428" s="34"/>
      <c r="D428" s="43" t="s">
        <v>1001</v>
      </c>
      <c r="E428" s="34" t="s">
        <v>7</v>
      </c>
      <c r="F428" s="6" t="s">
        <v>1002</v>
      </c>
      <c r="G428" s="8">
        <v>1</v>
      </c>
      <c r="H428" s="58">
        <v>29.5</v>
      </c>
      <c r="I428" s="52">
        <f t="shared" si="27"/>
        <v>1523.4048399101746</v>
      </c>
      <c r="J428" s="36"/>
      <c r="K428" s="34"/>
      <c r="M428" s="34"/>
      <c r="N428" s="34"/>
      <c r="O428" s="81" t="s">
        <v>42</v>
      </c>
      <c r="P428" s="27"/>
      <c r="R428" s="34"/>
    </row>
    <row r="429" spans="1:18" ht="15.75">
      <c r="A429" s="11" t="s">
        <v>38</v>
      </c>
      <c r="B429" s="34" t="s">
        <v>1003</v>
      </c>
      <c r="C429" s="34"/>
      <c r="D429" s="43" t="s">
        <v>1004</v>
      </c>
      <c r="E429" s="34" t="s">
        <v>7</v>
      </c>
      <c r="F429" s="6" t="s">
        <v>1005</v>
      </c>
      <c r="G429" s="8">
        <v>1</v>
      </c>
      <c r="H429" s="58">
        <v>29.5</v>
      </c>
      <c r="I429" s="52">
        <f t="shared" si="27"/>
        <v>1523.4048399101746</v>
      </c>
      <c r="J429" s="36"/>
      <c r="K429" s="34"/>
      <c r="M429" s="34"/>
      <c r="N429" s="34"/>
      <c r="O429" s="16" t="s">
        <v>30</v>
      </c>
      <c r="P429" s="29">
        <f>(1-P427)*(1+P424)</f>
        <v>0.9930931159779495</v>
      </c>
      <c r="R429" s="34"/>
    </row>
    <row r="430" spans="1:18" ht="15.75">
      <c r="A430" s="34" t="s">
        <v>106</v>
      </c>
      <c r="B430" s="34"/>
      <c r="C430" s="34"/>
      <c r="D430" s="43" t="s">
        <v>1006</v>
      </c>
      <c r="E430" s="34" t="s">
        <v>16</v>
      </c>
      <c r="F430" s="6" t="s">
        <v>35</v>
      </c>
      <c r="G430" s="8">
        <v>1</v>
      </c>
      <c r="H430" s="61">
        <v>12.99</v>
      </c>
      <c r="I430" s="37">
        <f>H430*G430*$P$434*$P$432</f>
        <v>859.5347404817736</v>
      </c>
      <c r="J430" s="37">
        <f>H430*G430*$P$434*$P$433</f>
        <v>893.3087404817736</v>
      </c>
      <c r="K430" s="34"/>
      <c r="M430" s="34"/>
      <c r="N430" s="34"/>
      <c r="O430" s="16" t="s">
        <v>31</v>
      </c>
      <c r="P430" s="29">
        <f>(1-P427)*(1+P425)</f>
        <v>1.032115072065774</v>
      </c>
      <c r="R430" s="34"/>
    </row>
    <row r="431" spans="1:18" ht="15.75">
      <c r="A431" s="16" t="s">
        <v>38</v>
      </c>
      <c r="B431" s="44" t="s">
        <v>1007</v>
      </c>
      <c r="C431" s="44"/>
      <c r="D431" s="46" t="s">
        <v>1008</v>
      </c>
      <c r="E431" s="44" t="s">
        <v>13</v>
      </c>
      <c r="F431" s="45" t="s">
        <v>1009</v>
      </c>
      <c r="G431" s="8">
        <v>1</v>
      </c>
      <c r="H431" s="61">
        <v>12.99</v>
      </c>
      <c r="I431" s="53">
        <f>H431*G431*$P$434*$P$432</f>
        <v>859.5347404817736</v>
      </c>
      <c r="J431" s="36">
        <f>52988-53274</f>
        <v>-286</v>
      </c>
      <c r="K431" s="83"/>
      <c r="M431" s="83"/>
      <c r="N431" s="83"/>
      <c r="O431" s="80" t="s">
        <v>43</v>
      </c>
      <c r="P431" s="26"/>
      <c r="R431" s="83"/>
    </row>
    <row r="432" spans="1:18" ht="15.75">
      <c r="A432" s="34" t="s">
        <v>58</v>
      </c>
      <c r="B432" s="34"/>
      <c r="C432" s="34"/>
      <c r="D432" s="43"/>
      <c r="E432" s="34">
        <v>2</v>
      </c>
      <c r="F432" s="6"/>
      <c r="G432" s="8">
        <v>1</v>
      </c>
      <c r="H432" s="61">
        <v>29.99</v>
      </c>
      <c r="I432" s="37">
        <f>H432*G432*$P$434*$P$432</f>
        <v>1984.4069951538406</v>
      </c>
      <c r="J432" s="37">
        <f>H432*G432*$P$434*$P$433</f>
        <v>2062.3809951538406</v>
      </c>
      <c r="K432" s="34"/>
      <c r="M432" s="34"/>
      <c r="N432" s="34"/>
      <c r="O432" s="16" t="s">
        <v>30</v>
      </c>
      <c r="P432" s="30">
        <f>1+P424</f>
        <v>1.2724799260996233</v>
      </c>
      <c r="R432" s="34"/>
    </row>
    <row r="433" spans="1:18" ht="16.5" thickBot="1">
      <c r="A433" s="34" t="s">
        <v>58</v>
      </c>
      <c r="B433" s="34"/>
      <c r="C433" s="34"/>
      <c r="D433" s="43"/>
      <c r="E433" s="34">
        <v>4</v>
      </c>
      <c r="F433" s="6"/>
      <c r="G433" s="8">
        <v>1</v>
      </c>
      <c r="H433" s="61">
        <v>29.99</v>
      </c>
      <c r="I433" s="37">
        <f>H433*G433*$P$434*$P$432</f>
        <v>1984.4069951538406</v>
      </c>
      <c r="J433" s="37">
        <f>H433*G433*$P$434*$P$433</f>
        <v>2062.3809951538406</v>
      </c>
      <c r="K433" s="34"/>
      <c r="M433" s="34"/>
      <c r="N433" s="34"/>
      <c r="O433" s="16" t="s">
        <v>31</v>
      </c>
      <c r="P433" s="30">
        <f>1+P425</f>
        <v>1.3224799260996234</v>
      </c>
      <c r="R433" s="34"/>
    </row>
    <row r="434" spans="1:18" ht="16.5" thickBot="1">
      <c r="A434" s="23" t="s">
        <v>1013</v>
      </c>
      <c r="B434" s="34"/>
      <c r="C434" s="34"/>
      <c r="D434" s="34"/>
      <c r="E434" s="34"/>
      <c r="F434" s="24" t="s">
        <v>1060</v>
      </c>
      <c r="G434" s="8"/>
      <c r="H434" s="35"/>
      <c r="I434" s="35"/>
      <c r="J434" s="34"/>
      <c r="K434" s="34"/>
      <c r="L434" s="34"/>
      <c r="M434" s="34"/>
      <c r="N434" s="34"/>
      <c r="O434" s="31" t="s">
        <v>33</v>
      </c>
      <c r="P434" s="32">
        <v>52</v>
      </c>
      <c r="Q434" s="32"/>
      <c r="R434" s="34"/>
    </row>
    <row r="435" spans="1:18" ht="15.75">
      <c r="A435" s="11" t="s">
        <v>983</v>
      </c>
      <c r="B435" s="69" t="s">
        <v>1014</v>
      </c>
      <c r="C435" s="34"/>
      <c r="D435" s="14" t="s">
        <v>1015</v>
      </c>
      <c r="E435" s="9" t="s">
        <v>7</v>
      </c>
      <c r="F435" s="6" t="s">
        <v>1016</v>
      </c>
      <c r="G435" s="8">
        <v>1</v>
      </c>
      <c r="H435" s="58">
        <v>5.4</v>
      </c>
      <c r="I435" s="36">
        <f aca="true" t="shared" si="29" ref="I435:I458">H435*G435*$P$446*$P$451</f>
        <v>293.24963310795073</v>
      </c>
      <c r="J435" s="36">
        <f aca="true" t="shared" si="30" ref="J435:J458">H435*G435*$P$447*$P$451</f>
        <v>304.2649562571869</v>
      </c>
      <c r="K435" s="34"/>
      <c r="M435" s="34"/>
      <c r="N435" s="34"/>
      <c r="O435" s="34"/>
      <c r="P435" s="34"/>
      <c r="Q435" s="34"/>
      <c r="R435" s="34"/>
    </row>
    <row r="436" spans="1:18" ht="16.5" thickBot="1">
      <c r="A436" s="11" t="s">
        <v>983</v>
      </c>
      <c r="B436" s="34" t="s">
        <v>1017</v>
      </c>
      <c r="C436" s="34"/>
      <c r="D436" s="14" t="s">
        <v>1018</v>
      </c>
      <c r="E436" s="9" t="s">
        <v>7</v>
      </c>
      <c r="F436" s="6" t="s">
        <v>1019</v>
      </c>
      <c r="G436" s="8">
        <v>1</v>
      </c>
      <c r="H436" s="58">
        <v>5.4</v>
      </c>
      <c r="I436" s="36">
        <f t="shared" si="29"/>
        <v>293.24963310795073</v>
      </c>
      <c r="J436" s="36">
        <f t="shared" si="30"/>
        <v>304.2649562571869</v>
      </c>
      <c r="K436" s="34"/>
      <c r="M436" s="34"/>
      <c r="N436" s="34"/>
      <c r="O436" s="34"/>
      <c r="P436" s="34"/>
      <c r="Q436" s="34"/>
      <c r="R436" s="34"/>
    </row>
    <row r="437" spans="1:18" ht="16.5" thickBot="1">
      <c r="A437" s="34" t="s">
        <v>24</v>
      </c>
      <c r="B437" s="34" t="s">
        <v>1020</v>
      </c>
      <c r="C437" s="34"/>
      <c r="D437" s="14" t="s">
        <v>1021</v>
      </c>
      <c r="E437" s="9" t="s">
        <v>7</v>
      </c>
      <c r="F437" s="6" t="s">
        <v>1022</v>
      </c>
      <c r="G437" s="8">
        <v>1</v>
      </c>
      <c r="H437" s="58">
        <v>5.4</v>
      </c>
      <c r="I437" s="36">
        <f t="shared" si="29"/>
        <v>293.24963310795073</v>
      </c>
      <c r="J437" s="36">
        <f t="shared" si="30"/>
        <v>304.2649562571869</v>
      </c>
      <c r="K437" s="50" t="s">
        <v>1023</v>
      </c>
      <c r="M437" s="34"/>
      <c r="N437" s="34"/>
      <c r="O437" s="67" t="s">
        <v>41</v>
      </c>
      <c r="P437" s="64">
        <f>SUM(H435:H461)</f>
        <v>273.2700000000001</v>
      </c>
      <c r="R437" s="34"/>
    </row>
    <row r="438" spans="1:18" ht="15.75">
      <c r="A438" s="11" t="s">
        <v>1024</v>
      </c>
      <c r="B438" s="60" t="s">
        <v>1025</v>
      </c>
      <c r="C438" s="34"/>
      <c r="D438" s="14" t="s">
        <v>1026</v>
      </c>
      <c r="G438" s="8">
        <v>1</v>
      </c>
      <c r="H438" s="58">
        <v>15</v>
      </c>
      <c r="I438" s="36">
        <f t="shared" si="29"/>
        <v>814.582314188752</v>
      </c>
      <c r="J438" s="36">
        <f t="shared" si="30"/>
        <v>845.1804340477413</v>
      </c>
      <c r="K438" s="34"/>
      <c r="M438" s="34"/>
      <c r="N438" s="34"/>
      <c r="O438" s="16" t="s">
        <v>42</v>
      </c>
      <c r="P438" s="64">
        <f>SUM(H435:H458)</f>
        <v>255.30000000000007</v>
      </c>
      <c r="R438" s="34"/>
    </row>
    <row r="439" spans="1:18" ht="15.75">
      <c r="A439" s="11" t="s">
        <v>1024</v>
      </c>
      <c r="B439" s="60" t="s">
        <v>1027</v>
      </c>
      <c r="C439" s="34"/>
      <c r="D439" s="14" t="s">
        <v>1028</v>
      </c>
      <c r="F439" s="15"/>
      <c r="G439" s="8">
        <v>1</v>
      </c>
      <c r="H439" s="58">
        <v>15</v>
      </c>
      <c r="I439" s="36">
        <f t="shared" si="29"/>
        <v>814.582314188752</v>
      </c>
      <c r="J439" s="36">
        <f t="shared" si="30"/>
        <v>845.1804340477413</v>
      </c>
      <c r="K439" s="34"/>
      <c r="M439" s="34"/>
      <c r="N439" s="34"/>
      <c r="O439" s="16" t="s">
        <v>43</v>
      </c>
      <c r="P439" s="25">
        <f>SUM(H459:H461)</f>
        <v>17.97</v>
      </c>
      <c r="R439" s="34"/>
    </row>
    <row r="440" spans="1:18" ht="15.75">
      <c r="A440" s="34" t="s">
        <v>23</v>
      </c>
      <c r="B440" s="60" t="s">
        <v>1029</v>
      </c>
      <c r="C440" s="34"/>
      <c r="D440" s="14" t="s">
        <v>1030</v>
      </c>
      <c r="E440" s="9" t="s">
        <v>12</v>
      </c>
      <c r="F440" s="6" t="s">
        <v>857</v>
      </c>
      <c r="G440" s="8">
        <v>1</v>
      </c>
      <c r="H440" s="58">
        <v>24.75</v>
      </c>
      <c r="I440" s="36">
        <f t="shared" si="29"/>
        <v>1344.0608184114408</v>
      </c>
      <c r="J440" s="36">
        <f t="shared" si="30"/>
        <v>1394.5477161787733</v>
      </c>
      <c r="K440" s="34"/>
      <c r="M440" s="34"/>
      <c r="N440" s="34"/>
      <c r="O440" s="16" t="s">
        <v>29</v>
      </c>
      <c r="P440" s="26">
        <v>56.99</v>
      </c>
      <c r="R440" s="34"/>
    </row>
    <row r="441" spans="1:18" ht="15.75">
      <c r="A441" s="34" t="s">
        <v>23</v>
      </c>
      <c r="B441" s="34" t="s">
        <v>1031</v>
      </c>
      <c r="C441" s="34"/>
      <c r="D441" s="14" t="s">
        <v>1032</v>
      </c>
      <c r="E441" s="9" t="s">
        <v>13</v>
      </c>
      <c r="F441" s="6" t="s">
        <v>1033</v>
      </c>
      <c r="G441" s="8">
        <v>1</v>
      </c>
      <c r="H441" s="58">
        <v>24.75</v>
      </c>
      <c r="I441" s="36">
        <f t="shared" si="29"/>
        <v>1344.0608184114408</v>
      </c>
      <c r="J441" s="36">
        <f t="shared" si="30"/>
        <v>1394.5477161787733</v>
      </c>
      <c r="K441" s="34"/>
      <c r="M441" s="34"/>
      <c r="N441" s="34"/>
      <c r="O441" s="16" t="s">
        <v>32</v>
      </c>
      <c r="P441" s="27">
        <f>P440/(P437-P443)+0.07</f>
        <v>0.3310986392999495</v>
      </c>
      <c r="R441" s="34"/>
    </row>
    <row r="442" spans="1:18" ht="15.75">
      <c r="A442" s="34" t="s">
        <v>1034</v>
      </c>
      <c r="B442" s="34" t="s">
        <v>1035</v>
      </c>
      <c r="C442" s="34"/>
      <c r="D442" s="14" t="s">
        <v>1015</v>
      </c>
      <c r="E442" s="9" t="s">
        <v>20</v>
      </c>
      <c r="F442" s="6" t="s">
        <v>1036</v>
      </c>
      <c r="G442" s="8">
        <v>1</v>
      </c>
      <c r="H442" s="58">
        <v>5.4</v>
      </c>
      <c r="I442" s="36">
        <f t="shared" si="29"/>
        <v>293.24963310795073</v>
      </c>
      <c r="J442" s="36">
        <f t="shared" si="30"/>
        <v>304.2649562571869</v>
      </c>
      <c r="K442" s="34"/>
      <c r="M442" s="34"/>
      <c r="N442" s="34"/>
      <c r="O442" s="16" t="s">
        <v>32</v>
      </c>
      <c r="P442" s="27">
        <f>P440/(P437-P443)+0.12</f>
        <v>0.38109863929994947</v>
      </c>
      <c r="R442" s="34"/>
    </row>
    <row r="443" spans="1:18" ht="15.75">
      <c r="A443" s="34" t="s">
        <v>1034</v>
      </c>
      <c r="B443" s="34" t="s">
        <v>1035</v>
      </c>
      <c r="C443" s="34"/>
      <c r="D443" s="14" t="s">
        <v>1015</v>
      </c>
      <c r="E443" s="9" t="s">
        <v>20</v>
      </c>
      <c r="F443" s="6" t="s">
        <v>1037</v>
      </c>
      <c r="G443" s="8">
        <v>1</v>
      </c>
      <c r="H443" s="58">
        <v>5.4</v>
      </c>
      <c r="I443" s="36">
        <f t="shared" si="29"/>
        <v>293.24963310795073</v>
      </c>
      <c r="J443" s="36">
        <f t="shared" si="30"/>
        <v>304.2649562571869</v>
      </c>
      <c r="K443" s="34"/>
      <c r="M443" s="34"/>
      <c r="N443" s="34"/>
      <c r="O443" s="16" t="s">
        <v>44</v>
      </c>
      <c r="P443" s="39">
        <v>55</v>
      </c>
      <c r="R443" s="34"/>
    </row>
    <row r="444" spans="1:18" ht="15.75">
      <c r="A444" s="34" t="s">
        <v>1034</v>
      </c>
      <c r="B444" s="34" t="s">
        <v>1035</v>
      </c>
      <c r="C444" s="34"/>
      <c r="D444" s="14" t="s">
        <v>1015</v>
      </c>
      <c r="E444" s="9" t="s">
        <v>20</v>
      </c>
      <c r="F444" s="6" t="s">
        <v>28</v>
      </c>
      <c r="G444" s="8">
        <v>1</v>
      </c>
      <c r="H444" s="58">
        <v>5.4</v>
      </c>
      <c r="I444" s="36">
        <f t="shared" si="29"/>
        <v>293.24963310795073</v>
      </c>
      <c r="J444" s="36">
        <f t="shared" si="30"/>
        <v>304.2649562571869</v>
      </c>
      <c r="K444" s="34"/>
      <c r="M444" s="34"/>
      <c r="N444" s="34"/>
      <c r="O444" s="16" t="s">
        <v>45</v>
      </c>
      <c r="P444" s="26">
        <f>P443/P438</f>
        <v>0.21543282412847625</v>
      </c>
      <c r="R444" s="34"/>
    </row>
    <row r="445" spans="1:18" ht="15.75">
      <c r="A445" s="34" t="s">
        <v>1034</v>
      </c>
      <c r="B445" s="34" t="s">
        <v>1035</v>
      </c>
      <c r="C445" s="34"/>
      <c r="D445" s="14" t="s">
        <v>1015</v>
      </c>
      <c r="E445" s="9" t="s">
        <v>20</v>
      </c>
      <c r="F445" s="6" t="s">
        <v>1038</v>
      </c>
      <c r="G445" s="8">
        <v>1</v>
      </c>
      <c r="H445" s="58">
        <v>5.4</v>
      </c>
      <c r="I445" s="36">
        <f t="shared" si="29"/>
        <v>293.24963310795073</v>
      </c>
      <c r="J445" s="36">
        <f t="shared" si="30"/>
        <v>304.2649562571869</v>
      </c>
      <c r="K445" s="34"/>
      <c r="M445" s="34"/>
      <c r="N445" s="34"/>
      <c r="O445" s="81" t="s">
        <v>42</v>
      </c>
      <c r="P445" s="27"/>
      <c r="R445" s="34"/>
    </row>
    <row r="446" spans="1:18" ht="15.75">
      <c r="A446" s="34" t="s">
        <v>1034</v>
      </c>
      <c r="B446" s="34" t="s">
        <v>1035</v>
      </c>
      <c r="C446" s="34"/>
      <c r="D446" s="14" t="s">
        <v>1015</v>
      </c>
      <c r="E446" s="9" t="s">
        <v>20</v>
      </c>
      <c r="F446" s="6" t="s">
        <v>1039</v>
      </c>
      <c r="G446" s="8">
        <v>1</v>
      </c>
      <c r="H446" s="58">
        <v>5.4</v>
      </c>
      <c r="I446" s="36">
        <f t="shared" si="29"/>
        <v>293.24963310795073</v>
      </c>
      <c r="J446" s="36">
        <f t="shared" si="30"/>
        <v>304.2649562571869</v>
      </c>
      <c r="K446" s="34"/>
      <c r="M446" s="34"/>
      <c r="N446" s="34"/>
      <c r="O446" s="16" t="s">
        <v>30</v>
      </c>
      <c r="P446" s="29">
        <f>(1-P444)*(1+P441)</f>
        <v>1.0443363002419896</v>
      </c>
      <c r="R446" s="34"/>
    </row>
    <row r="447" spans="1:18" ht="15.75">
      <c r="A447" s="34" t="s">
        <v>1034</v>
      </c>
      <c r="B447" s="34" t="s">
        <v>1035</v>
      </c>
      <c r="C447" s="34"/>
      <c r="D447" s="14" t="s">
        <v>1015</v>
      </c>
      <c r="E447" s="9" t="s">
        <v>20</v>
      </c>
      <c r="F447" s="6" t="s">
        <v>298</v>
      </c>
      <c r="G447" s="8">
        <v>1</v>
      </c>
      <c r="H447" s="58">
        <v>5.4</v>
      </c>
      <c r="I447" s="36">
        <f t="shared" si="29"/>
        <v>293.24963310795073</v>
      </c>
      <c r="J447" s="36">
        <f t="shared" si="30"/>
        <v>304.2649562571869</v>
      </c>
      <c r="K447" s="34"/>
      <c r="M447" s="34"/>
      <c r="N447" s="34"/>
      <c r="O447" s="16" t="s">
        <v>31</v>
      </c>
      <c r="P447" s="29">
        <f>(1-P444)*(1+P442)</f>
        <v>1.0835646590355659</v>
      </c>
      <c r="R447" s="34"/>
    </row>
    <row r="448" spans="1:18" ht="15.75">
      <c r="A448" s="34" t="s">
        <v>1034</v>
      </c>
      <c r="B448" s="34" t="s">
        <v>1035</v>
      </c>
      <c r="C448" s="34"/>
      <c r="D448" s="14" t="s">
        <v>1015</v>
      </c>
      <c r="E448" s="9" t="s">
        <v>20</v>
      </c>
      <c r="F448" s="6" t="s">
        <v>1040</v>
      </c>
      <c r="G448" s="8">
        <v>1</v>
      </c>
      <c r="H448" s="58">
        <v>5.4</v>
      </c>
      <c r="I448" s="36">
        <f t="shared" si="29"/>
        <v>293.24963310795073</v>
      </c>
      <c r="J448" s="36">
        <f t="shared" si="30"/>
        <v>304.2649562571869</v>
      </c>
      <c r="K448" s="34"/>
      <c r="M448" s="34"/>
      <c r="N448" s="34"/>
      <c r="O448" s="80" t="s">
        <v>43</v>
      </c>
      <c r="P448" s="26"/>
      <c r="R448" s="34"/>
    </row>
    <row r="449" spans="1:18" ht="15.75">
      <c r="A449" s="34" t="s">
        <v>1034</v>
      </c>
      <c r="B449" s="34" t="s">
        <v>1041</v>
      </c>
      <c r="C449" s="34"/>
      <c r="D449" s="14" t="s">
        <v>985</v>
      </c>
      <c r="E449" s="9" t="s">
        <v>20</v>
      </c>
      <c r="F449" s="6" t="s">
        <v>1042</v>
      </c>
      <c r="G449" s="8">
        <v>1</v>
      </c>
      <c r="H449" s="58">
        <v>11</v>
      </c>
      <c r="I449" s="36">
        <f t="shared" si="29"/>
        <v>597.3603637384181</v>
      </c>
      <c r="J449" s="36">
        <f t="shared" si="30"/>
        <v>619.7989849683437</v>
      </c>
      <c r="K449" s="34"/>
      <c r="M449" s="34"/>
      <c r="N449" s="34"/>
      <c r="O449" s="16" t="s">
        <v>30</v>
      </c>
      <c r="P449" s="30">
        <f>1+P441</f>
        <v>1.3310986392999495</v>
      </c>
      <c r="R449" s="34"/>
    </row>
    <row r="450" spans="1:18" ht="15.75">
      <c r="A450" s="34" t="s">
        <v>1034</v>
      </c>
      <c r="B450" s="34" t="s">
        <v>1043</v>
      </c>
      <c r="C450" s="34"/>
      <c r="D450" s="14" t="s">
        <v>1044</v>
      </c>
      <c r="E450" s="9" t="s">
        <v>20</v>
      </c>
      <c r="F450" s="6" t="s">
        <v>1045</v>
      </c>
      <c r="G450" s="8">
        <v>1</v>
      </c>
      <c r="H450" s="58">
        <v>11</v>
      </c>
      <c r="I450" s="36">
        <f t="shared" si="29"/>
        <v>597.3603637384181</v>
      </c>
      <c r="J450" s="36">
        <f t="shared" si="30"/>
        <v>619.7989849683437</v>
      </c>
      <c r="K450" s="34"/>
      <c r="M450" s="34"/>
      <c r="N450" s="34"/>
      <c r="O450" s="16" t="s">
        <v>31</v>
      </c>
      <c r="P450" s="30">
        <f>1+P442</f>
        <v>1.3810986392999496</v>
      </c>
      <c r="R450" s="34"/>
    </row>
    <row r="451" spans="1:18" ht="30.75" thickBot="1">
      <c r="A451" s="34" t="s">
        <v>1034</v>
      </c>
      <c r="B451" s="34" t="s">
        <v>1046</v>
      </c>
      <c r="C451" s="34"/>
      <c r="D451" s="14" t="s">
        <v>1047</v>
      </c>
      <c r="E451" s="9" t="s">
        <v>20</v>
      </c>
      <c r="F451" s="6" t="s">
        <v>1048</v>
      </c>
      <c r="G451" s="8">
        <v>1</v>
      </c>
      <c r="H451" s="58">
        <v>11</v>
      </c>
      <c r="I451" s="36">
        <f t="shared" si="29"/>
        <v>597.3603637384181</v>
      </c>
      <c r="J451" s="36">
        <f t="shared" si="30"/>
        <v>619.7989849683437</v>
      </c>
      <c r="K451" s="34"/>
      <c r="M451" s="34"/>
      <c r="N451" s="34"/>
      <c r="O451" s="31" t="s">
        <v>33</v>
      </c>
      <c r="P451" s="32">
        <v>52</v>
      </c>
      <c r="R451" s="34"/>
    </row>
    <row r="452" spans="1:18" ht="15.75">
      <c r="A452" s="34" t="s">
        <v>14</v>
      </c>
      <c r="B452" s="40" t="s">
        <v>1049</v>
      </c>
      <c r="C452" s="34"/>
      <c r="D452" s="14" t="s">
        <v>998</v>
      </c>
      <c r="E452" s="9" t="s">
        <v>13</v>
      </c>
      <c r="F452" s="6" t="s">
        <v>1050</v>
      </c>
      <c r="G452" s="8">
        <v>1</v>
      </c>
      <c r="H452" s="58">
        <v>11</v>
      </c>
      <c r="I452" s="36">
        <f t="shared" si="29"/>
        <v>597.3603637384181</v>
      </c>
      <c r="J452" s="36">
        <f t="shared" si="30"/>
        <v>619.7989849683437</v>
      </c>
      <c r="K452" s="50" t="s">
        <v>953</v>
      </c>
      <c r="M452" s="34"/>
      <c r="N452" s="34"/>
      <c r="O452" s="34"/>
      <c r="P452" s="34"/>
      <c r="Q452" s="34"/>
      <c r="R452" s="34"/>
    </row>
    <row r="453" spans="1:18" ht="15.75">
      <c r="A453" s="34" t="s">
        <v>14</v>
      </c>
      <c r="B453" s="34" t="s">
        <v>1035</v>
      </c>
      <c r="C453" s="34"/>
      <c r="D453" s="14" t="s">
        <v>1015</v>
      </c>
      <c r="E453" s="9" t="s">
        <v>13</v>
      </c>
      <c r="F453" s="6" t="s">
        <v>1016</v>
      </c>
      <c r="G453" s="8">
        <v>1</v>
      </c>
      <c r="H453" s="58">
        <v>5.4</v>
      </c>
      <c r="I453" s="36">
        <f t="shared" si="29"/>
        <v>293.24963310795073</v>
      </c>
      <c r="J453" s="36">
        <f t="shared" si="30"/>
        <v>304.2649562571869</v>
      </c>
      <c r="K453" s="34"/>
      <c r="M453" s="34"/>
      <c r="N453" s="34"/>
      <c r="O453" s="34"/>
      <c r="P453" s="34"/>
      <c r="Q453" s="34"/>
      <c r="R453" s="34"/>
    </row>
    <row r="454" spans="1:18" ht="15.75">
      <c r="A454" s="34" t="s">
        <v>14</v>
      </c>
      <c r="B454" s="34" t="s">
        <v>1035</v>
      </c>
      <c r="C454" s="34"/>
      <c r="D454" s="14" t="s">
        <v>1015</v>
      </c>
      <c r="E454" s="9" t="s">
        <v>13</v>
      </c>
      <c r="F454" s="6" t="s">
        <v>22</v>
      </c>
      <c r="G454" s="8">
        <v>1</v>
      </c>
      <c r="H454" s="58">
        <v>5.4</v>
      </c>
      <c r="I454" s="36">
        <f t="shared" si="29"/>
        <v>293.24963310795073</v>
      </c>
      <c r="J454" s="36">
        <f t="shared" si="30"/>
        <v>304.2649562571869</v>
      </c>
      <c r="K454" s="34"/>
      <c r="M454" s="34"/>
      <c r="N454" s="34"/>
      <c r="O454" s="34"/>
      <c r="P454" s="34"/>
      <c r="Q454" s="34"/>
      <c r="R454" s="34"/>
    </row>
    <row r="455" spans="1:18" ht="15.75">
      <c r="A455" s="34" t="s">
        <v>14</v>
      </c>
      <c r="B455" s="34" t="s">
        <v>1035</v>
      </c>
      <c r="C455" s="34"/>
      <c r="D455" s="14" t="s">
        <v>1015</v>
      </c>
      <c r="E455" s="9" t="s">
        <v>13</v>
      </c>
      <c r="F455" s="6" t="s">
        <v>294</v>
      </c>
      <c r="G455" s="8">
        <v>1</v>
      </c>
      <c r="H455" s="58">
        <v>5.4</v>
      </c>
      <c r="I455" s="36">
        <f t="shared" si="29"/>
        <v>293.24963310795073</v>
      </c>
      <c r="J455" s="36">
        <f t="shared" si="30"/>
        <v>304.2649562571869</v>
      </c>
      <c r="K455" s="34"/>
      <c r="M455" s="34"/>
      <c r="N455" s="34"/>
      <c r="O455" s="34"/>
      <c r="P455" s="34"/>
      <c r="Q455" s="34"/>
      <c r="R455" s="34"/>
    </row>
    <row r="456" spans="1:18" ht="15.75">
      <c r="A456" s="34" t="s">
        <v>14</v>
      </c>
      <c r="B456" s="34" t="s">
        <v>1035</v>
      </c>
      <c r="C456" s="34"/>
      <c r="D456" s="14" t="s">
        <v>1015</v>
      </c>
      <c r="E456" s="9" t="s">
        <v>20</v>
      </c>
      <c r="F456" s="6" t="s">
        <v>330</v>
      </c>
      <c r="G456" s="8">
        <v>1</v>
      </c>
      <c r="H456" s="58">
        <v>5.4</v>
      </c>
      <c r="I456" s="36">
        <f t="shared" si="29"/>
        <v>293.24963310795073</v>
      </c>
      <c r="J456" s="36">
        <f t="shared" si="30"/>
        <v>304.2649562571869</v>
      </c>
      <c r="K456" s="34"/>
      <c r="M456" s="34"/>
      <c r="N456" s="34"/>
      <c r="O456" s="34"/>
      <c r="P456" s="34"/>
      <c r="Q456" s="34"/>
      <c r="R456" s="34"/>
    </row>
    <row r="457" spans="1:18" ht="15.75">
      <c r="A457" s="34" t="s">
        <v>234</v>
      </c>
      <c r="B457" s="34" t="s">
        <v>1051</v>
      </c>
      <c r="C457" s="34"/>
      <c r="D457" s="14" t="s">
        <v>1052</v>
      </c>
      <c r="E457" s="9" t="s">
        <v>1053</v>
      </c>
      <c r="F457" s="6" t="s">
        <v>35</v>
      </c>
      <c r="G457" s="8">
        <v>1</v>
      </c>
      <c r="H457" s="58">
        <v>45.2</v>
      </c>
      <c r="I457" s="36">
        <f t="shared" si="29"/>
        <v>2454.6080400887727</v>
      </c>
      <c r="J457" s="85">
        <f>I457-685</f>
        <v>1769.6080400887727</v>
      </c>
      <c r="K457" s="34"/>
      <c r="M457" s="34"/>
      <c r="N457" s="34"/>
      <c r="O457" s="34"/>
      <c r="P457" s="34"/>
      <c r="Q457" s="34"/>
      <c r="R457" s="34"/>
    </row>
    <row r="458" spans="1:18" ht="30">
      <c r="A458" s="34" t="s">
        <v>412</v>
      </c>
      <c r="B458" s="34" t="s">
        <v>1046</v>
      </c>
      <c r="C458" s="34"/>
      <c r="E458" s="9" t="s">
        <v>7</v>
      </c>
      <c r="F458" s="6" t="s">
        <v>1048</v>
      </c>
      <c r="G458" s="8">
        <v>1</v>
      </c>
      <c r="H458" s="58">
        <v>11</v>
      </c>
      <c r="I458" s="36">
        <f t="shared" si="29"/>
        <v>597.3603637384181</v>
      </c>
      <c r="J458" s="36">
        <f t="shared" si="30"/>
        <v>619.7989849683437</v>
      </c>
      <c r="K458" s="34"/>
      <c r="M458" s="34"/>
      <c r="N458" s="34"/>
      <c r="O458" s="34"/>
      <c r="P458" s="34"/>
      <c r="Q458" s="34"/>
      <c r="R458" s="34"/>
    </row>
    <row r="459" spans="1:18" ht="15.75">
      <c r="A459" s="16" t="s">
        <v>983</v>
      </c>
      <c r="B459" s="62" t="s">
        <v>1054</v>
      </c>
      <c r="C459" s="44"/>
      <c r="D459" s="19" t="s">
        <v>1055</v>
      </c>
      <c r="E459" s="8" t="s">
        <v>7</v>
      </c>
      <c r="F459" s="18" t="s">
        <v>98</v>
      </c>
      <c r="G459" s="8">
        <v>1</v>
      </c>
      <c r="H459" s="63">
        <v>3.99</v>
      </c>
      <c r="I459" s="37">
        <f>H459*G459*$P$451*$P$449</f>
        <v>276.17634568195353</v>
      </c>
      <c r="J459" s="37">
        <f>H459*G459*$P$451*$P$450</f>
        <v>286.55034568195356</v>
      </c>
      <c r="K459" s="83"/>
      <c r="M459" s="83"/>
      <c r="N459" s="83"/>
      <c r="O459" s="83"/>
      <c r="P459" s="83"/>
      <c r="Q459" s="83"/>
      <c r="R459" s="83"/>
    </row>
    <row r="460" spans="1:18" ht="15.75">
      <c r="A460" s="16" t="s">
        <v>983</v>
      </c>
      <c r="B460" s="62" t="s">
        <v>1056</v>
      </c>
      <c r="C460" s="44"/>
      <c r="D460" s="19" t="s">
        <v>1057</v>
      </c>
      <c r="E460" s="8" t="s">
        <v>7</v>
      </c>
      <c r="F460" s="18" t="s">
        <v>1058</v>
      </c>
      <c r="G460" s="8">
        <v>1</v>
      </c>
      <c r="H460" s="63">
        <v>9.99</v>
      </c>
      <c r="I460" s="37">
        <f>H460*G460*$P$451*$P$449</f>
        <v>691.4791211435378</v>
      </c>
      <c r="J460" s="37">
        <f>H460*G460*$P$451*$P$450</f>
        <v>717.4531211435378</v>
      </c>
      <c r="K460" s="83"/>
      <c r="M460" s="83"/>
      <c r="N460" s="83"/>
      <c r="O460" s="83"/>
      <c r="P460" s="83"/>
      <c r="Q460" s="83"/>
      <c r="R460" s="83"/>
    </row>
    <row r="461" spans="1:18" ht="15.75">
      <c r="A461" s="34" t="s">
        <v>1034</v>
      </c>
      <c r="B461" s="62" t="s">
        <v>598</v>
      </c>
      <c r="C461" s="44"/>
      <c r="D461" s="14" t="s">
        <v>1059</v>
      </c>
      <c r="E461" s="8" t="s">
        <v>20</v>
      </c>
      <c r="F461" s="6" t="s">
        <v>600</v>
      </c>
      <c r="G461" s="8">
        <v>1</v>
      </c>
      <c r="H461" s="63">
        <v>3.99</v>
      </c>
      <c r="I461" s="37">
        <f>H461*G461*$P$451*$P$449</f>
        <v>276.17634568195353</v>
      </c>
      <c r="J461" s="37">
        <f>H461*G461*$P$451*$P$450</f>
        <v>286.55034568195356</v>
      </c>
      <c r="K461" s="83"/>
      <c r="M461" s="83"/>
      <c r="N461" s="83"/>
      <c r="O461" s="83"/>
      <c r="P461" s="83"/>
      <c r="Q461" s="83"/>
      <c r="R461" s="83"/>
    </row>
    <row r="462" ht="15.75" thickBot="1"/>
    <row r="463" spans="1:20" ht="16.5" thickBot="1">
      <c r="A463" s="23" t="s">
        <v>1068</v>
      </c>
      <c r="B463" s="34"/>
      <c r="C463" s="34"/>
      <c r="D463" s="34"/>
      <c r="E463" s="34"/>
      <c r="F463" s="24" t="s">
        <v>1109</v>
      </c>
      <c r="G463" s="8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 ht="16.5" thickBot="1">
      <c r="A464" s="34" t="s">
        <v>622</v>
      </c>
      <c r="B464" s="34" t="s">
        <v>1069</v>
      </c>
      <c r="C464" s="34"/>
      <c r="D464" s="43" t="s">
        <v>1070</v>
      </c>
      <c r="E464" s="34" t="s">
        <v>16</v>
      </c>
      <c r="F464" s="6" t="s">
        <v>684</v>
      </c>
      <c r="G464" s="8">
        <v>1</v>
      </c>
      <c r="H464" s="58">
        <v>10</v>
      </c>
      <c r="I464" s="36">
        <f aca="true" t="shared" si="31" ref="I464:I486">H464*G464*$P$473*$P$478</f>
        <v>545.3186767251129</v>
      </c>
      <c r="J464" s="36">
        <f aca="true" t="shared" si="32" ref="J464:J486">H464*G464*$P$474*$P$478</f>
        <v>565.6530665824821</v>
      </c>
      <c r="K464" s="34"/>
      <c r="M464" s="34"/>
      <c r="N464" s="34"/>
      <c r="O464" s="67" t="s">
        <v>41</v>
      </c>
      <c r="P464" s="64">
        <f>SUM(H464:H487)</f>
        <v>265.39</v>
      </c>
      <c r="R464" s="34"/>
      <c r="S464" s="34"/>
      <c r="T464" s="34"/>
    </row>
    <row r="465" spans="1:20" ht="15.75">
      <c r="A465" s="16" t="s">
        <v>56</v>
      </c>
      <c r="B465" s="34" t="s">
        <v>1071</v>
      </c>
      <c r="C465" s="34"/>
      <c r="D465" s="43" t="s">
        <v>1072</v>
      </c>
      <c r="E465" s="34" t="s">
        <v>53</v>
      </c>
      <c r="F465" s="6" t="s">
        <v>1073</v>
      </c>
      <c r="G465" s="8">
        <v>1</v>
      </c>
      <c r="H465" s="58">
        <v>37.5</v>
      </c>
      <c r="I465" s="36">
        <f t="shared" si="31"/>
        <v>2044.9450377191733</v>
      </c>
      <c r="J465" s="36">
        <f t="shared" si="32"/>
        <v>2121.198999684308</v>
      </c>
      <c r="K465" s="34"/>
      <c r="M465" s="34"/>
      <c r="N465" s="34"/>
      <c r="O465" s="16" t="s">
        <v>42</v>
      </c>
      <c r="P465" s="64">
        <f>SUM(H464:H486)</f>
        <v>252.4</v>
      </c>
      <c r="R465" s="34"/>
      <c r="S465" s="34"/>
      <c r="T465" s="34"/>
    </row>
    <row r="466" spans="1:20" ht="15.75">
      <c r="A466" s="34" t="s">
        <v>14</v>
      </c>
      <c r="B466" s="34" t="s">
        <v>1035</v>
      </c>
      <c r="C466" s="34"/>
      <c r="D466" s="43" t="s">
        <v>1015</v>
      </c>
      <c r="E466" s="34" t="s">
        <v>20</v>
      </c>
      <c r="F466" s="6" t="s">
        <v>1038</v>
      </c>
      <c r="G466" s="8">
        <v>1</v>
      </c>
      <c r="H466" s="58">
        <v>5.4</v>
      </c>
      <c r="I466" s="36">
        <f t="shared" si="31"/>
        <v>294.472085431561</v>
      </c>
      <c r="J466" s="36">
        <f t="shared" si="32"/>
        <v>305.4526559545404</v>
      </c>
      <c r="K466" s="34"/>
      <c r="M466" s="34"/>
      <c r="N466" s="34"/>
      <c r="O466" s="16" t="s">
        <v>43</v>
      </c>
      <c r="P466" s="25">
        <f>SUM(H487)</f>
        <v>12.99</v>
      </c>
      <c r="R466" s="34"/>
      <c r="S466" s="34"/>
      <c r="T466" s="34"/>
    </row>
    <row r="467" spans="1:20" ht="15.75">
      <c r="A467" s="34" t="s">
        <v>412</v>
      </c>
      <c r="B467" s="34" t="s">
        <v>1035</v>
      </c>
      <c r="C467" s="34"/>
      <c r="D467" s="43" t="s">
        <v>1015</v>
      </c>
      <c r="E467" s="34" t="s">
        <v>7</v>
      </c>
      <c r="F467" s="6" t="s">
        <v>1039</v>
      </c>
      <c r="G467" s="8">
        <v>1</v>
      </c>
      <c r="H467" s="58">
        <v>5.4</v>
      </c>
      <c r="I467" s="36">
        <f t="shared" si="31"/>
        <v>294.472085431561</v>
      </c>
      <c r="J467" s="36">
        <f t="shared" si="32"/>
        <v>305.4526559545404</v>
      </c>
      <c r="K467" s="34"/>
      <c r="M467" s="34"/>
      <c r="N467" s="34"/>
      <c r="O467" s="16" t="s">
        <v>29</v>
      </c>
      <c r="P467" s="26">
        <v>56.99</v>
      </c>
      <c r="R467" s="34"/>
      <c r="S467" s="34"/>
      <c r="T467" s="34"/>
    </row>
    <row r="468" spans="1:20" ht="15.75">
      <c r="A468" s="34" t="s">
        <v>412</v>
      </c>
      <c r="B468" s="34" t="s">
        <v>1061</v>
      </c>
      <c r="C468" s="34"/>
      <c r="D468" s="43" t="s">
        <v>1062</v>
      </c>
      <c r="E468" s="34" t="s">
        <v>7</v>
      </c>
      <c r="F468" s="6" t="s">
        <v>817</v>
      </c>
      <c r="G468" s="8">
        <v>1</v>
      </c>
      <c r="H468" s="58">
        <v>5.4</v>
      </c>
      <c r="I468" s="36">
        <f t="shared" si="31"/>
        <v>294.472085431561</v>
      </c>
      <c r="J468" s="36">
        <f t="shared" si="32"/>
        <v>305.4526559545404</v>
      </c>
      <c r="K468" s="34"/>
      <c r="M468" s="34"/>
      <c r="N468" s="34"/>
      <c r="O468" s="16" t="s">
        <v>32</v>
      </c>
      <c r="P468" s="27">
        <f>P467/(P464-P470)+0.07</f>
        <v>0.34087789343599983</v>
      </c>
      <c r="R468" s="34"/>
      <c r="S468" s="34"/>
      <c r="T468" s="34"/>
    </row>
    <row r="469" spans="1:20" ht="15.75">
      <c r="A469" s="34" t="s">
        <v>412</v>
      </c>
      <c r="B469" s="34" t="s">
        <v>1063</v>
      </c>
      <c r="C469" s="34"/>
      <c r="D469" s="43" t="s">
        <v>1064</v>
      </c>
      <c r="E469" s="34" t="s">
        <v>7</v>
      </c>
      <c r="F469" s="6" t="s">
        <v>1074</v>
      </c>
      <c r="G469" s="8">
        <v>1</v>
      </c>
      <c r="H469" s="58">
        <v>5.4</v>
      </c>
      <c r="I469" s="36">
        <f t="shared" si="31"/>
        <v>294.472085431561</v>
      </c>
      <c r="J469" s="36">
        <f t="shared" si="32"/>
        <v>305.4526559545404</v>
      </c>
      <c r="K469" s="34"/>
      <c r="M469" s="34"/>
      <c r="N469" s="34"/>
      <c r="O469" s="16" t="s">
        <v>32</v>
      </c>
      <c r="P469" s="27">
        <f>P467/(P464-P470)+0.12</f>
        <v>0.3908778934359998</v>
      </c>
      <c r="R469" s="34"/>
      <c r="S469" s="34"/>
      <c r="T469" s="34"/>
    </row>
    <row r="470" spans="1:20" ht="15.75">
      <c r="A470" s="34" t="s">
        <v>14</v>
      </c>
      <c r="B470" s="34" t="s">
        <v>1075</v>
      </c>
      <c r="C470" s="34"/>
      <c r="D470" s="43" t="s">
        <v>1076</v>
      </c>
      <c r="E470" s="34" t="s">
        <v>13</v>
      </c>
      <c r="F470" s="6" t="s">
        <v>1077</v>
      </c>
      <c r="G470" s="8">
        <v>1</v>
      </c>
      <c r="H470" s="58">
        <v>5.4</v>
      </c>
      <c r="I470" s="36">
        <f t="shared" si="31"/>
        <v>294.472085431561</v>
      </c>
      <c r="J470" s="36">
        <f t="shared" si="32"/>
        <v>305.4526559545404</v>
      </c>
      <c r="K470" s="34"/>
      <c r="M470" s="34"/>
      <c r="N470" s="34"/>
      <c r="O470" s="16" t="s">
        <v>44</v>
      </c>
      <c r="P470" s="39">
        <v>55</v>
      </c>
      <c r="R470" s="34"/>
      <c r="S470" s="34"/>
      <c r="T470" s="34"/>
    </row>
    <row r="471" spans="1:20" ht="15.75">
      <c r="A471" s="34" t="s">
        <v>14</v>
      </c>
      <c r="B471" s="34" t="s">
        <v>1075</v>
      </c>
      <c r="C471" s="34"/>
      <c r="D471" s="43" t="s">
        <v>1076</v>
      </c>
      <c r="E471" s="34" t="s">
        <v>13</v>
      </c>
      <c r="F471" s="6" t="s">
        <v>810</v>
      </c>
      <c r="G471" s="8">
        <v>1</v>
      </c>
      <c r="H471" s="58">
        <v>5.4</v>
      </c>
      <c r="I471" s="36">
        <f t="shared" si="31"/>
        <v>294.472085431561</v>
      </c>
      <c r="J471" s="36">
        <f t="shared" si="32"/>
        <v>305.4526559545404</v>
      </c>
      <c r="K471" s="34"/>
      <c r="M471" s="34"/>
      <c r="N471" s="34"/>
      <c r="O471" s="16" t="s">
        <v>45</v>
      </c>
      <c r="P471" s="26">
        <f>P470/P465</f>
        <v>0.2179080824088748</v>
      </c>
      <c r="R471" s="34"/>
      <c r="S471" s="34"/>
      <c r="T471" s="34"/>
    </row>
    <row r="472" spans="1:20" ht="15.75">
      <c r="A472" s="34" t="s">
        <v>1034</v>
      </c>
      <c r="B472" s="34" t="s">
        <v>1065</v>
      </c>
      <c r="C472" s="34"/>
      <c r="D472" s="43" t="s">
        <v>1078</v>
      </c>
      <c r="E472" s="34"/>
      <c r="F472" s="6" t="s">
        <v>356</v>
      </c>
      <c r="G472" s="8">
        <v>1</v>
      </c>
      <c r="H472" s="58">
        <v>5</v>
      </c>
      <c r="I472" s="36">
        <f t="shared" si="31"/>
        <v>272.65933836255647</v>
      </c>
      <c r="J472" s="36">
        <f t="shared" si="32"/>
        <v>282.82653329124105</v>
      </c>
      <c r="K472" s="34"/>
      <c r="M472" s="34"/>
      <c r="N472" s="34"/>
      <c r="O472" s="81" t="s">
        <v>42</v>
      </c>
      <c r="P472" s="27"/>
      <c r="R472" s="34"/>
      <c r="S472" s="34"/>
      <c r="T472" s="34"/>
    </row>
    <row r="473" spans="1:20" ht="15.75">
      <c r="A473" s="34" t="s">
        <v>1034</v>
      </c>
      <c r="B473" s="34" t="s">
        <v>1066</v>
      </c>
      <c r="C473" s="34"/>
      <c r="D473" s="43" t="s">
        <v>1079</v>
      </c>
      <c r="E473" s="34"/>
      <c r="F473" s="6" t="s">
        <v>73</v>
      </c>
      <c r="G473" s="8">
        <v>1</v>
      </c>
      <c r="H473" s="58">
        <v>5</v>
      </c>
      <c r="I473" s="36">
        <f t="shared" si="31"/>
        <v>272.65933836255647</v>
      </c>
      <c r="J473" s="36">
        <f t="shared" si="32"/>
        <v>282.82653329124105</v>
      </c>
      <c r="K473" s="50" t="s">
        <v>1080</v>
      </c>
      <c r="M473" s="34"/>
      <c r="N473" s="34"/>
      <c r="O473" s="16" t="s">
        <v>30</v>
      </c>
      <c r="P473" s="29">
        <f>(1-P471)*(1+P468)</f>
        <v>1.0486897629329095</v>
      </c>
      <c r="R473" s="34"/>
      <c r="S473" s="34"/>
      <c r="T473" s="34"/>
    </row>
    <row r="474" spans="1:20" ht="15.75">
      <c r="A474" s="34" t="s">
        <v>58</v>
      </c>
      <c r="B474" s="34" t="s">
        <v>1081</v>
      </c>
      <c r="C474" s="34"/>
      <c r="D474" s="43" t="s">
        <v>1082</v>
      </c>
      <c r="E474" s="34"/>
      <c r="F474" s="6" t="s">
        <v>1083</v>
      </c>
      <c r="G474" s="8">
        <v>1</v>
      </c>
      <c r="H474" s="58">
        <v>5</v>
      </c>
      <c r="I474" s="36">
        <f t="shared" si="31"/>
        <v>272.65933836255647</v>
      </c>
      <c r="J474" s="36">
        <f t="shared" si="32"/>
        <v>282.82653329124105</v>
      </c>
      <c r="K474" s="34"/>
      <c r="M474" s="34"/>
      <c r="N474" s="34"/>
      <c r="O474" s="16" t="s">
        <v>31</v>
      </c>
      <c r="P474" s="29">
        <f>(1-P471)*(1+P469)</f>
        <v>1.0877943588124657</v>
      </c>
      <c r="R474" s="34"/>
      <c r="S474" s="34"/>
      <c r="T474" s="34"/>
    </row>
    <row r="475" spans="1:20" ht="15.75">
      <c r="A475" s="34" t="s">
        <v>58</v>
      </c>
      <c r="B475" s="34" t="s">
        <v>1084</v>
      </c>
      <c r="C475" s="34"/>
      <c r="D475" s="43" t="s">
        <v>1085</v>
      </c>
      <c r="E475" s="34"/>
      <c r="F475" s="6" t="s">
        <v>369</v>
      </c>
      <c r="G475" s="8">
        <v>1</v>
      </c>
      <c r="H475" s="58">
        <v>5</v>
      </c>
      <c r="I475" s="36">
        <f t="shared" si="31"/>
        <v>272.65933836255647</v>
      </c>
      <c r="J475" s="36">
        <f t="shared" si="32"/>
        <v>282.82653329124105</v>
      </c>
      <c r="K475" s="34"/>
      <c r="M475" s="34"/>
      <c r="N475" s="34"/>
      <c r="O475" s="80" t="s">
        <v>43</v>
      </c>
      <c r="P475" s="26"/>
      <c r="R475" s="34"/>
      <c r="S475" s="34"/>
      <c r="T475" s="34"/>
    </row>
    <row r="476" spans="1:20" ht="15.75">
      <c r="A476" s="34" t="s">
        <v>58</v>
      </c>
      <c r="B476" s="34" t="s">
        <v>1086</v>
      </c>
      <c r="C476" s="34"/>
      <c r="D476" s="43" t="s">
        <v>1087</v>
      </c>
      <c r="E476" s="34"/>
      <c r="F476" s="6" t="s">
        <v>48</v>
      </c>
      <c r="G476" s="8">
        <v>1</v>
      </c>
      <c r="H476" s="58">
        <v>5</v>
      </c>
      <c r="I476" s="36">
        <f t="shared" si="31"/>
        <v>272.65933836255647</v>
      </c>
      <c r="J476" s="36">
        <f t="shared" si="32"/>
        <v>282.82653329124105</v>
      </c>
      <c r="K476" s="34"/>
      <c r="M476" s="34"/>
      <c r="N476" s="34"/>
      <c r="O476" s="16" t="s">
        <v>30</v>
      </c>
      <c r="P476" s="30">
        <f>1+P468</f>
        <v>1.3408778934359997</v>
      </c>
      <c r="R476" s="34"/>
      <c r="S476" s="34"/>
      <c r="T476" s="34"/>
    </row>
    <row r="477" spans="1:20" ht="15.75">
      <c r="A477" s="34" t="s">
        <v>58</v>
      </c>
      <c r="B477" s="34" t="s">
        <v>1088</v>
      </c>
      <c r="C477" s="34"/>
      <c r="D477" s="43" t="s">
        <v>1089</v>
      </c>
      <c r="E477" s="34"/>
      <c r="F477" s="6" t="s">
        <v>105</v>
      </c>
      <c r="G477" s="8">
        <v>1</v>
      </c>
      <c r="H477" s="58">
        <v>5</v>
      </c>
      <c r="I477" s="36">
        <f t="shared" si="31"/>
        <v>272.65933836255647</v>
      </c>
      <c r="J477" s="36">
        <f t="shared" si="32"/>
        <v>282.82653329124105</v>
      </c>
      <c r="K477" s="34"/>
      <c r="M477" s="34"/>
      <c r="N477" s="34"/>
      <c r="O477" s="16" t="s">
        <v>31</v>
      </c>
      <c r="P477" s="30">
        <f>1+P469</f>
        <v>1.3908778934359998</v>
      </c>
      <c r="R477" s="34"/>
      <c r="S477" s="34"/>
      <c r="T477" s="34"/>
    </row>
    <row r="478" spans="1:20" ht="16.5" thickBot="1">
      <c r="A478" s="34" t="s">
        <v>58</v>
      </c>
      <c r="B478" s="34" t="s">
        <v>1090</v>
      </c>
      <c r="C478" s="34"/>
      <c r="D478" s="43" t="s">
        <v>1091</v>
      </c>
      <c r="E478" s="34"/>
      <c r="F478" s="6" t="s">
        <v>72</v>
      </c>
      <c r="G478" s="8">
        <v>1</v>
      </c>
      <c r="H478" s="58">
        <v>5</v>
      </c>
      <c r="I478" s="36">
        <f t="shared" si="31"/>
        <v>272.65933836255647</v>
      </c>
      <c r="J478" s="36">
        <f t="shared" si="32"/>
        <v>282.82653329124105</v>
      </c>
      <c r="K478" s="34"/>
      <c r="M478" s="34"/>
      <c r="N478" s="34"/>
      <c r="O478" s="31" t="s">
        <v>33</v>
      </c>
      <c r="P478" s="32">
        <v>52</v>
      </c>
      <c r="R478" s="34"/>
      <c r="S478" s="34"/>
      <c r="T478" s="34"/>
    </row>
    <row r="479" spans="1:20" ht="15.75">
      <c r="A479" s="34" t="s">
        <v>1092</v>
      </c>
      <c r="B479" s="34" t="s">
        <v>1093</v>
      </c>
      <c r="C479" s="34"/>
      <c r="D479" s="43" t="s">
        <v>1094</v>
      </c>
      <c r="E479" s="34"/>
      <c r="F479" s="6" t="s">
        <v>1095</v>
      </c>
      <c r="G479" s="8">
        <v>1</v>
      </c>
      <c r="H479" s="58">
        <v>20</v>
      </c>
      <c r="I479" s="36">
        <f t="shared" si="31"/>
        <v>1090.6373534502259</v>
      </c>
      <c r="J479" s="36">
        <f t="shared" si="32"/>
        <v>1131.3061331649642</v>
      </c>
      <c r="K479" s="34"/>
      <c r="M479" s="34"/>
      <c r="N479" s="34"/>
      <c r="O479" s="34"/>
      <c r="P479" s="34"/>
      <c r="Q479" s="34"/>
      <c r="R479" s="34"/>
      <c r="S479" s="34"/>
      <c r="T479" s="34"/>
    </row>
    <row r="480" spans="1:20" ht="15.75">
      <c r="A480" s="34" t="s">
        <v>1092</v>
      </c>
      <c r="B480" s="34" t="s">
        <v>1096</v>
      </c>
      <c r="C480" s="34"/>
      <c r="D480" s="43" t="s">
        <v>1097</v>
      </c>
      <c r="E480" s="34"/>
      <c r="F480" s="6" t="s">
        <v>1098</v>
      </c>
      <c r="G480" s="8">
        <v>1</v>
      </c>
      <c r="H480" s="58">
        <v>5</v>
      </c>
      <c r="I480" s="36">
        <f t="shared" si="31"/>
        <v>272.65933836255647</v>
      </c>
      <c r="J480" s="36">
        <f t="shared" si="32"/>
        <v>282.82653329124105</v>
      </c>
      <c r="K480" s="34"/>
      <c r="M480" s="34"/>
      <c r="N480" s="34"/>
      <c r="O480" s="34"/>
      <c r="P480" s="34"/>
      <c r="Q480" s="34"/>
      <c r="R480" s="34"/>
      <c r="S480" s="34"/>
      <c r="T480" s="34"/>
    </row>
    <row r="481" spans="1:20" ht="15.75">
      <c r="A481" s="34" t="s">
        <v>1092</v>
      </c>
      <c r="B481" s="34" t="s">
        <v>1096</v>
      </c>
      <c r="C481" s="34"/>
      <c r="D481" s="43" t="s">
        <v>1097</v>
      </c>
      <c r="E481" s="34"/>
      <c r="F481" s="6" t="s">
        <v>1099</v>
      </c>
      <c r="G481" s="8">
        <v>1</v>
      </c>
      <c r="H481" s="58">
        <v>5</v>
      </c>
      <c r="I481" s="36">
        <f t="shared" si="31"/>
        <v>272.65933836255647</v>
      </c>
      <c r="J481" s="36">
        <f t="shared" si="32"/>
        <v>282.82653329124105</v>
      </c>
      <c r="K481" s="34"/>
      <c r="M481" s="34"/>
      <c r="N481" s="34"/>
      <c r="O481" s="34"/>
      <c r="P481" s="34"/>
      <c r="Q481" s="34"/>
      <c r="R481" s="34"/>
      <c r="S481" s="34"/>
      <c r="T481" s="34"/>
    </row>
    <row r="482" spans="1:20" ht="15.75">
      <c r="A482" s="34" t="s">
        <v>1092</v>
      </c>
      <c r="B482" s="34" t="s">
        <v>1100</v>
      </c>
      <c r="C482" s="34"/>
      <c r="D482" s="43" t="s">
        <v>1101</v>
      </c>
      <c r="E482" s="34"/>
      <c r="F482" s="6" t="s">
        <v>219</v>
      </c>
      <c r="G482" s="8">
        <v>1</v>
      </c>
      <c r="H482" s="58">
        <v>5</v>
      </c>
      <c r="I482" s="36">
        <f t="shared" si="31"/>
        <v>272.65933836255647</v>
      </c>
      <c r="J482" s="36">
        <f t="shared" si="32"/>
        <v>282.82653329124105</v>
      </c>
      <c r="K482" s="34"/>
      <c r="M482" s="34"/>
      <c r="N482" s="34"/>
      <c r="O482" s="34"/>
      <c r="P482" s="34"/>
      <c r="Q482" s="34"/>
      <c r="R482" s="34"/>
      <c r="S482" s="34"/>
      <c r="T482" s="34"/>
    </row>
    <row r="483" spans="1:20" ht="15.75">
      <c r="A483" s="34" t="s">
        <v>1092</v>
      </c>
      <c r="B483" s="34" t="s">
        <v>1100</v>
      </c>
      <c r="C483" s="34"/>
      <c r="D483" s="43" t="s">
        <v>1101</v>
      </c>
      <c r="E483" s="34"/>
      <c r="F483" s="6" t="s">
        <v>1102</v>
      </c>
      <c r="G483" s="8">
        <v>1</v>
      </c>
      <c r="H483" s="58">
        <v>5</v>
      </c>
      <c r="I483" s="36">
        <f t="shared" si="31"/>
        <v>272.65933836255647</v>
      </c>
      <c r="J483" s="36">
        <f t="shared" si="32"/>
        <v>282.82653329124105</v>
      </c>
      <c r="K483" s="34"/>
      <c r="M483" s="34"/>
      <c r="N483" s="34"/>
      <c r="O483" s="34"/>
      <c r="P483" s="34"/>
      <c r="Q483" s="34"/>
      <c r="R483" s="34"/>
      <c r="S483" s="34"/>
      <c r="T483" s="34"/>
    </row>
    <row r="484" spans="1:20" ht="15.75">
      <c r="A484" s="34" t="s">
        <v>1103</v>
      </c>
      <c r="B484" s="60" t="s">
        <v>1104</v>
      </c>
      <c r="C484" s="34"/>
      <c r="D484" s="43" t="s">
        <v>1105</v>
      </c>
      <c r="E484" s="34" t="s">
        <v>20</v>
      </c>
      <c r="F484" s="6" t="s">
        <v>1106</v>
      </c>
      <c r="G484" s="8">
        <v>1</v>
      </c>
      <c r="H484" s="58">
        <v>48.5</v>
      </c>
      <c r="I484" s="36">
        <f t="shared" si="31"/>
        <v>2644.795582116798</v>
      </c>
      <c r="J484" s="36">
        <f t="shared" si="32"/>
        <v>2743.4173729250383</v>
      </c>
      <c r="K484" s="34"/>
      <c r="M484" s="34"/>
      <c r="N484" s="34"/>
      <c r="O484" s="34"/>
      <c r="P484" s="34"/>
      <c r="Q484" s="34"/>
      <c r="R484" s="34"/>
      <c r="S484" s="34"/>
      <c r="T484" s="34"/>
    </row>
    <row r="485" spans="1:20" ht="15.75">
      <c r="A485" s="34" t="s">
        <v>1103</v>
      </c>
      <c r="B485" s="60" t="s">
        <v>1104</v>
      </c>
      <c r="C485" s="34"/>
      <c r="D485" s="43" t="s">
        <v>1107</v>
      </c>
      <c r="E485" s="34" t="s">
        <v>13</v>
      </c>
      <c r="F485" s="6" t="s">
        <v>1106</v>
      </c>
      <c r="G485" s="8">
        <v>1</v>
      </c>
      <c r="H485" s="58">
        <v>24.5</v>
      </c>
      <c r="I485" s="36">
        <f t="shared" si="31"/>
        <v>1336.0307579765267</v>
      </c>
      <c r="J485" s="36">
        <f t="shared" si="32"/>
        <v>1385.8500131270812</v>
      </c>
      <c r="K485" s="34"/>
      <c r="M485" s="34"/>
      <c r="N485" s="34"/>
      <c r="O485" s="34"/>
      <c r="P485" s="34"/>
      <c r="Q485" s="34"/>
      <c r="R485" s="34"/>
      <c r="S485" s="34"/>
      <c r="T485" s="34"/>
    </row>
    <row r="486" spans="1:20" ht="15.75">
      <c r="A486" s="34" t="s">
        <v>1103</v>
      </c>
      <c r="B486" s="60" t="s">
        <v>1104</v>
      </c>
      <c r="C486" s="34"/>
      <c r="D486" s="43" t="s">
        <v>1107</v>
      </c>
      <c r="E486" s="34" t="s">
        <v>7</v>
      </c>
      <c r="F486" s="6" t="s">
        <v>1106</v>
      </c>
      <c r="G486" s="8">
        <v>1</v>
      </c>
      <c r="H486" s="58">
        <v>24.5</v>
      </c>
      <c r="I486" s="36">
        <f t="shared" si="31"/>
        <v>1336.0307579765267</v>
      </c>
      <c r="J486" s="36">
        <f t="shared" si="32"/>
        <v>1385.8500131270812</v>
      </c>
      <c r="K486" s="34"/>
      <c r="M486" s="34"/>
      <c r="N486" s="34"/>
      <c r="O486" s="34"/>
      <c r="P486" s="34"/>
      <c r="Q486" s="34"/>
      <c r="R486" s="34"/>
      <c r="S486" s="34"/>
      <c r="T486" s="34"/>
    </row>
    <row r="487" spans="1:20" ht="15.75">
      <c r="A487" s="16" t="s">
        <v>38</v>
      </c>
      <c r="B487" s="62" t="s">
        <v>1007</v>
      </c>
      <c r="C487" s="44"/>
      <c r="D487" s="46" t="s">
        <v>1008</v>
      </c>
      <c r="E487" s="44" t="s">
        <v>7</v>
      </c>
      <c r="F487" s="19" t="s">
        <v>1108</v>
      </c>
      <c r="G487" s="8">
        <v>1</v>
      </c>
      <c r="H487" s="86">
        <v>12.99</v>
      </c>
      <c r="I487" s="37">
        <f>H487*G487*$P$478*$P$476</f>
        <v>905.7361994581491</v>
      </c>
      <c r="J487" s="37">
        <f>H487*G487*$P$478*$P$477</f>
        <v>939.5101994581491</v>
      </c>
      <c r="K487" s="44"/>
      <c r="M487" s="34"/>
      <c r="N487" s="34"/>
      <c r="O487" s="34"/>
      <c r="P487" s="34"/>
      <c r="Q487" s="34"/>
      <c r="R487" s="34"/>
      <c r="S487" s="34"/>
      <c r="T487" s="34"/>
    </row>
    <row r="488" spans="13:20" ht="15">
      <c r="M488" s="44"/>
      <c r="N488" s="44"/>
      <c r="O488" s="44"/>
      <c r="P488" s="44"/>
      <c r="Q488" s="44"/>
      <c r="R488" s="44"/>
      <c r="S488" s="44"/>
      <c r="T488" s="44"/>
    </row>
    <row r="489" ht="15.75" thickBot="1"/>
    <row r="490" spans="1:18" ht="16.5" thickBot="1">
      <c r="A490" s="23" t="s">
        <v>1118</v>
      </c>
      <c r="B490" s="34"/>
      <c r="C490" s="34"/>
      <c r="D490" s="34"/>
      <c r="E490" s="34"/>
      <c r="F490" s="24" t="s">
        <v>1139</v>
      </c>
      <c r="G490" s="8"/>
      <c r="H490" s="35"/>
      <c r="I490" s="34"/>
      <c r="J490" s="34"/>
      <c r="K490" s="34"/>
      <c r="L490" s="34"/>
      <c r="M490" s="34"/>
      <c r="N490" s="34"/>
      <c r="R490" s="34"/>
    </row>
    <row r="491" spans="1:18" ht="16.5" thickBot="1">
      <c r="A491" s="34" t="s">
        <v>1103</v>
      </c>
      <c r="B491" s="60" t="s">
        <v>1110</v>
      </c>
      <c r="C491" s="34"/>
      <c r="D491" s="34"/>
      <c r="E491" s="34" t="s">
        <v>13</v>
      </c>
      <c r="F491" s="6" t="s">
        <v>1111</v>
      </c>
      <c r="G491" s="8">
        <v>1</v>
      </c>
      <c r="H491" s="58">
        <v>102.5</v>
      </c>
      <c r="I491" s="36">
        <f aca="true" t="shared" si="33" ref="I491:I504">H491*G491*$P$500*$P$505</f>
        <v>5509.395011083386</v>
      </c>
      <c r="J491" s="36">
        <f aca="true" t="shared" si="34" ref="J491:J504">H491*G491*$P$501*$P$505</f>
        <v>5718.493405444066</v>
      </c>
      <c r="K491" s="34"/>
      <c r="L491" s="34"/>
      <c r="M491" s="34"/>
      <c r="N491" s="34"/>
      <c r="O491" s="67" t="s">
        <v>41</v>
      </c>
      <c r="P491" s="64">
        <f>SUM(H491:H505)</f>
        <v>285.34000000000003</v>
      </c>
      <c r="R491" s="34"/>
    </row>
    <row r="492" spans="1:18" ht="15.75">
      <c r="A492" s="34" t="s">
        <v>1103</v>
      </c>
      <c r="B492" s="60" t="s">
        <v>1104</v>
      </c>
      <c r="C492" s="34"/>
      <c r="D492" s="43" t="s">
        <v>1105</v>
      </c>
      <c r="E492" s="34" t="s">
        <v>13</v>
      </c>
      <c r="F492" s="6" t="s">
        <v>1106</v>
      </c>
      <c r="G492" s="8">
        <v>1</v>
      </c>
      <c r="H492" s="58">
        <f>48.5/2</f>
        <v>24.25</v>
      </c>
      <c r="I492" s="36">
        <f t="shared" si="33"/>
        <v>1303.4422343294839</v>
      </c>
      <c r="J492" s="36">
        <f t="shared" si="34"/>
        <v>1352.9118544587182</v>
      </c>
      <c r="K492" s="34"/>
      <c r="L492" s="34"/>
      <c r="M492" s="34"/>
      <c r="N492" s="34"/>
      <c r="O492" s="16" t="s">
        <v>42</v>
      </c>
      <c r="P492" s="64">
        <f>SUM(H491:H504)</f>
        <v>255.35000000000005</v>
      </c>
      <c r="R492" s="34"/>
    </row>
    <row r="493" spans="1:18" ht="30">
      <c r="A493" s="9" t="s">
        <v>62</v>
      </c>
      <c r="B493" s="9" t="s">
        <v>1114</v>
      </c>
      <c r="D493" s="43" t="s">
        <v>1113</v>
      </c>
      <c r="E493" s="34" t="s">
        <v>20</v>
      </c>
      <c r="F493" s="6" t="s">
        <v>1112</v>
      </c>
      <c r="G493" s="8">
        <v>1</v>
      </c>
      <c r="H493" s="58">
        <v>20</v>
      </c>
      <c r="I493" s="36">
        <f t="shared" si="33"/>
        <v>1075.0039046016361</v>
      </c>
      <c r="J493" s="36">
        <f t="shared" si="34"/>
        <v>1115.8035913061592</v>
      </c>
      <c r="K493" s="34"/>
      <c r="L493" s="34"/>
      <c r="M493" s="34"/>
      <c r="N493" s="34"/>
      <c r="O493" s="16" t="s">
        <v>43</v>
      </c>
      <c r="P493" s="25">
        <f>SUM(H505)</f>
        <v>29.99</v>
      </c>
      <c r="R493" s="34"/>
    </row>
    <row r="494" spans="1:18" ht="15.75">
      <c r="A494" s="9" t="s">
        <v>62</v>
      </c>
      <c r="B494" s="9" t="s">
        <v>1115</v>
      </c>
      <c r="D494" s="40" t="s">
        <v>1117</v>
      </c>
      <c r="E494" s="40" t="s">
        <v>1116</v>
      </c>
      <c r="F494" s="6" t="s">
        <v>1119</v>
      </c>
      <c r="G494" s="8">
        <v>1</v>
      </c>
      <c r="H494" s="58">
        <v>30</v>
      </c>
      <c r="I494" s="36">
        <f t="shared" si="33"/>
        <v>1612.505856902454</v>
      </c>
      <c r="J494" s="36">
        <f t="shared" si="34"/>
        <v>1673.705386959239</v>
      </c>
      <c r="K494" s="34"/>
      <c r="L494" s="34"/>
      <c r="M494" s="34"/>
      <c r="N494" s="34"/>
      <c r="O494" s="16" t="s">
        <v>29</v>
      </c>
      <c r="P494" s="26">
        <v>56.99</v>
      </c>
      <c r="R494" s="34"/>
    </row>
    <row r="495" spans="1:18" ht="15.75">
      <c r="A495" s="11" t="s">
        <v>1120</v>
      </c>
      <c r="B495" s="9" t="s">
        <v>1121</v>
      </c>
      <c r="D495" s="43" t="s">
        <v>1122</v>
      </c>
      <c r="E495" s="68" t="s">
        <v>1123</v>
      </c>
      <c r="F495" s="6" t="s">
        <v>1119</v>
      </c>
      <c r="G495" s="8">
        <v>1</v>
      </c>
      <c r="H495" s="58">
        <v>30</v>
      </c>
      <c r="I495" s="36">
        <f t="shared" si="33"/>
        <v>1612.505856902454</v>
      </c>
      <c r="J495" s="36">
        <f t="shared" si="34"/>
        <v>1673.705386959239</v>
      </c>
      <c r="K495" s="34"/>
      <c r="L495" s="34"/>
      <c r="M495" s="34"/>
      <c r="N495" s="34"/>
      <c r="O495" s="16" t="s">
        <v>32</v>
      </c>
      <c r="P495" s="27">
        <f>P494/(P491-P497)+0.07</f>
        <v>0.3174168620300425</v>
      </c>
      <c r="R495" s="34"/>
    </row>
    <row r="496" spans="1:18" ht="15.75">
      <c r="A496" s="11" t="s">
        <v>1124</v>
      </c>
      <c r="B496" s="34" t="s">
        <v>1125</v>
      </c>
      <c r="C496" s="34"/>
      <c r="D496" s="43" t="s">
        <v>1062</v>
      </c>
      <c r="E496" s="34" t="s">
        <v>13</v>
      </c>
      <c r="F496" s="6" t="s">
        <v>857</v>
      </c>
      <c r="G496" s="8">
        <v>1</v>
      </c>
      <c r="H496" s="58">
        <v>5.4</v>
      </c>
      <c r="I496" s="36">
        <f t="shared" si="33"/>
        <v>290.2510542424418</v>
      </c>
      <c r="J496" s="36">
        <f t="shared" si="34"/>
        <v>301.266969652663</v>
      </c>
      <c r="K496" s="34"/>
      <c r="L496" s="34"/>
      <c r="M496" s="34"/>
      <c r="N496" s="34"/>
      <c r="O496" s="16" t="s">
        <v>32</v>
      </c>
      <c r="P496" s="27">
        <f>P494/(P491-P497)+0.12</f>
        <v>0.36741686203004253</v>
      </c>
      <c r="R496" s="34"/>
    </row>
    <row r="497" spans="1:18" ht="15.75">
      <c r="A497" s="11" t="s">
        <v>1124</v>
      </c>
      <c r="B497" s="34" t="s">
        <v>1125</v>
      </c>
      <c r="C497" s="34"/>
      <c r="D497" s="43" t="s">
        <v>1062</v>
      </c>
      <c r="E497" s="34" t="s">
        <v>13</v>
      </c>
      <c r="F497" s="6" t="s">
        <v>399</v>
      </c>
      <c r="G497" s="8">
        <v>1</v>
      </c>
      <c r="H497" s="58">
        <v>5.4</v>
      </c>
      <c r="I497" s="36">
        <f t="shared" si="33"/>
        <v>290.2510542424418</v>
      </c>
      <c r="J497" s="36">
        <f t="shared" si="34"/>
        <v>301.266969652663</v>
      </c>
      <c r="K497" s="34"/>
      <c r="L497" s="34"/>
      <c r="M497" s="34"/>
      <c r="N497" s="34"/>
      <c r="O497" s="16" t="s">
        <v>44</v>
      </c>
      <c r="P497" s="39">
        <v>55</v>
      </c>
      <c r="R497" s="34"/>
    </row>
    <row r="498" spans="1:18" ht="15.75">
      <c r="A498" s="11" t="s">
        <v>1124</v>
      </c>
      <c r="B498" s="69" t="s">
        <v>1126</v>
      </c>
      <c r="C498" s="34"/>
      <c r="D498" s="43" t="s">
        <v>1127</v>
      </c>
      <c r="E498" s="34" t="s">
        <v>13</v>
      </c>
      <c r="F498" s="6" t="s">
        <v>1128</v>
      </c>
      <c r="G498" s="8">
        <v>1</v>
      </c>
      <c r="H498" s="58">
        <v>5.4</v>
      </c>
      <c r="I498" s="36">
        <f t="shared" si="33"/>
        <v>290.2510542424418</v>
      </c>
      <c r="J498" s="36">
        <f t="shared" si="34"/>
        <v>301.266969652663</v>
      </c>
      <c r="K498" s="34"/>
      <c r="L498" s="34"/>
      <c r="M498" s="34"/>
      <c r="N498" s="34"/>
      <c r="O498" s="16" t="s">
        <v>45</v>
      </c>
      <c r="P498" s="26">
        <f>P497/P492</f>
        <v>0.21539064029763066</v>
      </c>
      <c r="R498" s="34"/>
    </row>
    <row r="499" spans="1:18" ht="15.75">
      <c r="A499" s="11" t="s">
        <v>1120</v>
      </c>
      <c r="B499" s="69" t="s">
        <v>1129</v>
      </c>
      <c r="C499" s="34"/>
      <c r="D499" s="43" t="s">
        <v>1130</v>
      </c>
      <c r="E499" s="34" t="s">
        <v>7</v>
      </c>
      <c r="F499" s="6" t="s">
        <v>28</v>
      </c>
      <c r="G499" s="8">
        <v>1</v>
      </c>
      <c r="H499" s="58">
        <v>5.4</v>
      </c>
      <c r="I499" s="36">
        <f t="shared" si="33"/>
        <v>290.2510542424418</v>
      </c>
      <c r="J499" s="36">
        <f t="shared" si="34"/>
        <v>301.266969652663</v>
      </c>
      <c r="K499" s="34"/>
      <c r="L499" s="34"/>
      <c r="M499" s="34"/>
      <c r="N499" s="34"/>
      <c r="O499" s="81" t="s">
        <v>42</v>
      </c>
      <c r="P499" s="27"/>
      <c r="R499" s="34"/>
    </row>
    <row r="500" spans="1:18" ht="15.75">
      <c r="A500" s="11" t="s">
        <v>1120</v>
      </c>
      <c r="B500" s="60" t="s">
        <v>1129</v>
      </c>
      <c r="C500" s="34"/>
      <c r="D500" s="43" t="s">
        <v>1130</v>
      </c>
      <c r="E500" s="34" t="s">
        <v>7</v>
      </c>
      <c r="F500" s="6" t="s">
        <v>25</v>
      </c>
      <c r="G500" s="8">
        <v>1</v>
      </c>
      <c r="H500" s="58">
        <v>5.4</v>
      </c>
      <c r="I500" s="36">
        <f t="shared" si="33"/>
        <v>290.2510542424418</v>
      </c>
      <c r="J500" s="36">
        <f t="shared" si="34"/>
        <v>301.266969652663</v>
      </c>
      <c r="K500" s="34"/>
      <c r="L500" s="34"/>
      <c r="M500" s="34"/>
      <c r="N500" s="34"/>
      <c r="O500" s="16" t="s">
        <v>30</v>
      </c>
      <c r="P500" s="29">
        <f>(1-P498)*(1+P495)</f>
        <v>1.0336576005784963</v>
      </c>
      <c r="R500" s="34"/>
    </row>
    <row r="501" spans="1:18" ht="15.75">
      <c r="A501" s="11" t="s">
        <v>24</v>
      </c>
      <c r="B501" s="60" t="s">
        <v>1129</v>
      </c>
      <c r="C501" s="34"/>
      <c r="D501" s="43" t="s">
        <v>1130</v>
      </c>
      <c r="E501" s="34" t="s">
        <v>7</v>
      </c>
      <c r="F501" s="6" t="s">
        <v>59</v>
      </c>
      <c r="G501" s="8">
        <v>1</v>
      </c>
      <c r="H501" s="58">
        <v>5.4</v>
      </c>
      <c r="I501" s="36">
        <f t="shared" si="33"/>
        <v>290.2510542424418</v>
      </c>
      <c r="J501" s="36">
        <f t="shared" si="34"/>
        <v>301.266969652663</v>
      </c>
      <c r="K501" s="34"/>
      <c r="L501" s="34"/>
      <c r="M501" s="34"/>
      <c r="N501" s="34"/>
      <c r="O501" s="16" t="s">
        <v>31</v>
      </c>
      <c r="P501" s="29">
        <f>(1-P498)*(1+P496)</f>
        <v>1.0728880685636146</v>
      </c>
      <c r="R501" s="34"/>
    </row>
    <row r="502" spans="1:18" ht="15.75">
      <c r="A502" s="11" t="s">
        <v>1131</v>
      </c>
      <c r="B502" s="60" t="s">
        <v>341</v>
      </c>
      <c r="C502" s="34"/>
      <c r="D502" s="43" t="s">
        <v>1132</v>
      </c>
      <c r="E502" s="34" t="s">
        <v>7</v>
      </c>
      <c r="F502" s="6" t="s">
        <v>1019</v>
      </c>
      <c r="G502" s="8">
        <v>1</v>
      </c>
      <c r="H502" s="58">
        <v>5.4</v>
      </c>
      <c r="I502" s="36">
        <f t="shared" si="33"/>
        <v>290.2510542424418</v>
      </c>
      <c r="J502" s="36">
        <f t="shared" si="34"/>
        <v>301.266969652663</v>
      </c>
      <c r="K502" s="34"/>
      <c r="L502" s="34"/>
      <c r="M502" s="34"/>
      <c r="N502" s="34"/>
      <c r="O502" s="80" t="s">
        <v>43</v>
      </c>
      <c r="P502" s="26"/>
      <c r="R502" s="34"/>
    </row>
    <row r="503" spans="1:18" ht="15.75">
      <c r="A503" s="11" t="s">
        <v>1131</v>
      </c>
      <c r="B503" s="60" t="s">
        <v>1133</v>
      </c>
      <c r="C503" s="34"/>
      <c r="D503" s="43" t="s">
        <v>1134</v>
      </c>
      <c r="E503" s="34" t="s">
        <v>7</v>
      </c>
      <c r="F503" s="6" t="s">
        <v>775</v>
      </c>
      <c r="G503" s="8">
        <v>1</v>
      </c>
      <c r="H503" s="58">
        <v>5.4</v>
      </c>
      <c r="I503" s="36">
        <f t="shared" si="33"/>
        <v>290.2510542424418</v>
      </c>
      <c r="J503" s="36">
        <f t="shared" si="34"/>
        <v>301.266969652663</v>
      </c>
      <c r="K503" s="34"/>
      <c r="L503" s="34"/>
      <c r="M503" s="34"/>
      <c r="N503" s="34"/>
      <c r="O503" s="16" t="s">
        <v>30</v>
      </c>
      <c r="P503" s="30">
        <f>1+P495</f>
        <v>1.3174168620300426</v>
      </c>
      <c r="R503" s="34"/>
    </row>
    <row r="504" spans="1:18" ht="15.75">
      <c r="A504" s="11" t="s">
        <v>724</v>
      </c>
      <c r="B504" s="60" t="s">
        <v>1035</v>
      </c>
      <c r="C504" s="34"/>
      <c r="D504" s="43" t="s">
        <v>1135</v>
      </c>
      <c r="E504" s="34" t="s">
        <v>7</v>
      </c>
      <c r="F504" s="6" t="s">
        <v>1040</v>
      </c>
      <c r="G504" s="8">
        <v>1</v>
      </c>
      <c r="H504" s="58">
        <v>5.4</v>
      </c>
      <c r="I504" s="36">
        <f t="shared" si="33"/>
        <v>290.2510542424418</v>
      </c>
      <c r="J504" s="36">
        <f t="shared" si="34"/>
        <v>301.266969652663</v>
      </c>
      <c r="K504" s="34"/>
      <c r="L504" s="34"/>
      <c r="M504" s="34"/>
      <c r="N504" s="34"/>
      <c r="O504" s="16" t="s">
        <v>31</v>
      </c>
      <c r="P504" s="30">
        <f>1+P496</f>
        <v>1.3674168620300424</v>
      </c>
      <c r="R504" s="34"/>
    </row>
    <row r="505" spans="1:18" ht="16.5" thickBot="1">
      <c r="A505" s="11" t="s">
        <v>1124</v>
      </c>
      <c r="B505" s="34" t="s">
        <v>1136</v>
      </c>
      <c r="C505" s="34"/>
      <c r="D505" s="43" t="s">
        <v>1137</v>
      </c>
      <c r="E505" s="34" t="s">
        <v>13</v>
      </c>
      <c r="F505" s="6" t="s">
        <v>1138</v>
      </c>
      <c r="G505" s="34">
        <v>1</v>
      </c>
      <c r="H505" s="61">
        <v>29.99</v>
      </c>
      <c r="I505" s="37">
        <f>H505*G505*$P$505*$P$503</f>
        <v>2054.4852479986107</v>
      </c>
      <c r="J505" s="37">
        <f>H505*G505*$P$505*$P$504</f>
        <v>2132.4592479986104</v>
      </c>
      <c r="K505" s="34"/>
      <c r="L505" s="34"/>
      <c r="M505" s="34"/>
      <c r="N505" s="34"/>
      <c r="O505" s="31" t="s">
        <v>33</v>
      </c>
      <c r="P505" s="32">
        <v>52</v>
      </c>
      <c r="R505" s="34"/>
    </row>
    <row r="506" ht="15.75" thickBot="1"/>
    <row r="507" spans="1:17" ht="16.5" thickBot="1">
      <c r="A507" s="23" t="s">
        <v>1140</v>
      </c>
      <c r="B507" s="34"/>
      <c r="C507" s="34"/>
      <c r="D507" s="34"/>
      <c r="E507" s="34"/>
      <c r="F507" s="24" t="s">
        <v>1188</v>
      </c>
      <c r="G507" s="34"/>
      <c r="H507" s="35"/>
      <c r="I507" s="35"/>
      <c r="J507" s="34"/>
      <c r="K507" s="34"/>
      <c r="L507" s="34"/>
      <c r="M507" s="34"/>
      <c r="N507" s="34"/>
      <c r="O507" s="34"/>
      <c r="P507" s="34"/>
      <c r="Q507" s="34"/>
    </row>
    <row r="508" spans="1:16" ht="16.5" thickBot="1">
      <c r="A508" s="11" t="s">
        <v>15</v>
      </c>
      <c r="B508" s="34" t="s">
        <v>1141</v>
      </c>
      <c r="C508" s="34"/>
      <c r="D508" s="43" t="s">
        <v>1142</v>
      </c>
      <c r="E508" s="68" t="s">
        <v>46</v>
      </c>
      <c r="F508" s="42" t="s">
        <v>1143</v>
      </c>
      <c r="G508" s="8">
        <v>1</v>
      </c>
      <c r="H508" s="58">
        <v>32.5</v>
      </c>
      <c r="I508" s="36">
        <f>H508*G508*$P$517*$P$522</f>
        <v>1727.9938494663645</v>
      </c>
      <c r="J508" s="36">
        <f>H508*G508*$P$518*$P$522</f>
        <v>1793.9631477119783</v>
      </c>
      <c r="K508" s="34"/>
      <c r="M508" s="34"/>
      <c r="N508" s="34"/>
      <c r="O508" s="67" t="s">
        <v>41</v>
      </c>
      <c r="P508" s="64">
        <f>SUM(H508:H532)</f>
        <v>292.7600000000001</v>
      </c>
    </row>
    <row r="509" spans="1:16" ht="15.75">
      <c r="A509" s="11" t="s">
        <v>1144</v>
      </c>
      <c r="B509" s="34" t="s">
        <v>1145</v>
      </c>
      <c r="C509" s="34"/>
      <c r="D509" s="43" t="s">
        <v>1146</v>
      </c>
      <c r="E509" s="34" t="s">
        <v>13</v>
      </c>
      <c r="F509" s="42" t="s">
        <v>35</v>
      </c>
      <c r="G509" s="34">
        <v>1</v>
      </c>
      <c r="H509" s="58">
        <v>26.5</v>
      </c>
      <c r="I509" s="36">
        <f>H509*G509*$P$517*$P$522</f>
        <v>1408.9796003341125</v>
      </c>
      <c r="J509" s="36">
        <f>H509*G509*$P$518*$P$522</f>
        <v>1462.7699512113056</v>
      </c>
      <c r="K509" s="34"/>
      <c r="M509" s="34"/>
      <c r="N509" s="34"/>
      <c r="O509" s="16" t="s">
        <v>42</v>
      </c>
      <c r="P509" s="64">
        <f>SUM(H508:H528)</f>
        <v>250.8000000000001</v>
      </c>
    </row>
    <row r="510" spans="1:16" ht="15.75">
      <c r="A510" s="11" t="s">
        <v>1144</v>
      </c>
      <c r="B510" s="34" t="s">
        <v>1147</v>
      </c>
      <c r="C510" s="34"/>
      <c r="D510" s="43" t="s">
        <v>1148</v>
      </c>
      <c r="E510" s="34" t="s">
        <v>13</v>
      </c>
      <c r="F510" s="42" t="s">
        <v>1149</v>
      </c>
      <c r="G510" s="8">
        <v>1</v>
      </c>
      <c r="H510" s="58">
        <v>20.5</v>
      </c>
      <c r="I510" s="36">
        <f>H510*G510*$P$517*$P$522</f>
        <v>1089.9653512018608</v>
      </c>
      <c r="J510" s="36">
        <f>H510*G510*$P$518*$P$522</f>
        <v>1131.5767547106325</v>
      </c>
      <c r="K510" s="34"/>
      <c r="M510" s="34"/>
      <c r="N510" s="34"/>
      <c r="O510" s="16" t="s">
        <v>43</v>
      </c>
      <c r="P510" s="25">
        <f>SUM(H529:H532)</f>
        <v>41.96</v>
      </c>
    </row>
    <row r="511" spans="1:16" ht="15.75">
      <c r="A511" s="11" t="s">
        <v>1124</v>
      </c>
      <c r="B511" s="34" t="s">
        <v>1150</v>
      </c>
      <c r="C511" s="34"/>
      <c r="D511" s="43" t="s">
        <v>1151</v>
      </c>
      <c r="E511" s="34" t="s">
        <v>7</v>
      </c>
      <c r="F511" s="42" t="s">
        <v>1152</v>
      </c>
      <c r="G511" s="34">
        <v>1</v>
      </c>
      <c r="H511" s="58">
        <v>5.4</v>
      </c>
      <c r="I511" s="36">
        <f>H511*G511*$P$517*$P$522</f>
        <v>287.1128242190268</v>
      </c>
      <c r="J511" s="36">
        <f>H511*G511*$P$518*$P$522</f>
        <v>298.0738768506057</v>
      </c>
      <c r="K511" s="34"/>
      <c r="M511" s="34"/>
      <c r="N511" s="34"/>
      <c r="O511" s="16" t="s">
        <v>29</v>
      </c>
      <c r="P511" s="26">
        <v>56.99</v>
      </c>
    </row>
    <row r="512" spans="1:16" ht="15.75">
      <c r="A512" s="11" t="s">
        <v>1124</v>
      </c>
      <c r="B512" s="34" t="s">
        <v>1150</v>
      </c>
      <c r="C512" s="34"/>
      <c r="D512" s="43" t="s">
        <v>1151</v>
      </c>
      <c r="E512" s="34" t="s">
        <v>7</v>
      </c>
      <c r="F512" s="42" t="s">
        <v>1153</v>
      </c>
      <c r="G512" s="8">
        <v>1</v>
      </c>
      <c r="H512" s="58">
        <v>5.4</v>
      </c>
      <c r="I512" s="36">
        <f>H512*G512*$P$517*$P$522</f>
        <v>287.1128242190268</v>
      </c>
      <c r="J512" s="36">
        <f>H512*G512*$P$518*$P$522</f>
        <v>298.0738768506057</v>
      </c>
      <c r="K512" s="34"/>
      <c r="M512" s="34"/>
      <c r="N512" s="34"/>
      <c r="O512" s="16" t="s">
        <v>32</v>
      </c>
      <c r="P512" s="27">
        <f>P511/(P508-P514)+0.07</f>
        <v>0.3096954912516823</v>
      </c>
    </row>
    <row r="513" spans="1:16" ht="15.75">
      <c r="A513" s="11" t="s">
        <v>1154</v>
      </c>
      <c r="B513" s="34" t="s">
        <v>102</v>
      </c>
      <c r="C513" s="34"/>
      <c r="D513" s="43" t="s">
        <v>1155</v>
      </c>
      <c r="E513" s="34" t="s">
        <v>7</v>
      </c>
      <c r="F513" s="42" t="s">
        <v>460</v>
      </c>
      <c r="G513" s="8">
        <v>1</v>
      </c>
      <c r="H513" s="58">
        <v>5.4</v>
      </c>
      <c r="I513" s="36">
        <f>H513*G513*$P$517*$P$522</f>
        <v>287.1128242190268</v>
      </c>
      <c r="J513" s="36">
        <f>H513*G513*$P$518*$P$522</f>
        <v>298.0738768506057</v>
      </c>
      <c r="K513" s="34"/>
      <c r="M513" s="34"/>
      <c r="N513" s="34"/>
      <c r="O513" s="16" t="s">
        <v>32</v>
      </c>
      <c r="P513" s="27">
        <f>P511/(P508-P514)+0.12</f>
        <v>0.35969549125168226</v>
      </c>
    </row>
    <row r="514" spans="1:16" ht="15.75">
      <c r="A514" s="11" t="s">
        <v>1154</v>
      </c>
      <c r="B514" s="34" t="s">
        <v>102</v>
      </c>
      <c r="C514" s="34"/>
      <c r="D514" s="43" t="s">
        <v>1155</v>
      </c>
      <c r="E514" s="34" t="s">
        <v>7</v>
      </c>
      <c r="F514" s="42" t="s">
        <v>460</v>
      </c>
      <c r="G514" s="8">
        <v>1</v>
      </c>
      <c r="H514" s="58">
        <v>5.4</v>
      </c>
      <c r="I514" s="36">
        <f>H514*G514*$P$517*$P$522</f>
        <v>287.1128242190268</v>
      </c>
      <c r="J514" s="36">
        <f>H514*G514*$P$518*$P$522</f>
        <v>298.0738768506057</v>
      </c>
      <c r="K514" s="34"/>
      <c r="M514" s="34"/>
      <c r="N514" s="34"/>
      <c r="O514" s="16" t="s">
        <v>44</v>
      </c>
      <c r="P514" s="39">
        <v>55</v>
      </c>
    </row>
    <row r="515" spans="1:16" ht="15.75">
      <c r="A515" s="11" t="s">
        <v>1154</v>
      </c>
      <c r="B515" s="34" t="s">
        <v>102</v>
      </c>
      <c r="C515" s="34"/>
      <c r="D515" s="43" t="s">
        <v>1155</v>
      </c>
      <c r="E515" s="34" t="s">
        <v>7</v>
      </c>
      <c r="F515" s="42" t="s">
        <v>1156</v>
      </c>
      <c r="G515" s="8">
        <v>1</v>
      </c>
      <c r="H515" s="58">
        <v>5.4</v>
      </c>
      <c r="I515" s="36">
        <f>H515*G515*$P$517*$P$522</f>
        <v>287.1128242190268</v>
      </c>
      <c r="J515" s="36">
        <f>H515*G515*$P$518*$P$522</f>
        <v>298.0738768506057</v>
      </c>
      <c r="K515" s="34"/>
      <c r="M515" s="34"/>
      <c r="N515" s="34"/>
      <c r="O515" s="16" t="s">
        <v>45</v>
      </c>
      <c r="P515" s="26">
        <f>P514/P509</f>
        <v>0.219298245614035</v>
      </c>
    </row>
    <row r="516" spans="1:16" ht="15.75">
      <c r="A516" s="11" t="s">
        <v>1154</v>
      </c>
      <c r="B516" s="34" t="s">
        <v>102</v>
      </c>
      <c r="C516" s="34"/>
      <c r="D516" s="43" t="s">
        <v>1155</v>
      </c>
      <c r="E516" s="34" t="s">
        <v>7</v>
      </c>
      <c r="F516" s="42" t="s">
        <v>1156</v>
      </c>
      <c r="G516" s="8">
        <v>1</v>
      </c>
      <c r="H516" s="58">
        <v>5.4</v>
      </c>
      <c r="I516" s="36">
        <f>H516*G516*$P$517*$P$522</f>
        <v>287.1128242190268</v>
      </c>
      <c r="J516" s="36">
        <f>H516*G516*$P$518*$P$522</f>
        <v>298.0738768506057</v>
      </c>
      <c r="K516" s="34"/>
      <c r="M516" s="34"/>
      <c r="N516" s="34"/>
      <c r="O516" s="81" t="s">
        <v>42</v>
      </c>
      <c r="P516" s="27"/>
    </row>
    <row r="517" spans="1:16" ht="15.75">
      <c r="A517" s="11" t="s">
        <v>1154</v>
      </c>
      <c r="B517" s="34" t="s">
        <v>102</v>
      </c>
      <c r="C517" s="34"/>
      <c r="D517" s="43" t="s">
        <v>1155</v>
      </c>
      <c r="E517" s="34" t="s">
        <v>7</v>
      </c>
      <c r="F517" s="42" t="s">
        <v>1157</v>
      </c>
      <c r="G517" s="8">
        <v>1</v>
      </c>
      <c r="H517" s="58">
        <v>5.4</v>
      </c>
      <c r="I517" s="36">
        <f>H517*G517*$P$517*$P$522</f>
        <v>287.1128242190268</v>
      </c>
      <c r="J517" s="36">
        <f>H517*G517*$P$518*$P$522</f>
        <v>298.0738768506057</v>
      </c>
      <c r="K517" s="34"/>
      <c r="M517" s="34"/>
      <c r="N517" s="34"/>
      <c r="O517" s="16" t="s">
        <v>30</v>
      </c>
      <c r="P517" s="29">
        <f>(1-P515)*(1+P512)</f>
        <v>1.0224815677315766</v>
      </c>
    </row>
    <row r="518" spans="1:16" ht="15.75">
      <c r="A518" s="11" t="s">
        <v>1154</v>
      </c>
      <c r="B518" s="34" t="s">
        <v>1158</v>
      </c>
      <c r="C518" s="34"/>
      <c r="D518" s="43" t="s">
        <v>1159</v>
      </c>
      <c r="E518" s="34" t="s">
        <v>7</v>
      </c>
      <c r="F518" s="42" t="s">
        <v>35</v>
      </c>
      <c r="G518" s="8">
        <v>1</v>
      </c>
      <c r="H518" s="58">
        <v>5.4</v>
      </c>
      <c r="I518" s="36">
        <f>H518*G518*$P$517*$P$522</f>
        <v>287.1128242190268</v>
      </c>
      <c r="J518" s="36">
        <f>H518*G518*$P$518*$P$522</f>
        <v>298.0738768506057</v>
      </c>
      <c r="K518" s="34"/>
      <c r="M518" s="34"/>
      <c r="N518" s="34"/>
      <c r="O518" s="16" t="s">
        <v>31</v>
      </c>
      <c r="P518" s="29">
        <f>(1-P515)*(1+P513)</f>
        <v>1.0615166554508748</v>
      </c>
    </row>
    <row r="519" spans="1:16" ht="15.75">
      <c r="A519" s="11" t="s">
        <v>1154</v>
      </c>
      <c r="B519" s="34" t="s">
        <v>1160</v>
      </c>
      <c r="C519" s="34"/>
      <c r="D519" s="43" t="s">
        <v>1161</v>
      </c>
      <c r="E519" s="34" t="s">
        <v>7</v>
      </c>
      <c r="F519" s="42" t="s">
        <v>1162</v>
      </c>
      <c r="G519" s="8">
        <v>1</v>
      </c>
      <c r="H519" s="58">
        <v>5.4</v>
      </c>
      <c r="I519" s="36">
        <f>H519*G519*$P$517*$P$522</f>
        <v>287.1128242190268</v>
      </c>
      <c r="J519" s="36">
        <f>H519*G519*$P$518*$P$522</f>
        <v>298.0738768506057</v>
      </c>
      <c r="K519" s="34"/>
      <c r="M519" s="34"/>
      <c r="N519" s="34"/>
      <c r="O519" s="80" t="s">
        <v>43</v>
      </c>
      <c r="P519" s="26"/>
    </row>
    <row r="520" spans="1:16" ht="15.75">
      <c r="A520" s="11" t="s">
        <v>1163</v>
      </c>
      <c r="B520" s="34" t="s">
        <v>1164</v>
      </c>
      <c r="C520" s="34"/>
      <c r="D520" s="43" t="s">
        <v>1165</v>
      </c>
      <c r="E520" s="34" t="s">
        <v>13</v>
      </c>
      <c r="F520" s="42" t="s">
        <v>1166</v>
      </c>
      <c r="G520" s="8">
        <v>1</v>
      </c>
      <c r="H520" s="58">
        <v>79.5</v>
      </c>
      <c r="I520" s="36">
        <f>H520*G520*$P$517*$P$522</f>
        <v>4226.938801002338</v>
      </c>
      <c r="J520" s="36">
        <f>H520*G520*$P$518*$P$522</f>
        <v>4388.309853633917</v>
      </c>
      <c r="K520" s="50" t="s">
        <v>1167</v>
      </c>
      <c r="M520" s="34"/>
      <c r="N520" s="34"/>
      <c r="O520" s="16" t="s">
        <v>30</v>
      </c>
      <c r="P520" s="30">
        <f>1+P512</f>
        <v>1.3096954912516823</v>
      </c>
    </row>
    <row r="521" spans="1:16" ht="15.75">
      <c r="A521" s="11" t="s">
        <v>447</v>
      </c>
      <c r="B521" s="34" t="s">
        <v>1168</v>
      </c>
      <c r="C521" s="34"/>
      <c r="D521" s="43" t="s">
        <v>1169</v>
      </c>
      <c r="E521" s="34" t="s">
        <v>13</v>
      </c>
      <c r="F521" s="42" t="s">
        <v>1170</v>
      </c>
      <c r="G521" s="8">
        <v>1</v>
      </c>
      <c r="H521" s="58">
        <v>5.4</v>
      </c>
      <c r="I521" s="36">
        <f>H521*G521*$P$517*$P$522</f>
        <v>287.1128242190268</v>
      </c>
      <c r="J521" s="36">
        <f>H521*G521*$P$518*$P$522</f>
        <v>298.0738768506057</v>
      </c>
      <c r="K521" s="34"/>
      <c r="M521" s="34"/>
      <c r="N521" s="34"/>
      <c r="O521" s="16" t="s">
        <v>31</v>
      </c>
      <c r="P521" s="30">
        <f>1+P513</f>
        <v>1.3596954912516823</v>
      </c>
    </row>
    <row r="522" spans="1:16" ht="16.5" thickBot="1">
      <c r="A522" s="11" t="s">
        <v>618</v>
      </c>
      <c r="B522" s="34" t="s">
        <v>1171</v>
      </c>
      <c r="C522" s="34"/>
      <c r="D522" s="43" t="s">
        <v>1172</v>
      </c>
      <c r="E522" s="34" t="s">
        <v>20</v>
      </c>
      <c r="F522" s="42" t="s">
        <v>1173</v>
      </c>
      <c r="G522" s="8">
        <v>1</v>
      </c>
      <c r="H522" s="58">
        <v>5.4</v>
      </c>
      <c r="I522" s="36">
        <f>H522*G522*$P$517*$P$522</f>
        <v>287.1128242190268</v>
      </c>
      <c r="J522" s="36">
        <f>H522*G522*$P$518*$P$522</f>
        <v>298.0738768506057</v>
      </c>
      <c r="K522" s="34"/>
      <c r="M522" s="34"/>
      <c r="N522" s="34"/>
      <c r="O522" s="31" t="s">
        <v>33</v>
      </c>
      <c r="P522" s="32">
        <v>52</v>
      </c>
    </row>
    <row r="523" spans="1:17" ht="15.75">
      <c r="A523" s="11" t="s">
        <v>618</v>
      </c>
      <c r="B523" s="34" t="s">
        <v>1171</v>
      </c>
      <c r="C523" s="34"/>
      <c r="D523" s="43" t="s">
        <v>1174</v>
      </c>
      <c r="E523" s="34" t="s">
        <v>20</v>
      </c>
      <c r="F523" s="42" t="s">
        <v>1175</v>
      </c>
      <c r="G523" s="8">
        <v>1</v>
      </c>
      <c r="H523" s="58">
        <v>5.4</v>
      </c>
      <c r="I523" s="36">
        <f>H523*G523*$P$517*$P$522</f>
        <v>287.1128242190268</v>
      </c>
      <c r="J523" s="36">
        <f>H523*G523*$P$518*$P$522</f>
        <v>298.0738768506057</v>
      </c>
      <c r="K523" s="34"/>
      <c r="M523" s="34"/>
      <c r="N523" s="34"/>
      <c r="O523" s="34"/>
      <c r="P523" s="34"/>
      <c r="Q523" s="34"/>
    </row>
    <row r="524" spans="1:17" ht="15.75">
      <c r="A524" s="11" t="s">
        <v>618</v>
      </c>
      <c r="B524" s="34" t="s">
        <v>1171</v>
      </c>
      <c r="C524" s="34"/>
      <c r="D524" s="43" t="s">
        <v>1172</v>
      </c>
      <c r="E524" s="34" t="s">
        <v>20</v>
      </c>
      <c r="F524" s="42" t="s">
        <v>1176</v>
      </c>
      <c r="G524" s="8">
        <v>1</v>
      </c>
      <c r="H524" s="58">
        <v>5.4</v>
      </c>
      <c r="I524" s="36">
        <f>H524*G524*$P$517*$P$522</f>
        <v>287.1128242190268</v>
      </c>
      <c r="J524" s="36">
        <f>H524*G524*$P$518*$P$522</f>
        <v>298.0738768506057</v>
      </c>
      <c r="K524" s="34"/>
      <c r="M524" s="34"/>
      <c r="N524" s="34"/>
      <c r="O524" s="34"/>
      <c r="P524" s="34"/>
      <c r="Q524" s="34"/>
    </row>
    <row r="525" spans="1:17" ht="15.75">
      <c r="A525" s="11" t="s">
        <v>618</v>
      </c>
      <c r="B525" s="34" t="s">
        <v>1171</v>
      </c>
      <c r="C525" s="34"/>
      <c r="D525" s="43" t="s">
        <v>1172</v>
      </c>
      <c r="E525" s="34" t="s">
        <v>20</v>
      </c>
      <c r="F525" s="42" t="s">
        <v>1177</v>
      </c>
      <c r="G525" s="8">
        <v>1</v>
      </c>
      <c r="H525" s="58">
        <v>5.4</v>
      </c>
      <c r="I525" s="36">
        <f>H525*G525*$P$517*$P$522</f>
        <v>287.1128242190268</v>
      </c>
      <c r="J525" s="36">
        <f>H525*G525*$P$518*$P$522</f>
        <v>298.0738768506057</v>
      </c>
      <c r="K525" s="34"/>
      <c r="M525" s="34"/>
      <c r="N525" s="34"/>
      <c r="O525" s="34"/>
      <c r="P525" s="34"/>
      <c r="Q525" s="34"/>
    </row>
    <row r="526" spans="1:17" ht="15.75">
      <c r="A526" s="11" t="s">
        <v>618</v>
      </c>
      <c r="B526" s="34" t="s">
        <v>807</v>
      </c>
      <c r="C526" s="34"/>
      <c r="D526" s="43" t="s">
        <v>1178</v>
      </c>
      <c r="E526" s="34" t="s">
        <v>13</v>
      </c>
      <c r="F526" s="42" t="s">
        <v>810</v>
      </c>
      <c r="G526" s="8">
        <v>1</v>
      </c>
      <c r="H526" s="58">
        <v>5.4</v>
      </c>
      <c r="I526" s="36">
        <f>H526*G526*$P$517*$P$522</f>
        <v>287.1128242190268</v>
      </c>
      <c r="J526" s="36">
        <f>H526*G526*$P$518*$P$522</f>
        <v>298.0738768506057</v>
      </c>
      <c r="K526" s="34"/>
      <c r="M526" s="34"/>
      <c r="N526" s="34"/>
      <c r="O526" s="34"/>
      <c r="P526" s="34"/>
      <c r="Q526" s="34"/>
    </row>
    <row r="527" spans="1:17" ht="15.75">
      <c r="A527" s="11" t="s">
        <v>618</v>
      </c>
      <c r="B527" s="34" t="s">
        <v>1179</v>
      </c>
      <c r="C527" s="34"/>
      <c r="D527" s="43" t="s">
        <v>1180</v>
      </c>
      <c r="E527" s="34" t="s">
        <v>20</v>
      </c>
      <c r="F527" s="42" t="s">
        <v>1181</v>
      </c>
      <c r="G527" s="8">
        <v>1</v>
      </c>
      <c r="H527" s="58">
        <v>5.4</v>
      </c>
      <c r="I527" s="36">
        <f>H527*G527*$P$517*$P$522</f>
        <v>287.1128242190268</v>
      </c>
      <c r="J527" s="36">
        <f>H527*G527*$P$518*$P$522</f>
        <v>298.0738768506057</v>
      </c>
      <c r="K527" s="34"/>
      <c r="M527" s="34"/>
      <c r="N527" s="34"/>
      <c r="O527" s="34"/>
      <c r="P527" s="34"/>
      <c r="Q527" s="34"/>
    </row>
    <row r="528" spans="1:17" ht="15.75">
      <c r="A528" s="11" t="s">
        <v>618</v>
      </c>
      <c r="B528" s="34" t="s">
        <v>1179</v>
      </c>
      <c r="C528" s="34"/>
      <c r="D528" s="43" t="s">
        <v>1180</v>
      </c>
      <c r="E528" s="34" t="s">
        <v>20</v>
      </c>
      <c r="F528" s="42" t="s">
        <v>810</v>
      </c>
      <c r="G528" s="8">
        <v>1</v>
      </c>
      <c r="H528" s="58">
        <v>5.4</v>
      </c>
      <c r="I528" s="36">
        <f>H528*G528*$P$517*$P$522</f>
        <v>287.1128242190268</v>
      </c>
      <c r="J528" s="36">
        <f>H528*G528*$P$518*$P$522</f>
        <v>298.0738768506057</v>
      </c>
      <c r="K528" s="34"/>
      <c r="M528" s="34"/>
      <c r="N528" s="34"/>
      <c r="O528" s="34"/>
      <c r="P528" s="34"/>
      <c r="Q528" s="34"/>
    </row>
    <row r="529" spans="1:17" ht="15.75">
      <c r="A529" s="11" t="s">
        <v>56</v>
      </c>
      <c r="B529" s="34" t="s">
        <v>1182</v>
      </c>
      <c r="C529" s="34"/>
      <c r="D529" s="43" t="s">
        <v>1183</v>
      </c>
      <c r="E529" s="34" t="s">
        <v>7</v>
      </c>
      <c r="F529" s="42" t="s">
        <v>1184</v>
      </c>
      <c r="G529" s="8">
        <v>1</v>
      </c>
      <c r="H529" s="61">
        <v>9.99</v>
      </c>
      <c r="I529" s="37">
        <f>H529*G529*$P$522*$P$520</f>
        <v>680.3606137954239</v>
      </c>
      <c r="J529" s="37">
        <f>H529*G529*$P$522*$P$521</f>
        <v>706.3346137954239</v>
      </c>
      <c r="K529" s="34"/>
      <c r="M529" s="34"/>
      <c r="N529" s="34"/>
      <c r="O529" s="34"/>
      <c r="P529" s="34"/>
      <c r="Q529" s="34"/>
    </row>
    <row r="530" spans="1:17" ht="15.75">
      <c r="A530" s="11" t="s">
        <v>56</v>
      </c>
      <c r="B530" s="34" t="s">
        <v>1182</v>
      </c>
      <c r="C530" s="34"/>
      <c r="D530" s="43" t="s">
        <v>1183</v>
      </c>
      <c r="E530" s="34" t="s">
        <v>7</v>
      </c>
      <c r="F530" s="42" t="s">
        <v>35</v>
      </c>
      <c r="G530" s="8">
        <v>1</v>
      </c>
      <c r="H530" s="61">
        <v>9.99</v>
      </c>
      <c r="I530" s="37">
        <f>H530*G530*$P$522*$P$520</f>
        <v>680.3606137954239</v>
      </c>
      <c r="J530" s="37">
        <f>H530*G530*$P$522*$P$521</f>
        <v>706.3346137954239</v>
      </c>
      <c r="K530" s="34"/>
      <c r="M530" s="34"/>
      <c r="N530" s="34"/>
      <c r="O530" s="34"/>
      <c r="P530" s="34"/>
      <c r="Q530" s="34"/>
    </row>
    <row r="531" spans="1:17" ht="15.75">
      <c r="A531" s="11" t="s">
        <v>56</v>
      </c>
      <c r="B531" s="34" t="s">
        <v>1182</v>
      </c>
      <c r="C531" s="34"/>
      <c r="D531" s="43" t="s">
        <v>1183</v>
      </c>
      <c r="E531" s="34" t="s">
        <v>7</v>
      </c>
      <c r="F531" s="42" t="s">
        <v>35</v>
      </c>
      <c r="G531" s="8">
        <v>1</v>
      </c>
      <c r="H531" s="61">
        <v>9.99</v>
      </c>
      <c r="I531" s="37">
        <f>H531*G531*$P$522*$P$520</f>
        <v>680.3606137954239</v>
      </c>
      <c r="J531" s="37">
        <f>H531*G531*$P$522*$P$521</f>
        <v>706.3346137954239</v>
      </c>
      <c r="K531" s="34"/>
      <c r="M531" s="34"/>
      <c r="N531" s="34"/>
      <c r="O531" s="34"/>
      <c r="P531" s="34"/>
      <c r="Q531" s="34"/>
    </row>
    <row r="532" spans="1:17" ht="15.75">
      <c r="A532" s="11" t="s">
        <v>56</v>
      </c>
      <c r="B532" s="34" t="s">
        <v>1185</v>
      </c>
      <c r="C532" s="34"/>
      <c r="D532" s="43" t="s">
        <v>1186</v>
      </c>
      <c r="E532" s="34" t="s">
        <v>13</v>
      </c>
      <c r="F532" s="42" t="s">
        <v>1187</v>
      </c>
      <c r="G532" s="8">
        <v>1</v>
      </c>
      <c r="H532" s="61">
        <v>11.99</v>
      </c>
      <c r="I532" s="37">
        <f>H532*G532*$P$522*$P$520</f>
        <v>816.5689448855989</v>
      </c>
      <c r="J532" s="37">
        <f>H532*G532*$P$522*$P$521</f>
        <v>847.742944885599</v>
      </c>
      <c r="K532" s="34"/>
      <c r="M532" s="34"/>
      <c r="N532" s="34"/>
      <c r="O532" s="34"/>
      <c r="P532" s="34"/>
      <c r="Q532" s="34"/>
    </row>
    <row r="533" ht="15.75">
      <c r="B533" s="72" t="s">
        <v>833</v>
      </c>
    </row>
    <row r="534" ht="15.75">
      <c r="B534" s="72" t="s">
        <v>834</v>
      </c>
    </row>
    <row r="536" ht="15.75" thickBot="1"/>
    <row r="537" ht="15">
      <c r="F537" s="24" t="s">
        <v>1067</v>
      </c>
    </row>
    <row r="538" spans="1:8" ht="15.75">
      <c r="A538" s="11" t="s">
        <v>1163</v>
      </c>
      <c r="B538" s="34" t="s">
        <v>1189</v>
      </c>
      <c r="C538" s="34"/>
      <c r="D538" s="43"/>
      <c r="E538" s="34"/>
      <c r="F538" s="42"/>
      <c r="G538" s="8">
        <v>1</v>
      </c>
      <c r="H538" s="35">
        <v>54.5</v>
      </c>
    </row>
    <row r="539" spans="1:8" ht="15.75">
      <c r="A539" s="11" t="s">
        <v>218</v>
      </c>
      <c r="B539" s="34" t="s">
        <v>1190</v>
      </c>
      <c r="C539" s="34"/>
      <c r="D539" s="43"/>
      <c r="E539" s="34"/>
      <c r="F539" s="42"/>
      <c r="G539" s="8">
        <v>1</v>
      </c>
      <c r="H539" s="35">
        <v>5</v>
      </c>
    </row>
    <row r="540" spans="1:8" ht="15.75">
      <c r="A540" s="11" t="s">
        <v>62</v>
      </c>
      <c r="B540" s="34" t="s">
        <v>1191</v>
      </c>
      <c r="C540" s="34"/>
      <c r="D540" s="43"/>
      <c r="E540" s="34"/>
      <c r="F540" s="42"/>
      <c r="G540" s="8">
        <v>1</v>
      </c>
      <c r="H540" s="35">
        <v>6</v>
      </c>
    </row>
    <row r="541" spans="1:8" ht="15.75">
      <c r="A541" s="11" t="s">
        <v>62</v>
      </c>
      <c r="B541" s="34" t="s">
        <v>1192</v>
      </c>
      <c r="C541" s="34"/>
      <c r="D541" s="43"/>
      <c r="E541" s="34"/>
      <c r="F541" s="42"/>
      <c r="G541" s="8">
        <v>1</v>
      </c>
      <c r="H541" s="35">
        <v>6</v>
      </c>
    </row>
    <row r="542" spans="1:8" ht="15.75">
      <c r="A542" s="11" t="s">
        <v>62</v>
      </c>
      <c r="B542" s="34" t="s">
        <v>1193</v>
      </c>
      <c r="C542" s="34"/>
      <c r="D542" s="43"/>
      <c r="E542" s="34"/>
      <c r="F542" s="42"/>
      <c r="G542" s="8">
        <v>1</v>
      </c>
      <c r="H542" s="35">
        <v>6</v>
      </c>
    </row>
    <row r="543" spans="1:8" ht="15.75">
      <c r="A543" s="11" t="s">
        <v>412</v>
      </c>
      <c r="B543" s="34" t="s">
        <v>1194</v>
      </c>
      <c r="C543" s="34"/>
      <c r="D543" s="43"/>
      <c r="E543" s="34"/>
      <c r="F543" s="42"/>
      <c r="G543" s="8">
        <v>1</v>
      </c>
      <c r="H543" s="35">
        <v>6</v>
      </c>
    </row>
  </sheetData>
  <sheetProtection formatCells="0" formatColumns="0" formatRows="0" insertColumns="0" insertRows="0" deleteColumns="0" deleteRows="0" sort="0"/>
  <autoFilter ref="A1:S468"/>
  <hyperlinks>
    <hyperlink ref="B164" r:id="rId1" display="https://www.victoriassecret.com/bras/shop-all-bras/lace-trim-cheekini-panty-dream-angels?ProductID=233482&amp;CatalogueType=OLS"/>
    <hyperlink ref="B165" r:id="rId2" display="https://www.victoriassecret.com/bras/shop-all-bras/lace-trim-thong-panty-dream-angels?ProductID=225585&amp;CatalogueType=OLS"/>
    <hyperlink ref="B166" r:id="rId3" display="https://www.victoriassecret.com/bras/shop-all-bras/lace-trim-cheekini-panty-dream-angels?ProductID=233482&amp;CatalogueType=OLS"/>
    <hyperlink ref="B169" r:id="rId4" display="https://www.victoriassecret.com/sale/panties-special/no-show-cheekster-panty-pink?ProductID=193077&amp;CatalogueType=OLS"/>
    <hyperlink ref="B170" r:id="rId5" display="https://www.victoriassecret.com/sale/panties-special/string-bikini-panty-cotton-lingerie?ProductID=227848&amp;CatalogueType=OLS"/>
    <hyperlink ref="B171" r:id="rId6" display="https://www.victoriassecret.com/sale/panties-special/no-show-cheekster-panty-pink?ProductID=193077&amp;CatalogueType=OLS"/>
    <hyperlink ref="B172" r:id="rId7" display="https://www.victoriassecret.com/sale/panties-special/no-show-cheekster-panty-pink?ProductID=193077&amp;CatalogueType=OLS"/>
    <hyperlink ref="B174" r:id="rId8" display="https://www.victoriassecret.com/clearance/swim/the-forever-lowrise-forever-sexy?ProductID=234769&amp;CatalogueType=OLS&amp;swatchImage=V41696"/>
    <hyperlink ref="B175" r:id="rId9" display="https://www.victoriassecret.com/clearance/swim/strappy-string-bottom-very-sexy?ProductID=209146&amp;CatalogueType=OLS"/>
    <hyperlink ref="B176" r:id="rId10" display="https://www.victoriassecret.com/clearance/swim/convertible-halter-top-forever-sexy?ProductID=181758&amp;CatalogueType=OLS&amp;swatchImage=V396387"/>
    <hyperlink ref="B160" r:id="rId11" display="https://www.victoriassecret.com/swimwear/bikini-bottoms/ruchedmini-bikini-bottom-pink?ProductID=237589&amp;CatalogueType=OLS"/>
    <hyperlink ref="B215" r:id="rId12" display="https://www.victoriassecret.com/clothing/shop-all/side-tie-tank-vintage-tees?ProductID=218836&amp;CatalogueType=OLS"/>
    <hyperlink ref="B41" r:id="rId13" display="https://www.victoriassecret.com/sale/swim/ruched-hipkini-beach-sexy?ProductID=222657&amp;CatalogueType=OLS"/>
    <hyperlink ref="B39" r:id="rId14" display="https://www.victoriassecret.com/catalogue/knockout-by-victoria39s-secret-tight-with-short-victorias-secret-sport?ProductID=224318&amp;CatalogueType=OLS&amp;cqo=true&amp;cqoCat=KY"/>
    <hyperlink ref="B40" r:id="rId15" display="https://www.victoriassecret.com/clearance/swim/low-rise-bottom-very-sexy?ProductID=187974&amp;CatalogueType=OLS"/>
    <hyperlink ref="B42" r:id="rId16" display="https://www.victoriassecret.com/clearance/bras/cutout-back-push-up-bra-very-sexy?ProductID=220688&amp;CatalogueType=OLS"/>
    <hyperlink ref="B43" r:id="rId17" display="https://www.victoriassecret.com/clearance/bras/wear-everywhere-strapless-bra-pink?ProductID=223266&amp;CatalogueType=OLS"/>
    <hyperlink ref="B253" r:id="rId18" display="https://www.victoriassecret.com/panties/5-for-27-styles/lace-waist-hiphugger-panty-cotton-lingerie?ProductID=237192&amp;CatalogueType=OLS"/>
    <hyperlink ref="B254" r:id="rId19" display="https://www.victoriassecret.com/panties/5-for-27-styles/low-rise-bikini-panty-cotton-lingerie?ProductID=237570&amp;CatalogueType=OLS"/>
    <hyperlink ref="B83" r:id="rId20" display="https://www.victoriassecret.com/sale/panties-special/lace-waist-cheeky-panty-cotton-lingerie?ProductID=228002&amp;CatalogueType=OLS"/>
    <hyperlink ref="B264" r:id="rId21" display="https://www.victoriassecret.com/sale/swim/neon-paisley-push-up-triangle-top-beach-sexy?ProductID=189711&amp;CatalogueType=OLS"/>
    <hyperlink ref="B277" r:id="rId22" display="https://www.victoriassecret.com/clearance/swim/the-classic-bandeau-forever-sexy?ProductID=234018&amp;CatalogueType=OLS"/>
    <hyperlink ref="B266" r:id="rId23" display="https://www.victoriassecret.com/sale/swim/fringe-bandeau-beach-sexy?ProductID=228890&amp;CatalogueType=OLS"/>
    <hyperlink ref="B371" r:id="rId24" display="https://www.victoriassecret.com/clearance/clothing/banded-cover-up-pant?ProductID=239888&amp;CatalogueType=OLS"/>
    <hyperlink ref="B361" r:id="rId25" display="https://www.victoriassecret.com/panties/5-for-27-styles/string-bikini-panty-allover-lace-from-cotton-lingerie?ProductID=237493&amp;CatalogueType=OLS"/>
    <hyperlink ref="B362" r:id="rId26" display="https://www.victoriassecret.com/panties/5-for-27-styles/dot-mesh-thong-panty-cotton-lingerie?ProductID=240792&amp;CatalogueType=OLS"/>
    <hyperlink ref="B363" r:id="rId27" display="https://www.victoriassecret.com/panties/5-for-27-styles/curved-hem-hipster-panty-pink?ProductID=221255&amp;CatalogueType=OLS"/>
    <hyperlink ref="B364" r:id="rId28" display="https://www.victoriassecret.com/panties/5-for-27-styles/lace-waist-cheeky-panty-cotton-lingerie?ProductID=228002&amp;CatalogueType=OLS"/>
    <hyperlink ref="B370" r:id="rId29" display="https://www.victoriassecret.com/bras/cotton-lingerie/front-close-racerback-push-up-bra-cotton-lingerie?ProductID=242603&amp;CatalogueType=OLS"/>
    <hyperlink ref="B150" r:id="rId30" display="https://www.victoriassecret.com/beauty/all-makeup/shiny-kiss-flavored-gloss-beauty-rush?ProductID=228348&amp;CatalogueType=OLS"/>
    <hyperlink ref="B149" r:id="rId31" display="https://www.victoriassecret.com//sale/beauty/color-shine-gloss-beauty-rush?ProductID=199353&amp;CatalogueType=OLS&amp;search=true"/>
    <hyperlink ref="B148" r:id="rId32" display="https://www.victoriassecret.com/beauty/all-makeup/lip-plumper-beauty-rush?ProductID=235266&amp;CatalogueType=OLS"/>
    <hyperlink ref="B147" r:id="rId33" display="https://www.victoriassecret.com/beauty/all-makeup/lip-plumper-beauty-rush?ProductID=235266&amp;CatalogueType=OLS"/>
    <hyperlink ref="B145" r:id="rId34" display="https://www.victoriassecret.com/sale/tops-and-tees/oversized-tunic-fleece?ProductID=233883&amp;CatalogueType=OLS"/>
    <hyperlink ref="B119" r:id="rId35" display="https://www.victoriassecret.com/panties/5-for-27-styles/hiphugger-panty-cotton-lingerie?ProductID=230930&amp;CatalogueType=OLS"/>
    <hyperlink ref="B113" r:id="rId36" display="https://www.victoriassecret.com/panties/5-for-27-styles/the-date-no-show-thong-panty-pink?ProductID=229055&amp;CatalogueType=OLS,"/>
    <hyperlink ref="B108" r:id="rId37" display="https://www.victoriassecret.com/panties/5-for-27-styles/geo-lace-cheekster-panty-pink?ProductID=226003&amp;CatalogueType=OLS"/>
    <hyperlink ref="B105" r:id="rId38" display="https://www.victoriassecret.com/panties/5-for-27-styles/geo-lace-cheekster-panty-pink?ProductID=226003&amp;CatalogueType=OLS"/>
    <hyperlink ref="B114" r:id="rId39" display="https://www.victoriassecret.com/panties/5-for-27-styles/lace-waist-cheeky-panty-cotton-lingerie?ProductID=228002&amp;CatalogueType=OLS,"/>
    <hyperlink ref="B79" r:id="rId40" display="https://www.victoriassecret.com/bras/t-shirt-bra/perfect-shape-bra-the-t-shirt?ProductID=236888&amp;CatalogueType=OLS"/>
    <hyperlink ref="B56" r:id="rId41" display="https://www.victoriassecret.com/beauty/all-makeup/lip-plumper-beauty-rush?ProductID=235266&amp;CatalogueType=OLS"/>
    <hyperlink ref="B73" r:id="rId42" display="https://www.victoriassecret.com/panties/5-for-27-styles/lace-thong-panty-pink?ProductID=229804&amp;CatalogueType=OLS"/>
    <hyperlink ref="B49" r:id="rId43" display="https://www.victoriassecret.com/beauty/all-makeup/shiny-kiss-flavored-gloss-beauty-rush?ProductID=228348&amp;CatalogueType=OLS"/>
    <hyperlink ref="B57" r:id="rId44" display="https://www.victoriassecret.com/swimwear/shop-by-size/the-fringe-itsy-beach-sexy?ProductID=220505&amp;CatalogueType=OLS"/>
    <hyperlink ref="B26" r:id="rId45" display="https://www.victoriassecret.com/sale/tops-and-tees/low-armhole-tank-anytime-tees?ProductID=233923&amp;CatalogueType=OLS"/>
    <hyperlink ref="B25" r:id="rId46" display="https://www.victoriassecret.com/swimwear/bikini-mixer"/>
    <hyperlink ref="B24" r:id="rId47" display="https://www.victoriassecret.com/swimwear/bikini-mixer"/>
    <hyperlink ref="B23" r:id="rId48" display="https://www.victoriassecret.com/swimwear/shop-by-size/the-midi-bandeau-beach-sexy?ProductID=220408&amp;CatalogueType=OLS"/>
    <hyperlink ref="B21" r:id="rId49" display="https://www.victoriassecret.com//swimwear/trend-edit/cut-out-bandeau-very-sexy?ProductID=227108&amp;CatalogueType=OLS&amp;search=true"/>
    <hyperlink ref="B44" r:id="rId50" display="https://www.victoriassecret.com/clearance/bras/perfect-lace-strapless-bra-pink?ProductID=193602&amp;CatalogueType=OLS"/>
    <hyperlink ref="B22" r:id="rId51" display="https://www.victoriassecret.com/victorias-secret-sport/all-tops/lightweight-sport-tank-victorias-secret-sport?ProductID=218763&amp;CatalogueType=OLS&amp;swatchImage=HE7"/>
    <hyperlink ref="B19" r:id="rId52" display="https://www.victoriassecret.com/clearance/swim/one-shoulder-top-very-sexy?ProductID=189778&amp;CatalogueType=OLS"/>
    <hyperlink ref="B392" r:id="rId53" display="https://www.victoriassecret.com/lingerie/bras-and-panties/lace-trim-cheekini-panty-dream-angels?ProductID=233482&amp;CatalogueType=OLS "/>
    <hyperlink ref="B393" r:id="rId54" display="https://www.victoriassecret.com/lingerie/bras-and-panties/lace-trim-cheekini-panty-dream-angels?ProductID=233482&amp;CatalogueType=OLS "/>
    <hyperlink ref="B391" r:id="rId55" display="https://www.victoriassecret.com/lingerie/bras-and-panties/lace-trim-cheekini-panty-dream-angels?ProductID=233482&amp;CatalogueType=OLS"/>
    <hyperlink ref="B390" r:id="rId56" display="https://www.victoriassecret.com/bras/shop-all-bras/multi-way-bra-dream-angels?ProductID=240212&amp;CatalogueType=OLS "/>
    <hyperlink ref="B389" r:id="rId57" display="https://www.victoriassecret.com/sleepwear/shop-all-sleep-mobile/slip-the-lacie?ProductID=229301&amp;CatalogueType=OLS "/>
    <hyperlink ref="B388" r:id="rId58" display="https://www.victoriassecret.com/sleepwear/shop-all-sleep-mobile/racerback-slip-signature-cotton?ProductID=196587&amp;CatalogueType=OLS"/>
    <hyperlink ref="B404" r:id="rId59" display="https://www.victoriassecret.com/bras/shop-all-bras/wireless-bra-body-by-victoria?ProductID=235962&amp;CatalogueType=OLS"/>
    <hyperlink ref="B421" r:id="rId60" display="https://www.victoriassecret.com/sleepwear/satin-indulgences/lace-appliqu-satin-slip-very-sexy?ProductID=189956&amp;CatalogueType=OLS"/>
    <hyperlink ref="B440" r:id="rId61" display="https://www.victoriassecret.com/bras/buy-more-and-save-bras/wireless-bra-sexy-tee?ProductID=228985&amp;CatalogueType=OLS"/>
    <hyperlink ref="B459" r:id="rId62" display="https://www.victoriassecret.com/catalogue/low-rise-bikini-panty-cotton-lingerie?ProductID=182956&amp;CatalogueType=OLS&amp;cqo=true&amp;cqoCat=LW"/>
    <hyperlink ref="B460" r:id="rId63" display="https://www.victoriassecret.com/catalogue/lace-front-bikini-panty-body-by-victoria?ProductID=230578&amp;CatalogueType=OLS&amp;cqo=true&amp;cqoCat=LW"/>
    <hyperlink ref="B438" r:id="rId64" display="https://www.victoriassecret.com//beauty/shop-all-beauty/self-tanning-tinted-lotion-beach-sexy?ProductID=90767&amp;CatalogueType=OLS&amp;search=true"/>
    <hyperlink ref="B439" r:id="rId65" display="https://www.victoriassecret.com/beauty/all-body-care/instant-bronzing-tinted-shimmer-lotion-beach-sexy?ProductID=90766&amp;CatalogueType=OLS"/>
    <hyperlink ref="B487" r:id="rId66" display="https://www.victoriassecret.com/clearance/sleep/lace-trim-henley-tank?ProductID=224561&amp;CatalogueType=OLS"/>
    <hyperlink ref="B486" r:id="rId67" display="https://www.victoriassecret.com/swimwear/beach-sexy/zip-long-line-triangle-top-beach-sexy?ProductID=221497&amp;CatalogueType=OLS"/>
    <hyperlink ref="B484" r:id="rId68" display="https://www.victoriassecret.com/swimwear/beach-sexy/zip-long-line-triangle-top-beach-sexy?ProductID=221497&amp;CatalogueType=OLS"/>
    <hyperlink ref="B485" r:id="rId69" display="https://www.victoriassecret.com/swimwear/beach-sexy/zip-long-line-triangle-top-beach-sexy?ProductID=221497&amp;CatalogueType=OLS"/>
    <hyperlink ref="B491" r:id="rId70" display="https://www.victoriassecret.com/swimwear/shaping/halter-one-piece-secret-by-victorias-secret-swim?ProductID=217749&amp;CatalogueType=OLS"/>
    <hyperlink ref="B492" r:id="rId71" display="https://www.victoriassecret.com/swimwear/beach-sexy/zip-long-line-triangle-top-beach-sexy?ProductID=221497&amp;CatalogueType=OLS"/>
  </hyperlinks>
  <printOptions/>
  <pageMargins left="0.7" right="0.7" top="0.75" bottom="0.75" header="0.3" footer="0.3"/>
  <pageSetup orientation="portrait" paperSize="9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2015-05-17T10:09:34Z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