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11355" windowHeight="15675" activeTab="0"/>
  </bookViews>
  <sheets>
    <sheet name="Лист1" sheetId="1" r:id="rId1"/>
  </sheets>
  <definedNames>
    <definedName name="_xlnm._FilterDatabase" localSheetId="0" hidden="1">'Лист1'!$A$1:$R$749</definedName>
  </definedNames>
  <calcPr fullCalcOnLoad="1" refMode="R1C1"/>
</workbook>
</file>

<file path=xl/sharedStrings.xml><?xml version="1.0" encoding="utf-8"?>
<sst xmlns="http://schemas.openxmlformats.org/spreadsheetml/2006/main" count="3552" uniqueCount="1358">
  <si>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</si>
  <si>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</si>
  <si>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</si>
  <si>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</si>
  <si>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</si>
  <si>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</si>
  <si>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</si>
  <si>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XS</t>
  </si>
  <si>
    <t xml:space="preserve">Цена $ </t>
  </si>
  <si>
    <t>Предоплата руб</t>
  </si>
  <si>
    <t>Постоплата руб</t>
  </si>
  <si>
    <t>36C</t>
  </si>
  <si>
    <t>S</t>
  </si>
  <si>
    <t>L</t>
  </si>
  <si>
    <t>M</t>
  </si>
  <si>
    <t>доставка</t>
  </si>
  <si>
    <t>доставка+орг% по предоплате</t>
  </si>
  <si>
    <t>предварительный курс $</t>
  </si>
  <si>
    <t>Black (093)</t>
  </si>
  <si>
    <t>итог.сумма заказа</t>
  </si>
  <si>
    <t>36B</t>
  </si>
  <si>
    <t>32A</t>
  </si>
  <si>
    <t>Цена</t>
  </si>
  <si>
    <t>36D</t>
  </si>
  <si>
    <t>34D</t>
  </si>
  <si>
    <t>XS/S</t>
  </si>
  <si>
    <t>Jet Stream (K94)</t>
  </si>
  <si>
    <t>XL</t>
  </si>
  <si>
    <t xml:space="preserve">себе </t>
  </si>
  <si>
    <t>Aqua Seychelles (6U8)</t>
  </si>
  <si>
    <t>Palm Floral (78Y)</t>
  </si>
  <si>
    <t>Fresh Lilac (39P)</t>
  </si>
  <si>
    <t>Violet Fem (6U3)</t>
  </si>
  <si>
    <t>Minty Fresh (6HC)</t>
  </si>
  <si>
    <t>Tropical Palm (C54)</t>
  </si>
  <si>
    <t>Ignited (2FD)</t>
  </si>
  <si>
    <t>LP-334-387 </t>
  </si>
  <si>
    <t>LP-333-221 </t>
  </si>
  <si>
    <t>LP-324-590</t>
  </si>
  <si>
    <t>LP-339-621</t>
  </si>
  <si>
    <t>Reliance (44B)</t>
  </si>
  <si>
    <t>LP-332-077</t>
  </si>
  <si>
    <t>Lavender Perfume (C94)</t>
  </si>
  <si>
    <t>LP-335-406</t>
  </si>
  <si>
    <t>Blue Sequin (4C2)</t>
  </si>
  <si>
    <t>LP-325-209</t>
  </si>
  <si>
    <t>Black (3HW)</t>
  </si>
  <si>
    <t>LP-329-607</t>
  </si>
  <si>
    <t>Deep Lotus Angel (2GR)</t>
  </si>
  <si>
    <t>LP-320-476</t>
  </si>
  <si>
    <t>Ignited Embellished (2FD)</t>
  </si>
  <si>
    <t>LP-325-835 </t>
  </si>
  <si>
    <t>Seychelles (2AV)</t>
  </si>
  <si>
    <t>LP-315-641</t>
  </si>
  <si>
    <t>Sydney Stripe (AB7)</t>
  </si>
  <si>
    <t>Paradise Zig Zag Print (3US)</t>
  </si>
  <si>
    <t>Bright Pink (2R7)</t>
  </si>
  <si>
    <t>Triumph White (092)</t>
  </si>
  <si>
    <t>LP-339-575 </t>
  </si>
  <si>
    <t>LP-331-445</t>
  </si>
  <si>
    <t>LP-327-458 </t>
  </si>
  <si>
    <t>Black (372)</t>
  </si>
  <si>
    <t>Eclipse Blue (3KD)</t>
  </si>
  <si>
    <t>LP-312-735 </t>
  </si>
  <si>
    <t>Seafoam Blue (2P2)</t>
  </si>
  <si>
    <t>LP-312-815</t>
  </si>
  <si>
    <t>Champagne Dot Print (HE3)</t>
  </si>
  <si>
    <t>LP-312-725 </t>
  </si>
  <si>
    <t>Itty Dot Print (DJ7)</t>
  </si>
  <si>
    <t>LP-319-940</t>
  </si>
  <si>
    <t>Hot And Spicy Dot Lace (42Y)</t>
  </si>
  <si>
    <t>LP-315-658</t>
  </si>
  <si>
    <t>Multi Geo Stripe (7CY)</t>
  </si>
  <si>
    <t>LP-294-021</t>
  </si>
  <si>
    <t>LP-324-926</t>
  </si>
  <si>
    <t>Byron Paisley Paisley Floral (6XU)</t>
  </si>
  <si>
    <t>LP-327-496</t>
  </si>
  <si>
    <t>https://www.victoriassecret.com/clothing/tees-steals/the-essential-bra-top-cami?ProductID=241965&amp;CatalogueType=OLS</t>
  </si>
  <si>
    <t>LP-341-443</t>
  </si>
  <si>
    <t>Zoyann</t>
  </si>
  <si>
    <t>Bright Coral (H47)</t>
  </si>
  <si>
    <t>Sharkskin Grey (6VR)</t>
  </si>
  <si>
    <t>https://www.victoriassecret.com/lingerie/sale-and-clearance/mesh-bodysuit?ProductID=240083&amp;CatalogueType=OLS</t>
  </si>
  <si>
    <t>zulechka</t>
  </si>
  <si>
    <t>https://www.victoriassecret.com/lingerie/sale-and-clearance/embroidered-push-up-bra-dream-angels?ProductID=248377&amp;CatalogueType=OLS</t>
  </si>
  <si>
    <t>https://www.victoriassecret.com/lingerie/sale-and-clearance/fearless-demi-push-up-bra-very-sexy?ProductID=246829&amp;CatalogueType=OLS</t>
  </si>
  <si>
    <t>https://www.victoriassecret.com/sale/clearancepanties/lace-floral-v-string-panty-pink?ProductID=247505&amp;CatalogueType=OLS </t>
  </si>
  <si>
    <t>https://www.victoriassecret.com/panties/panty-clearance/cutout-lace-cheekini-panty-very-sexy?ProductID=248444&amp;CatalogueType=OLS</t>
  </si>
  <si>
    <t>https://www.victoriassecret.com/panties/panty-clearance/lace-trim-cheekini-panty-dream-angels?ProductID=247025&amp;CatalogueType=OLS</t>
  </si>
  <si>
    <t>https://www.victoriassecret.com/panties/panty-clearance/strappy-sequin-v-string-panty-very-sexy?ProductID=209498&amp;CatalogueType=OLS</t>
  </si>
  <si>
    <t>https://www.victoriassecret.com/panties/panty-clearance/limited-edition-waist-cincher-very-sexy?ProductID=221512&amp;CatalogueType=OLS</t>
  </si>
  <si>
    <t>Neff241288</t>
  </si>
  <si>
    <t>https://www.victoriassecret.com/sale/sleepwear/tee-and-short-set-signature-cotton?ProductID=202377&amp;CatalogueType=OLS</t>
  </si>
  <si>
    <t>ponka100</t>
  </si>
  <si>
    <t>https://www.victoriassecret.com/sale/sleepwear/lace-trim-slip-dream-angels?ProductID=249179&amp;CatalogueType=OLS</t>
  </si>
  <si>
    <t>https://www.victoriassecret.com/sale/clearancepanties/lace-waist-cheeky-panty-cotton-lingerie?ProductID=246796&amp;CatalogueType=OLS</t>
  </si>
  <si>
    <t>https://www.victoriassecret.com/panties/panty-clearance/curved-hem-hipster-panty?ProductID=247465&amp;CatalogueType=OLS</t>
  </si>
  <si>
    <t>https://www.victoriassecret.com/swimwear/very-sexy/the-itsy-very-sexy?ProductID=226503&amp;CatalogueType=OLS</t>
  </si>
  <si>
    <t>Polinna</t>
  </si>
  <si>
    <t>aviation</t>
  </si>
  <si>
    <t>https://www.victoriassecret.com//swimwear/bandeau/the-knockout-bandeau-very-sexy?ProductID=209969&amp;CatalogueType=OLS&amp;origin=search</t>
  </si>
  <si>
    <t>https://www.victoriassecret.com/bras/very-sexy/cutout-lace-cheekini-panty-very-sexy?ProductID=230044&amp;CatalogueType=OLS</t>
  </si>
  <si>
    <t>mashulya57</t>
  </si>
  <si>
    <t>https://www.victoriassecret.com/sale/bras/push-up-bra-body-by-victoria?ProductID=246756&amp;CatalogueType=OLS</t>
  </si>
  <si>
    <t>https://www.victoriassecret.com/sale/clearancepanties/cheekini-panty-body-by-victoria?ProductID=246771&amp;CatalogueType=OLS</t>
  </si>
  <si>
    <t>https://www.victoriassecret.com/sale/clearancebras/perfect-coverage-bra-body-by-victoria?ProductID=246751&amp;CatalogueType=OLS</t>
  </si>
  <si>
    <t>Зета Джонс</t>
  </si>
  <si>
    <t>Leksandra</t>
  </si>
  <si>
    <t>https://www.victoriassecret.com/swimwear/shop-by-size/the-flirt-bandeau-beach-sexy?ProductID=226450&amp;CatalogueType=OLS</t>
  </si>
  <si>
    <t>https://www.victoriassecret.com/swimwear/shop-by-size/the-fabulous-top-beach-sexy?ProductID=217776&amp;CatalogueType=OLS</t>
  </si>
  <si>
    <t>https://www.victoriassecret.com/swimwear/shop-by-size/the-unforgettable-demi-top-forever-sexy?ProductID=232163&amp;CatalogueType=OLS</t>
  </si>
  <si>
    <t>доставка %%</t>
  </si>
  <si>
    <t>https://www.victoriassecret.com/bras/panty-clearance/ruched-back-hiphugger-panty-cotton-lingerie?ProductID=246802&amp;CatalogueType=OLS</t>
  </si>
  <si>
    <t>https://www.victoriassecret.com/bras/panty-clearance/lace-waist-cheeky-panty-cotton-lingerie?ProductID=246790&amp;CatalogueType=OLS</t>
  </si>
  <si>
    <t>выкуплено 6 июня</t>
  </si>
  <si>
    <t>ариша11</t>
  </si>
  <si>
    <t>kustik</t>
  </si>
  <si>
    <t>https://www.victoriassecret.com/sale/clearancepanties/thong-panty-body-by-victoria?ProductID=246763&amp;CatalogueType=OLS</t>
  </si>
  <si>
    <t>LP-312-812</t>
  </si>
  <si>
    <t>https://www.victoriassecret.com/sale/clearancepanties/mesh-inset-thong-panty?ProductID=218568&amp;CatalogueType=OLS</t>
  </si>
  <si>
    <t>LP-327-359</t>
  </si>
  <si>
    <t>Quicksand (3F4)</t>
  </si>
  <si>
    <t>https://www.victoriassecret.com/sale/clearancepanties/thong-panty-body-by-victoria?ProductID=247346&amp;CatalogueType=OLS</t>
  </si>
  <si>
    <t>LP-339-045</t>
  </si>
  <si>
    <t>Eclipse Crochet Lace (2XR)</t>
  </si>
  <si>
    <t>Nastasiyacherry</t>
  </si>
  <si>
    <t>https://www.victoriassecret.com/sale/clearancepanties/string-bikini-panty-cotton-lingerie?ProductID=246784&amp;CatalogueType=OLS</t>
  </si>
  <si>
    <t>LP-315-275</t>
  </si>
  <si>
    <t>Purple Rose Stripe (26Q)</t>
  </si>
  <si>
    <t>https://www.victoriassecret.com/sale/clearancepanties/thong-panty-allover-lace-from-cotton-lingerie?ProductID=247355&amp;CatalogueType=OLS</t>
  </si>
  <si>
    <t>LP-339-061 </t>
  </si>
  <si>
    <t>Neon Nectar (3R9)</t>
  </si>
  <si>
    <t>https://www.victoriassecret.com/sale/clearancepanties/bridal-thong-panty-the-lacie?ProductID=248917&amp;CatalogueType=OLS</t>
  </si>
  <si>
    <t>LP-326-926 </t>
  </si>
  <si>
    <t>OS</t>
  </si>
  <si>
    <t>Hitched Graphic (3P2)</t>
  </si>
  <si>
    <t>https://www.victoriassecret.com/sale/clearancepanties/low-rise-cheekini-panty-the-lacie?ProductID=248920&amp;CatalogueType=OLS</t>
  </si>
  <si>
    <t>LP-329-722 </t>
  </si>
  <si>
    <t>White With Hearts Lace (4DX)</t>
  </si>
  <si>
    <t>https://www.victoriassecret.com/sale/clearancepanties/lace-trim-hipkini-panty-dream-angels?ProductID=247017&amp;CatalogueType=OLS</t>
  </si>
  <si>
    <t>LP-335-391</t>
  </si>
  <si>
    <t>Butterfly Print (HC5)</t>
  </si>
  <si>
    <t>Znadezhda</t>
  </si>
  <si>
    <t>https://www.victoriassecret.com/sale/clearanceclothing/fringe-kimono?ProductID=242189&amp;CatalogueType=OLS</t>
  </si>
  <si>
    <t>LP-341-293 </t>
  </si>
  <si>
    <t>Blue Boho (3U5)</t>
  </si>
  <si>
    <t>скидка 20% с самой дорогой вещи</t>
  </si>
  <si>
    <t>KateBond</t>
  </si>
  <si>
    <t>https://www.victoriassecret.com/sale/swim/the-flirt-bandeau-beach-sexy?ProductID=189745&amp;CatalogueType=OLS</t>
  </si>
  <si>
    <t>LP-297-089</t>
  </si>
  <si>
    <t>Coral Paisley (2HZ)</t>
  </si>
  <si>
    <t>LP-297-090 </t>
  </si>
  <si>
    <t>https://www.victoriassecret.com/sale/clothing/drawstring-short?ProductID=218675&amp;CatalogueType=OLS</t>
  </si>
  <si>
    <t>LP-329-492</t>
  </si>
  <si>
    <t>Paisley Print (6U9)</t>
  </si>
  <si>
    <t>invysotskaya</t>
  </si>
  <si>
    <t>https://www.victoriassecret.com/sale/clearanceclothing/v-neck-tee-essential-tees?ProductID=197110&amp;CatalogueType=OLS</t>
  </si>
  <si>
    <t>LP-314-737 </t>
  </si>
  <si>
    <t>Grape Escape (5A7)</t>
  </si>
  <si>
    <t>https://www.victoriassecret.com/sale/clearanceclothing/the-essential-bra-top-cami?ProductID=241965&amp;CatalogueType=OLS</t>
  </si>
  <si>
    <t>eyeofthemoon</t>
  </si>
  <si>
    <t>https://www.victoriassecret.com/sale/clearancebras/add-2-cups-push-up-bra-bombshell?ProductID=246803&amp;CatalogueType=OLS</t>
  </si>
  <si>
    <t>LP-321-914 </t>
  </si>
  <si>
    <t>34A</t>
  </si>
  <si>
    <t>Black/White Ribbon Trim (GK1)</t>
  </si>
  <si>
    <t>https://www.victoriassecret.com/sale/clearancepanties/low-rise-cheekini-panty-the-lacie?ProductID=247310&amp;CatalogueType=OLS</t>
  </si>
  <si>
    <t>LP-338-388 </t>
  </si>
  <si>
    <t>Pink Turn Of The Tides (3AA)</t>
  </si>
  <si>
    <t>https://www.victoriassecret.com/sale/clearancepanties/thong-panty-the-lacie?ProductID=248943&amp;CatalogueType=OLS</t>
  </si>
  <si>
    <t>LP-333-132</t>
  </si>
  <si>
    <t>Bombshell Pink Knot It (4EJ)</t>
  </si>
  <si>
    <t>https://www.victoriassecret.com/sale/clearancepanties/limited-edition-lace-thong-panty?ProductID=248871&amp;CatalogueType=OLS</t>
  </si>
  <si>
    <t>LP-325-649</t>
  </si>
  <si>
    <t>https://www.victoriassecret.com/sale/clearancepanties/lace-cheekster-panty-pink?ProductID=247447&amp;CatalogueType=OLS</t>
  </si>
  <si>
    <t>LP-339-548</t>
  </si>
  <si>
    <t>Buff (B15)</t>
  </si>
  <si>
    <t>масловадарья</t>
  </si>
  <si>
    <t>https://www.victoriassecret.com//swimwear/shop-by-size-mobile/ruffle-bralette-top-beach-sexy?ProductID=232268&amp;CatalogueType=OLS&amp;origin=search</t>
  </si>
  <si>
    <t>LP-329-661 </t>
  </si>
  <si>
    <t>Neon Citrus (6UH)</t>
  </si>
  <si>
    <t>LP-329-662</t>
  </si>
  <si>
    <t>Ясечка1</t>
  </si>
  <si>
    <t>https://www.victoriassecret.com/swimwear/itsy/the-itsy-beach-sexy?ProductID=205414&amp;CatalogueType=OLS</t>
  </si>
  <si>
    <t>LP-321-061</t>
  </si>
  <si>
    <t>White (092)</t>
  </si>
  <si>
    <t>https://www.victoriassecret.com/swimwear/shop-by-size/the-plunge-halter-beach-sexy?ProductID=247829&amp;CatalogueType=OLS</t>
  </si>
  <si>
    <t>LP-311-593 </t>
  </si>
  <si>
    <t>https://www.victoriassecret.com/swimwear/all-bottoms/the-knockout-bikini-beach-sexy?ProductID=210305&amp;CatalogueType=OLS</t>
  </si>
  <si>
    <t>LP-294-031</t>
  </si>
  <si>
    <t>Multi Stripe Geo (7CY)</t>
  </si>
  <si>
    <t>Estimated Ship: June 24</t>
  </si>
  <si>
    <t>https://www.victoriassecret.com/swimwear/bandeau/the-flirt-bandeau-beach-sexy?ProductID=242219&amp;CatalogueType=OLS</t>
  </si>
  <si>
    <t>LP-316-860</t>
  </si>
  <si>
    <t>34В </t>
  </si>
  <si>
    <t>Flo Fuchsia (5W7)</t>
  </si>
  <si>
    <t>https://www.victoriassecret.com/swimwear/bandeau/cheeky-hipkini-beach-sexy?ProductID=234871&amp;CatalogueType=OLS</t>
  </si>
  <si>
    <t>LP-316-861</t>
  </si>
  <si>
    <t>https://www.victoriassecret.com/sale/clothing/the-beach-bra-top-dress?ProductID=241940&amp;CatalogueType=OLS</t>
  </si>
  <si>
    <t>LP-338-652</t>
  </si>
  <si>
    <t>https://www.victoriassecret.com/sale/clearancepanties/geo-lace-trim-cheekster-panty-pink?ProductID=247467&amp;CatalogueType=OLS</t>
  </si>
  <si>
    <t>LP-339-589 </t>
  </si>
  <si>
    <t>St Patty Green (29R)</t>
  </si>
  <si>
    <t>https://www.victoriassecret.com/sale/clearancebras/perfect-coverage-bra-body-by-victoria?ProductID=248162&amp;CatalogueType=OLS</t>
  </si>
  <si>
    <t>LP-329-272</t>
  </si>
  <si>
    <t>Shell Pink Daisy Lace (H32)</t>
  </si>
  <si>
    <t>нет в наличии</t>
  </si>
  <si>
    <t>https://www.victoriassecret.com/panties/panty-clearance/allover-lace-mini-cheekster-pink?ProductID=247449&amp;CatalogueType=OLS</t>
  </si>
  <si>
    <t>LP-339-543</t>
  </si>
  <si>
    <t>https://www.victoriassecret.com/panties/panty-clearance/date-mini-cheekster-panty-pink?ProductID=247462&amp;CatalogueType=OLS</t>
  </si>
  <si>
    <t>LP-339-568</t>
  </si>
  <si>
    <t>Rose Grey (GG3)</t>
  </si>
  <si>
    <t>https://www.victoriassecret.com/panties/panty-clearance/geo-lace-trim-thong-panty-pink?ProductID=247469&amp;CatalogueType=OLS</t>
  </si>
  <si>
    <t>LP-339-587</t>
  </si>
  <si>
    <t>Jannet17</t>
  </si>
  <si>
    <t>Love VS Graphic (268)</t>
  </si>
  <si>
    <t>https://www.victoriassecret.com/sale/clearancepanties/low-rise-bloomer-panty-cotton-lingerie?ProductID=247280&amp;CatalogueType=OLS</t>
  </si>
  <si>
    <t>LP-337-472</t>
  </si>
  <si>
    <t>Wild Thing Print (3ZA)</t>
  </si>
  <si>
    <t>Black Stripe (3W6)</t>
  </si>
  <si>
    <t>выкуплено 7 июня</t>
  </si>
  <si>
    <t>Order Date: 06/06/2015</t>
  </si>
  <si>
    <t>Order Date: 06/07/2015</t>
  </si>
  <si>
    <t>https://www.victoriassecret.com//pink/apparel-the-tee-shop-mobile/side-slit-pocket-tee-pink?ProductID=243215&amp;CatalogueType=OLS&amp;origin=search</t>
  </si>
  <si>
    <t>Svetlana.Kulkova</t>
  </si>
  <si>
    <t>https://www.victoriassecret.com/swimwear/sale-and-specials/the-strappy-cheeky-beach-sexy?ProductID=232259&amp;CatalogueType=OLS</t>
  </si>
  <si>
    <t>https://www.victoriassecret.com/swimwear/sale-and-specials/ruffle-bralette-top-beach-sexy?ProductID=232266&amp;CatalogueType=OLS</t>
  </si>
  <si>
    <t>Order Date: 06/09/2015</t>
  </si>
  <si>
    <t>LP-315-641 </t>
  </si>
  <si>
    <t>Festival Geo (4JG)</t>
  </si>
  <si>
    <t>LP-337-812</t>
  </si>
  <si>
    <t>White Stripe (4T6)</t>
  </si>
  <si>
    <t>LP-312-815 </t>
  </si>
  <si>
    <t>Pirouette Pink (2PT)</t>
  </si>
  <si>
    <t>LP-329-661</t>
  </si>
  <si>
    <t>LP-329-662 </t>
  </si>
  <si>
    <t>https://www.victoriassecret.com/lingerie/sale-and-clearance/limited-edition-demi-bra-very-sexy?ProductID=247530&amp;CatalogueType=OLS</t>
  </si>
  <si>
    <t>LP-339-711</t>
  </si>
  <si>
    <t>Black Over New Nude (3HW)</t>
  </si>
  <si>
    <t>cdtnbr84</t>
  </si>
  <si>
    <t>https://www.victoriassecret.com/victorias-secret-sport/shop-sport-bras-by-size/incredible-by-victorias-secret-sport-bra-victorias-secret-sport?ProductID=244727&amp;CatalogueType=OLS</t>
  </si>
  <si>
    <t>LP-335-169</t>
  </si>
  <si>
    <t>https://www.victoriassecret.com/sleepwear/sleepshirts-and-nighties/eyelet-lace-trim-nightie?ProductID=237792&amp;CatalogueType=OLS</t>
  </si>
  <si>
    <t>LP-311-259</t>
  </si>
  <si>
    <t>Iconic Leopard (4H3)</t>
  </si>
  <si>
    <t>Dianaaa</t>
  </si>
  <si>
    <t>https://www.victoriassecret.com/sale/clearancebras/strappy-crossback-push-up-bra-very-sexy?ProductID=246924&amp;CatalogueType=OLS</t>
  </si>
  <si>
    <t>LP-332-602</t>
  </si>
  <si>
    <t>Bright Cherry (3YU)</t>
  </si>
  <si>
    <t>https://www.victoriassecret.com/panties/panty-clearance/scandalous-v-string-panty-very-sexy?ProductID=246904&amp;CatalogueType=OLS&amp;swatchImage=V869695_2FD</t>
  </si>
  <si>
    <t>LP-332-451 </t>
  </si>
  <si>
    <t>Ignited Red (2FD)</t>
  </si>
  <si>
    <t>Justanna</t>
  </si>
  <si>
    <t>https://www.victoriassecret.com/sale/clearanceswim/braided-lace-up-bandeau-beach-sexy?ProductID=235583&amp;CatalogueType=OLS</t>
  </si>
  <si>
    <t>LP-333-502</t>
  </si>
  <si>
    <t>Pineapple Toss (7DH)</t>
  </si>
  <si>
    <t>https://www.victoriassecret.com/sale/clearanceswim/convertible-halter-forever-sexy?ProductID=223856&amp;CatalogueType=OLS</t>
  </si>
  <si>
    <t>LP-316-636</t>
  </si>
  <si>
    <t>34C</t>
  </si>
  <si>
    <t>White Floral/Animal (5YZ)</t>
  </si>
  <si>
    <t xml:space="preserve">little_signorina </t>
  </si>
  <si>
    <t>https://www.victoriassecret.com/swimwear/beach-sexy/the-flirt-bandeau-beach-sexy?ProductID=237688&amp;CatalogueType=OLS</t>
  </si>
  <si>
    <t>LP-324-603 </t>
  </si>
  <si>
    <t>Black White Dot (4U3)</t>
  </si>
  <si>
    <t>LP-318-445</t>
  </si>
  <si>
    <t xml:space="preserve">50% скидка </t>
  </si>
  <si>
    <t>LP-324-604</t>
  </si>
  <si>
    <t>https://www.victoriassecret.com/swimwear/beach-sexy/the-teeny-triangle-top-beach-sexy?ProductID=246611&amp;CatalogueType=OLS</t>
  </si>
  <si>
    <t>LP-336-783</t>
  </si>
  <si>
    <t>Little Leopard (58K)</t>
  </si>
  <si>
    <t>LP-336-799 </t>
  </si>
  <si>
    <t>Эйвори</t>
  </si>
  <si>
    <t>https://www.victoriassecret.com/sale/clearancebras/ring-strappy-back-push-up-bra-very-sexy?ProductID=246920&amp;CatalogueType=OLS</t>
  </si>
  <si>
    <t>LP-332-595</t>
  </si>
  <si>
    <t>34B</t>
  </si>
  <si>
    <t>Dark And Stormy (3DQ)</t>
  </si>
  <si>
    <t>https://www.victoriassecret.com/lingerie/shop-all-lingerie/lace-trim-slip-dream-angels?ProductID=241982&amp;CatalogueType=OLS</t>
  </si>
  <si>
    <t>LP-333-761</t>
  </si>
  <si>
    <t>Coconut White (B20)</t>
  </si>
  <si>
    <t>https://www.victoriassecret.com/sale/clearancepanties/ultra-low-rise-cheeky-panty-the-lacie?ProductID=248915&amp;CatalogueType=OLS</t>
  </si>
  <si>
    <t>LP-317-989</t>
  </si>
  <si>
    <t>Minty Fresh/Dark And Stormy Cross Dye (L89)</t>
  </si>
  <si>
    <t>https://www.victoriassecret.com/sale/clearancepanties/dot-mesh-thong-panty-cotton-lingerie?ProductID=246880&amp;CatalogueType=OLS</t>
  </si>
  <si>
    <t>LP-331-914</t>
  </si>
  <si>
    <t>Tangy Sorbet Dot Mesh Lace (G49)</t>
  </si>
  <si>
    <t>https://www.victoriassecret.com/sale/clearancepanties/lace-trim-cheekster-panty-pink?ProductID=247509&amp;CatalogueType=OLS</t>
  </si>
  <si>
    <t>LP-339-622</t>
  </si>
  <si>
    <t>Heather Lime Zest With Minty Fresh (26N)</t>
  </si>
  <si>
    <t>https://www.victoriassecret.com/sale/clearancepanties/all-over-geo-lace-thong-pink?ProductID=247494&amp;CatalogueType=OLS</t>
  </si>
  <si>
    <t>LP-339-610</t>
  </si>
  <si>
    <t>Atomic Tangerine (B58)</t>
  </si>
  <si>
    <t>https://www.victoriassecret.com/sale/clearancepanties/high-leg-brief-panty-cotton-lingerie?ProductID=246781&amp;CatalogueType=OLS&amp;swatchImage=V429888</t>
  </si>
  <si>
    <t>https://www.victoriassecret.com/sale/clearancepanties/hiphugger-panty-cotton-lingerie?ProductID=246817&amp;CatalogueType=OLS&amp;swatchImage=V429869</t>
  </si>
  <si>
    <t>Airis*</t>
  </si>
  <si>
    <t>https://www.victoriassecret.com/sale/clearancebras/ring-strappy-back-push-up-bra-very-sexy?ProductID=246917&amp;CatalogueType=OLS</t>
  </si>
  <si>
    <t>LP-332-593</t>
  </si>
  <si>
    <t>32B</t>
  </si>
  <si>
    <t>Bright Cherry W/ Lace Trim (3YU)</t>
  </si>
  <si>
    <t>Bogdana</t>
  </si>
  <si>
    <t>https://www.victoriassecret.com/sale/clearancepanties/lace-waist-hiphugger-panty-cotton-lingerie?ProductID=248952&amp;CatalogueType=OLS</t>
  </si>
  <si>
    <t>https://www.victoriassecret.com/sale/clearancepanties/lace-waist-hiphugger-panty-cotton-lingerie?ProductID=246879&amp;CatalogueType=OLS</t>
  </si>
  <si>
    <t>https://www.victoriassecret.com/panties/bra-clearance/wear-everywhere-strapless-push-up-bra-pink?ProductID=248424&amp;CatalogueType=OLS</t>
  </si>
  <si>
    <t>LenaRuS</t>
  </si>
  <si>
    <t>https://www.victoriassecret.com/swimwear/bandeau/the-lace-midi-beach-sexy?ProductID=226536&amp;CatalogueType=OLS</t>
  </si>
  <si>
    <t>LP-329-578</t>
  </si>
  <si>
    <t>Black Lace (79J)</t>
  </si>
  <si>
    <t>LP-329-579</t>
  </si>
  <si>
    <t>СчастьеЕсть</t>
  </si>
  <si>
    <t>Arishkin</t>
  </si>
  <si>
    <t>https://www.victoriassecret.com//swimwear/halter/the-plunge-halter-beach-sexy?ProductID=247882&amp;CatalogueType=OLS&amp;origin=search</t>
  </si>
  <si>
    <t>https://www.victoriassecret.com//swimwear/cheeky/the-knockout-bikini-beach-sexy?ProductID=210305&amp;CatalogueType=OLS&amp;origin=search</t>
  </si>
  <si>
    <t>Симпампулька</t>
  </si>
  <si>
    <t>https://www.victoriassecret.com/sale/swim/the-flirt-bandeau-beach-sexy?ProductID=212226&amp;CatalogueType=OLS</t>
  </si>
  <si>
    <t>https://www.victoriassecret.com/panties/panty-clearance/itsy-cheekini-panty-very-sexy?ProductID=247384&amp;CatalogueType=OLS&amp;swatchImage=2FD</t>
  </si>
  <si>
    <t>https://www.victoriassecret.com/sleepwear/slips/racerback-slip-signature-cotton?ProductID=202387&amp;CatalogueType=OLS</t>
  </si>
  <si>
    <t>скидка 20% с самой дорогой вещи из клиранса</t>
  </si>
  <si>
    <t>выкуплено 9 июня</t>
  </si>
  <si>
    <t>Order Date: 06/11/2015</t>
  </si>
  <si>
    <t>LP-332-484</t>
  </si>
  <si>
    <t>Set Sail Stripe (3WB)</t>
  </si>
  <si>
    <t>LP-331-909</t>
  </si>
  <si>
    <t>Blue Sydney Stripe (AB7)</t>
  </si>
  <si>
    <t>Cherry Print (3X4)</t>
  </si>
  <si>
    <t>LP-311-593</t>
  </si>
  <si>
    <t>Estimated Ship: July 5 </t>
  </si>
  <si>
    <t>LP-293-957</t>
  </si>
  <si>
    <t>LP-332-494</t>
  </si>
  <si>
    <t>Heather Grey (Q10)</t>
  </si>
  <si>
    <t>LP-321-659 </t>
  </si>
  <si>
    <t>Bombshell Pink Angel Lace Racerback (25C)</t>
  </si>
  <si>
    <t>svet ok</t>
  </si>
  <si>
    <t>LP-330-415 </t>
  </si>
  <si>
    <t>Gypsy Paisley Stripe (78D)</t>
  </si>
  <si>
    <t>LP-329-572 </t>
  </si>
  <si>
    <t>LP-332-623</t>
  </si>
  <si>
    <t>Grey Floral (HH4)</t>
  </si>
  <si>
    <t>LP-325-816</t>
  </si>
  <si>
    <t>Bright Cherry (S40)</t>
  </si>
  <si>
    <t>Estimated Ship: Sept. 20</t>
  </si>
  <si>
    <t>LP-334-811 </t>
  </si>
  <si>
    <t>Sapphired Up Ring Back (3JY)</t>
  </si>
  <si>
    <t>LP-334-807 </t>
  </si>
  <si>
    <t>Black Sun Rays (E26)</t>
  </si>
  <si>
    <t>Pirouette Pink Sun Rays (H79)</t>
  </si>
  <si>
    <t>Bombshell Pink Ring Back (25C)</t>
  </si>
  <si>
    <t>LP-339-580</t>
  </si>
  <si>
    <t>Purple Tie Dye (4TZ)</t>
  </si>
  <si>
    <t>LP-339-299 </t>
  </si>
  <si>
    <t>Coral Flash Strappy (L86)</t>
  </si>
  <si>
    <t>LP-329-719 </t>
  </si>
  <si>
    <t>White Heart Lace (4DX)</t>
  </si>
  <si>
    <t>globusnn</t>
  </si>
  <si>
    <t>https://www.victoriassecret.com/panties/panty-clearance/cheekini-panty-body-by-victoria?ProductID=246875&amp;CatalogueType=OLS</t>
  </si>
  <si>
    <t>LP-331-908</t>
  </si>
  <si>
    <t>Champagne Metallic Lace (934)</t>
  </si>
  <si>
    <t>https://www.victoriassecret.com/panties/panty-clearance/low-rise-bikini-panty-cotton-lingerie?ProductID=246805&amp;CatalogueType=OLS</t>
  </si>
  <si>
    <t>LP-319-937 </t>
  </si>
  <si>
    <t>Bohemian Rhapsody (45A)</t>
  </si>
  <si>
    <t>https://www.victoriassecret.com/sleepwear/sleepshirts-and-nighties/ruffle-slip?ProductID=241782&amp;CatalogueType=OLS</t>
  </si>
  <si>
    <t>LP-334-664</t>
  </si>
  <si>
    <t>Blue Paisley (276)</t>
  </si>
  <si>
    <t>https://www.victoriassecret.com/sleepwear/sleepshirts-and-nighties/racerback-slip-signature-cotton?ProductID=202385&amp;CatalogueType=OLS</t>
  </si>
  <si>
    <t>LP-320-536</t>
  </si>
  <si>
    <t>Solar Sorbet Angel (G60)</t>
  </si>
  <si>
    <t>Ko4ka</t>
  </si>
  <si>
    <t>https://www.victoriassecret.com/victorias-secret-sport/sport-sale-event/incredible-by-victoria39s-secret-front-close-sport-bra-victorias-secret-sport?ProductID=205543&amp;CatalogueType=OLS&amp;swatchImage=4CB</t>
  </si>
  <si>
    <t>LP-340-404</t>
  </si>
  <si>
    <t>32D</t>
  </si>
  <si>
    <t>LP-293-950</t>
  </si>
  <si>
    <t>Engineered Paisley (6XS)</t>
  </si>
  <si>
    <t>LP-324-894</t>
  </si>
  <si>
    <t>Rich Grape (5ZF)</t>
  </si>
  <si>
    <t>balanova</t>
  </si>
  <si>
    <t>https://www.victoriassecret.com/sale/clearancebras/unlined-demi-bra-body-by-victoria?ProductID=246866&amp;CatalogueType=OLS</t>
  </si>
  <si>
    <t>LP-331-774</t>
  </si>
  <si>
    <t>Smoke And Mirror Grey (E49)</t>
  </si>
  <si>
    <t>https://www.victoriassecret.com/beauty/makeup-specials/shiny-kiss-flavored-gloss-beauty-rush?ProductID=228349&amp;CatalogueType=OLS</t>
  </si>
  <si>
    <t>LP-312-885</t>
  </si>
  <si>
    <t>Candy Baby (06G)</t>
  </si>
  <si>
    <t>Pink Goes Pop (AS8)</t>
  </si>
  <si>
    <t>mamaksy</t>
  </si>
  <si>
    <t>https://www.victoriassecret.com/beauty/all-makeup/shiny-kiss-flavored-gloss-beauty-rush?ProductID=228349&amp;CatalogueType=OLS</t>
  </si>
  <si>
    <t>LP-312-885 </t>
  </si>
  <si>
    <t>Taffy Go Lucky (048)</t>
  </si>
  <si>
    <t>https://www.victoriassecret.com/beauty/makeup-specials/color-shine-gloss-beauty-rush?ProductID=234689&amp;CatalogueType=OLS</t>
  </si>
  <si>
    <t>LP-318-814 </t>
  </si>
  <si>
    <t>Electric (26T)</t>
  </si>
  <si>
    <t>LP-303-392</t>
  </si>
  <si>
    <t>White (L87)</t>
  </si>
  <si>
    <t>nightmare</t>
  </si>
  <si>
    <t>https://www.victoriassecret.com/sleepwear/sleepshirts-and-nighties/sleepshirt-signature-cotton?ProductID=246912&amp;CatalogueType=OLS</t>
  </si>
  <si>
    <t>LP-332-487</t>
  </si>
  <si>
    <t>Neon Pink Meteor (37A)</t>
  </si>
  <si>
    <t>выкуплено 11 июня</t>
  </si>
  <si>
    <t>Estimated Ship: May 12 - вышлют отдельно 12 мая (возможно раньше, возможно позже, дата ориентировочная)</t>
  </si>
  <si>
    <t>Estimated Ship: June 28 - вышлют отдельно 28 июня (возможно раньше, возможно позже, дата ориентировочная)</t>
  </si>
  <si>
    <t>https://www.victoriassecret.com/sale/clearancebras/add-2-cups-push-up-bra-bombshell?ProductID=247558&amp;CatalogueType=OLS</t>
  </si>
  <si>
    <t>LP-339-904</t>
  </si>
  <si>
    <t>Floral Ribbon Slot (48T)</t>
  </si>
  <si>
    <t>LP-337-092</t>
  </si>
  <si>
    <t>Violet Sugar (P76)</t>
  </si>
  <si>
    <t>LP-334-460</t>
  </si>
  <si>
    <t>Harbor Blue (C61)</t>
  </si>
  <si>
    <t>LP-313-901</t>
  </si>
  <si>
    <t>Queens Fool Print (W60)</t>
  </si>
  <si>
    <t>Pirouette Pink (752)</t>
  </si>
  <si>
    <t>https://www.victoriassecret.com/panties/5-for-27-styles/logo-thong-panty-allover-lace-from-cotton-lingerie?ProductID=248901&amp;CatalogueType=OLS</t>
  </si>
  <si>
    <t>Black (E26)</t>
  </si>
  <si>
    <t>https://www.victoriassecret.com/panties/5-for-27-styles/dot-logo-thong-panty-allover-lace-from-cotton-lingerie?ProductID=249881&amp;CatalogueType=OLS</t>
  </si>
  <si>
    <t>https://www.victoriassecret.com/panties/5-for-27-styles/thong-panty-allover-lace-from-cotton-lingerie?ProductID=242290&amp;CatalogueType=OLS</t>
  </si>
  <si>
    <t>LP-313-836</t>
  </si>
  <si>
    <t>Bombshell Pink (25C)</t>
  </si>
  <si>
    <t>LP-322-558 </t>
  </si>
  <si>
    <t>Mini Leopard Print Mix (DI9)</t>
  </si>
  <si>
    <t>https://www.victoriassecret.com/sale/clearancepanties/lace-trim-hipster-panty-pink?ProductID=247457&amp;CatalogueType=OLS</t>
  </si>
  <si>
    <t>LP-339-571 </t>
  </si>
  <si>
    <t>https://www.victoriassecret.com/sale/clearancepanties/curved-hem-hipster-pink?ProductID=247456&amp;CatalogueType=OLS</t>
  </si>
  <si>
    <t>LP-339-577 </t>
  </si>
  <si>
    <t>Heather Peach (5TV)</t>
  </si>
  <si>
    <t>https://www.victoriassecret.com/sale/clearancepanties/lace-trim-cheekster-pink?ProductID=247439&amp;CatalogueType=OLS</t>
  </si>
  <si>
    <t>LP-339-552</t>
  </si>
  <si>
    <t>https://www.victoriassecret.com/panties/panty-clearance/ruched-back-hiphugger-panty-cotton-lingerie?ProductID=246802&amp;CatalogueType=OLS</t>
  </si>
  <si>
    <t>LP-319-940 </t>
  </si>
  <si>
    <t>Eggplant Painters Stripe (3PJ)</t>
  </si>
  <si>
    <t>LP-315-274</t>
  </si>
  <si>
    <t>Mini Leopard Print (DI9)</t>
  </si>
  <si>
    <t>https://www.victoriassecret.com/sale/clearancepanties/lace-trim-hipster-panty-pink?ProductID=247461&amp;CatalogueType=OLS</t>
  </si>
  <si>
    <t>LP-339-579 </t>
  </si>
  <si>
    <t xml:space="preserve">XS </t>
  </si>
  <si>
    <t>Order Date: 06/14/2015</t>
  </si>
  <si>
    <t>https://www.victoriassecret.com/panties/3-for-33-styles/mesh-crisscross-cheeky-panty-very-sexy?ProductID=244709&amp;CatalogueType=OLS</t>
  </si>
  <si>
    <t>LP-334-291</t>
  </si>
  <si>
    <t>True Navy (J01)</t>
  </si>
  <si>
    <t>https://www.victoriassecret.com/panties/3-for-33-styles/no-show-sexy-bikini-panty?ProductID=245284&amp;CatalogueType=OLS</t>
  </si>
  <si>
    <t>LP-276-570</t>
  </si>
  <si>
    <t>White (DK9)</t>
  </si>
  <si>
    <t>https://www.victoriassecret.com/panties/3-for-33-styles/victoria39s-secret-darling-mesh-thong-panty?ProductID=235564&amp;CatalogueType=OLS</t>
  </si>
  <si>
    <t>LP-333-454 </t>
  </si>
  <si>
    <t>Pink Balloon With Pirouette Trim (AR3)</t>
  </si>
  <si>
    <t>https://www.victoriassecret.com//pink/bras/personal-bra-boutique/victoria39s-secret-darling-demi-push-up?ProductID=247812&amp;CatalogueType=OLS&amp;origin=search</t>
  </si>
  <si>
    <t>LP-333-896</t>
  </si>
  <si>
    <t>Pink Ruched (AR3)</t>
  </si>
  <si>
    <t>https://www.victoriassecret.com/victorias-secret-sport/panties/no-show-thong-sport-panty-victorias-secret-sport?ProductID=242727&amp;CatalogueType=OLS</t>
  </si>
  <si>
    <t>LP-323-975</t>
  </si>
  <si>
    <t>Black (DL3)</t>
  </si>
  <si>
    <t>https://www.victoriassecret.com/victorias-secret-sport/sports-bras/angel-by-victoria39s-secret-sport-bra-victorias-secret-sport?ProductID=240208&amp;CatalogueType=OLS</t>
  </si>
  <si>
    <t>LP-328-515</t>
  </si>
  <si>
    <t>Neon Lemon (160)</t>
  </si>
  <si>
    <t>https://www.victoriassecret.com/victorias-secret-sport/all-tops/gym-tank-victorias-secret-sport?ProductID=241356&amp;CatalogueType=OLS</t>
  </si>
  <si>
    <t>LP-334-338</t>
  </si>
  <si>
    <t>Neon Lemon VSX Graphic (BW8)</t>
  </si>
  <si>
    <t>Signija</t>
  </si>
  <si>
    <t>https://www.victoriassecret.com/bras/bra-clearance/demi-bra-body-by-victoria?ProductID=246755&amp;CatalogueType=OLS</t>
  </si>
  <si>
    <t>LP-312-729</t>
  </si>
  <si>
    <t>Black Dot (302)</t>
  </si>
  <si>
    <t>Дарья:)</t>
  </si>
  <si>
    <t>https://www.victoriassecret.com/swimwear/sale-and-specials/the-strappy-fabulous-top-beach-sexy?ProductID=221376&amp;CatalogueType=OLS</t>
  </si>
  <si>
    <t>Black Floral (79U)</t>
  </si>
  <si>
    <t>https://www.victoriassecret.com/swimwear/all-bottoms/the-itsy-beach-sexy?ProductID=246122&amp;CatalogueType=OLS</t>
  </si>
  <si>
    <t>LP-336-802</t>
  </si>
  <si>
    <t>Cabana Green (22P)</t>
  </si>
  <si>
    <t>https://www.victoriassecret.com/swimwear/one-pieces-tankinis/belted-asymmetric-one-piece-forever-sexy?ProductID=221435&amp;CatalogueType=OLS</t>
  </si>
  <si>
    <t>LP-329-155</t>
  </si>
  <si>
    <t>Black/White Tiny Animal (6X4)</t>
  </si>
  <si>
    <t>vihrovatati</t>
  </si>
  <si>
    <t>https://www.victoriassecret.com/sale/clearanceswim/the-knockout-bandeau-forever-sexy?ProductID=224665&amp;CatalogueType=OLS</t>
  </si>
  <si>
    <t>LP-303-540</t>
  </si>
  <si>
    <t>34DD</t>
  </si>
  <si>
    <t>Diffused Floral (6X8)</t>
  </si>
  <si>
    <t>https://www.victoriassecret.com/swimwear/halter/the-hottie-halter-very-sexy?ProductID=248086&amp;CatalogueType=OLS</t>
  </si>
  <si>
    <t>LP-333-986</t>
  </si>
  <si>
    <t>Iris (805)</t>
  </si>
  <si>
    <t>https://www.victoriassecret.com/swimwear/halter/the-hottie-cheeky-very-sexy?ProductID=233936&amp;CatalogueType=OLS</t>
  </si>
  <si>
    <t>LP-333-989</t>
  </si>
  <si>
    <t>https://www.victoriassecret.com/clothing/cover-ups-steals/the-itsy-beach-sexy?ProductID=205452&amp;CatalogueType=OLS</t>
  </si>
  <si>
    <t>https://www.victoriassecret.com/swimwear/sale-and-specials/cropped-top-beach-sexy?ProductID=228811&amp;CatalogueType=OLS</t>
  </si>
  <si>
    <t>https://www.victoriassecret.com/swimwear/sale-and-specials/the-embossed-teeny-triangle-top-beach-sexy?ProductID=243203&amp;CatalogueType=OLS</t>
  </si>
  <si>
    <t>LP-334-687</t>
  </si>
  <si>
    <t>https://www.victoriassecret.com/swimwear/sale-and-specials/embossed-neoprene-string-bottom-beach-sexy?ProductID=241783&amp;CatalogueType=OLS</t>
  </si>
  <si>
    <t>LP-334-688</t>
  </si>
  <si>
    <t>https://www.victoriassecret.com/sale/clearanceswim/the-itsy-beach-sexy?ProductID=246122&amp;CatalogueType=OLS</t>
  </si>
  <si>
    <t>LP-336-802 </t>
  </si>
  <si>
    <t>Boardwalk Pink (77D)</t>
  </si>
  <si>
    <t>https://www.victoriassecret.com/swimwear/clearance/the-teeny-triangle-top-beach-sexy?ProductID=205345&amp;CatalogueType=OLS</t>
  </si>
  <si>
    <t>LP-336-782 </t>
  </si>
  <si>
    <t>https://www.victoriassecret.com/swimwear/sale-and-specials/the-lace-midi-beach-sexy?ProductID=226536&amp;CatalogueType=OLS</t>
  </si>
  <si>
    <t>https://www.victoriassecret.com/swimwear/all-bottoms/the-teeny-bikini-beach-sexy?ProductID=246153&amp;CatalogueType=OLS&amp;swatchImage=092</t>
  </si>
  <si>
    <t>LP-333-050</t>
  </si>
  <si>
    <t>White Lace (092)</t>
  </si>
  <si>
    <t>ИринаСП</t>
  </si>
  <si>
    <t>https://www.victoriassecret.com/swimwear/sale-and-specials/the-flounce-fabulous-top-beach-sexy?ProductID=227188&amp;CatalogueType=OLS</t>
  </si>
  <si>
    <t>LP-329-065 </t>
  </si>
  <si>
    <t>Spring Orchid (77K)</t>
  </si>
  <si>
    <t>LP-329-577 </t>
  </si>
  <si>
    <t>SoLHblLLLkO</t>
  </si>
  <si>
    <t>https://www.victoriassecret.com/swimwear/beach-sexy/the-getaway-halter-beach-sexy?ProductID=228715&amp;CatalogueType=OLS</t>
  </si>
  <si>
    <t>LP-339-098</t>
  </si>
  <si>
    <t>32D3</t>
  </si>
  <si>
    <t>White Graffiti Metallic (6XG)</t>
  </si>
  <si>
    <t>Estimated Ship: July 9</t>
  </si>
  <si>
    <t>LP-327-426</t>
  </si>
  <si>
    <t>nau6a</t>
  </si>
  <si>
    <t>https://www.victoriassecret.com/swimwear/sale-and-specials/flounce-halter-beach-sexy?ProductID=221500&amp;CatalogueType=OLS</t>
  </si>
  <si>
    <t>LP-329-575</t>
  </si>
  <si>
    <t>Sanded Ivory (77H)</t>
  </si>
  <si>
    <t>LP-329-577</t>
  </si>
  <si>
    <t>https://www.victoriassecret.com/swimwear/clearance/the-plunge-halter-beach-sexy?ProductID=247864&amp;CatalogueType=OLS</t>
  </si>
  <si>
    <t>Purple Cloud (6TM)</t>
  </si>
  <si>
    <t>LP-336-785 </t>
  </si>
  <si>
    <t>Sky High Cloud (6XK)</t>
  </si>
  <si>
    <t>выкуплено 14 июня</t>
  </si>
  <si>
    <t>горбушечка</t>
  </si>
  <si>
    <t>https://www.victoriassecret.com/victorias-secret-sport/bottoms-sale/knockout-by-victoria39s-secret-tight-victorias-secret-sport?ProductID=247756&amp;CatalogueType=OLS</t>
  </si>
  <si>
    <t>LP-329-958</t>
  </si>
  <si>
    <t>XS.Short</t>
  </si>
  <si>
    <t>Neon Nectar Tribal Geo (7F3)</t>
  </si>
  <si>
    <t>https://www.victoriassecret.com/bras/push-up/push-up-bra-dream-angels?ProductID=244463&amp;CatalogueType=OLS</t>
  </si>
  <si>
    <t>LP-334-746</t>
  </si>
  <si>
    <t>Smoke And Mirrors W/ Peek-A-Boo Lace (M37)</t>
  </si>
  <si>
    <t>https://www.victoriassecret.com/panties/thongs-and-v-strings/lace-trim-thong-panty-dream-angels?ProductID=243169&amp;CatalogueType=OLS</t>
  </si>
  <si>
    <t>LP-325-298</t>
  </si>
  <si>
    <t>Smoke And Mirrors With Frosted Iris Iridescent Lace And Treasure (M37)</t>
  </si>
  <si>
    <t>Order Date: 06/15/2015</t>
  </si>
  <si>
    <t>zvezda13</t>
  </si>
  <si>
    <t>https://www.victoriassecret.com/swimwear/sale-and-specials/the-knockout-bandeau-very-sexy?ProductID=236426&amp;CatalogueType=OLS</t>
  </si>
  <si>
    <t>LP-332-355</t>
  </si>
  <si>
    <t>Creamy Apricot (6TU)</t>
  </si>
  <si>
    <t>https://www.victoriassecret.com/swimwear/sale-and-specials/the-itsy-beach-sexy?ProductID=187984&amp;CatalogueType=OLS</t>
  </si>
  <si>
    <t>https://www.victoriassecret.com/panties/5-for-27-styles/dot-logo-thong-panty-allover-lace-from-cotton-lingerie?ProductID=247246&amp;CatalogueType=OLS</t>
  </si>
  <si>
    <t>Estimated Ship: Jun 24</t>
  </si>
  <si>
    <t>https://www.victoriassecret.com//sale/panties/lace-waist-thong-panty-cotton-lingerie?ProductID=240796&amp;CatalogueType=OLS&amp;origin=search</t>
  </si>
  <si>
    <t>https://www.victoriassecret.com//panties/5-for-27-styles/dot-logo-thong-panty-allover-lace-from-cotton-lingerie?ProductID=249881&amp;CatalogueType=OLS&amp;origin=search</t>
  </si>
  <si>
    <t>terrii</t>
  </si>
  <si>
    <t>https://www.victoriassecret.com/beauty/vs-fantasies-bodycare-specials/pure-seduction-deep-softening-body-butter-vs-fantasies?ProductID=166527&amp;CatalogueType=OLS</t>
  </si>
  <si>
    <t>LP-320-381</t>
  </si>
  <si>
    <t>Pure Seduction (25F)</t>
  </si>
  <si>
    <t>https://www.victoriassecret.com/beauty/vs-fantasies-bodycare-specials/aqua-kiss-deep-softening-body-butter-vs-fantasies?ProductID=154946&amp;CatalogueType=OLS</t>
  </si>
  <si>
    <t>LP-317-848 </t>
  </si>
  <si>
    <t>Aqua Kiss (96F)</t>
  </si>
  <si>
    <t>пристрой</t>
  </si>
  <si>
    <t>https://www.victoriassecret.com/sale/vs-fantasies-bodycare-special/mango-temptation-smoothing-body-scrub-vs-fantasies?ProductID=154950&amp;CatalogueType=OLS</t>
  </si>
  <si>
    <t>LP-317-855</t>
  </si>
  <si>
    <t>Mango Temptation (2F7)</t>
  </si>
  <si>
    <t>https://www.victoriassecret.com/sale/vs-fantasies-bodycare-special/sheer-love-smoothing-body-scrub-vs-fantasies?ProductID=154954&amp;CatalogueType=OLS</t>
  </si>
  <si>
    <t>LP-317-856 </t>
  </si>
  <si>
    <t>Sheer Love (2HW)</t>
  </si>
  <si>
    <t>Annet_</t>
  </si>
  <si>
    <t>https://www.victoriassecret.com/swimwear/sale-and-specials/the-knockout-bandeau-very-sexy?ProductID=233572&amp;CatalogueType=OLS</t>
  </si>
  <si>
    <t>LP-292-940 </t>
  </si>
  <si>
    <t>32C</t>
  </si>
  <si>
    <t>Underwater (6U2)</t>
  </si>
  <si>
    <t>https://www.victoriassecret.com/swimwear/sale-and-specials/the-knockout-cheeky-very-sexy?ProductID=205077&amp;CatalogueType=OLS</t>
  </si>
  <si>
    <t>LP-292-945</t>
  </si>
  <si>
    <t>https://www.victoriassecret.com/swimwear/forever-sexy/the-angel-convertible-forever-sexy?ProductID=229077&amp;CatalogueType=OLS</t>
  </si>
  <si>
    <t>LP-324-907 </t>
  </si>
  <si>
    <t>38C</t>
  </si>
  <si>
    <t>Estimated Ship: Aug. 24</t>
  </si>
  <si>
    <t>https://www.victoriassecret.com/sale/clearanceswim/push-up-halter-the-gorgeous-swim-collection?ProductID=217298&amp;CatalogueType=OLS</t>
  </si>
  <si>
    <t>LP-329-685</t>
  </si>
  <si>
    <t>Blue Heather Embellished (6Y3)</t>
  </si>
  <si>
    <t>https://www.victoriassecret.com/sale/clearanceswim/the-knockout-bikini-beach-sexy?ProductID=246068&amp;CatalogueType=OLS</t>
  </si>
  <si>
    <t>LP-336-794</t>
  </si>
  <si>
    <t>Ibiza Blue (6UR)</t>
  </si>
  <si>
    <t>https://www.victoriassecret.com/clothing/shop-all/lace-short?ProductID=221482&amp;CatalogueType=OLS</t>
  </si>
  <si>
    <t>LP-329-466</t>
  </si>
  <si>
    <t>fler_jonh</t>
  </si>
  <si>
    <t>https://www.victoriassecret.com/sale/clearancepanties/lace-waist-bikini-panty-cotton-lingerie?ProductID=246797&amp;CatalogueType=OLS</t>
  </si>
  <si>
    <t>LP-319-929</t>
  </si>
  <si>
    <t>Original Dot (3CF)</t>
  </si>
  <si>
    <t>Fleur Print (E88)</t>
  </si>
  <si>
    <t>KateMo</t>
  </si>
  <si>
    <t>https://www.victoriassecret.com/pink/major-swim-deals/mini-bikini-bottom-pink?ProductID=251236&amp;CatalogueType=OLS</t>
  </si>
  <si>
    <t>LP-338-885</t>
  </si>
  <si>
    <t>Black (9ZF)</t>
  </si>
  <si>
    <t>https://www.victoriassecret.com/swimwear/sale-styles/the-teeny-triangle-top-beach-sexy?ProductID=230189&amp;CatalogueType=OLS</t>
  </si>
  <si>
    <t>LP-334-651</t>
  </si>
  <si>
    <t>Estimated Ship: Jun 27</t>
  </si>
  <si>
    <t>Leno-k</t>
  </si>
  <si>
    <t>https://www.victoriassecret.com/catalogue/convertible-halter-forever-sexy?ProductID=228689&amp;CatalogueType=OLS&amp;cqo=true&amp;cqoCat=LP</t>
  </si>
  <si>
    <t>Pepper Grey (5YW)</t>
  </si>
  <si>
    <t>https://www.victoriassecret.com/catalogue/the-reversible-side-tie-cheeky-bottom-beach-sexy?ProductID=226466&amp;CatalogueType=OLS&amp;cqo=true&amp;cqoCat=LP</t>
  </si>
  <si>
    <t>LP-329-565</t>
  </si>
  <si>
    <t>Aqua/Coral Leo (79T)</t>
  </si>
  <si>
    <t>https://www.victoriassecret.com/swimwear/sale-styles/reversible-lace-up-halter-beach-sexy?ProductID=246676&amp;CatalogueType=OLS</t>
  </si>
  <si>
    <t>LP-335-194</t>
  </si>
  <si>
    <t>https://www.victoriassecret.com/swimwear/clearance/triangle-bikini-set-beach-sexy?ProductID=113227&amp;CatalogueType=OLS</t>
  </si>
  <si>
    <t>LP-305-383</t>
  </si>
  <si>
    <t>Seafoam Glow (433)</t>
  </si>
  <si>
    <t>Got A Mint (133)</t>
  </si>
  <si>
    <t>https://www.victoriassecret.com/beauty/sale-and-clearance/amber-romance-travel-size-body-lotion-vs-fantasies?ProductID=154977&amp;CatalogueType=OLS</t>
  </si>
  <si>
    <t>LP-317-878</t>
  </si>
  <si>
    <t>Amber Romance (259)</t>
  </si>
  <si>
    <t>выкуплено 15 июня</t>
  </si>
  <si>
    <t>https://www.victoriassecret.com//panties/5-for-27-styles/logo-thong-panty-allover-lace-from-cotton-lingerie?ProductID=233390&amp;CatalogueType=OLS&amp;origin=search</t>
  </si>
  <si>
    <t>Order Date: 06/21/2015</t>
  </si>
  <si>
    <t>mykonoss</t>
  </si>
  <si>
    <t>https://www.victoriassecret.com/swimwear/bandeau/the-knockout-bandeau-very-sexy?ProductID=233573&amp;CatalogueType=OLS</t>
  </si>
  <si>
    <t>Red Ignited (6NN)</t>
  </si>
  <si>
    <t>Juliettt</t>
  </si>
  <si>
    <t>Dark Floral (78E)</t>
  </si>
  <si>
    <t>Ольга82</t>
  </si>
  <si>
    <t>https://www.victoriassecret.com/bras/all-sale-and-clearance/freestyle-max-support-sport-bra-victorias-secret-sport?ProductID=240082&amp;CatalogueType=OLS</t>
  </si>
  <si>
    <t>Hello Lovely (S45)</t>
  </si>
  <si>
    <t>anime2286</t>
  </si>
  <si>
    <t>https://www.victoriassecret.com/swimwear/itsy/the-itsy-very-sexy?ProductID=228030&amp;CatalogueType=OLS</t>
  </si>
  <si>
    <t>https://www.victoriassecret.com/swimwear/bandeau/the-sexiest-bandeau-very-sexy?ProductID=237115&amp;CatalogueType=OLS</t>
  </si>
  <si>
    <t>https://www.victoriassecret.com/beauty/travel-and-accessories/signature-stud-cosmetic-bag-victorias-secret?ProductID=237214&amp;CatalogueType=OLS</t>
  </si>
  <si>
    <t>Lolita Pink (5KG)</t>
  </si>
  <si>
    <t>https://www.victoriassecret.com/bras/all-sale-and-clearance/limited-edition-unlined-demi-bra?ProductID=248452&amp;CatalogueType=OLS</t>
  </si>
  <si>
    <t>New Nude (608)</t>
  </si>
  <si>
    <t>Мама Матвея</t>
  </si>
  <si>
    <t>https://www.victoriassecret.com/swimwear/shop-by-size/ruched-halter-top-forever-sexy?ProductID=101330&amp;CatalogueType=OLS</t>
  </si>
  <si>
    <t>Black/White (3JE)</t>
  </si>
  <si>
    <t>https://www.victoriassecret.com//pink/beach-lifestyle/beach-towel-pink?ProductID=236902&amp;CatalogueType=OLS&amp;origin=search</t>
  </si>
  <si>
    <t>Teal Tie Dye (4TJ)</t>
  </si>
  <si>
    <t>https://www.victoriassecret.com/swimwear/itsy/the-itsy-beach-sexy?ProductID=205411&amp;CatalogueType=OLS</t>
  </si>
  <si>
    <t>https://www.victoriassecret.com/sale/swim/the-knockout-bandeau-forever-sexy?ProductID=205401&amp;CatalogueType=OLS</t>
  </si>
  <si>
    <t>https://www.victoriassecret.com/swimwear/shop-by-size/the-high-leg-mesh-itsy-beach-sexy?ProductID=233912&amp;CatalogueType=OLS</t>
  </si>
  <si>
    <t>White (7JT)</t>
  </si>
  <si>
    <t>https://www.victoriassecret.com/swimwear/shop-by-size/the-mesh-beach-bandeau-beach-sexy?ProductID=232051&amp;CatalogueType=OLS</t>
  </si>
  <si>
    <t>https://www.victoriassecret.com/swimwear/shop-by-size/the-love-bikini-very-sexy?ProductID=233939&amp;CatalogueType=OLS</t>
  </si>
  <si>
    <t>Dawn (3FY)</t>
  </si>
  <si>
    <t>https://www.victoriassecret.com/swimwear/shop-by-size/the-love-triangle-top-very-sexy?ProductID=246567&amp;CatalogueType=OLS</t>
  </si>
  <si>
    <t>https://www.victoriassecret.com/bras/all-sale-and-clearance/perfect-shape-bra-body-by-victoria?ProductID=249169&amp;CatalogueType=OLS</t>
  </si>
  <si>
    <t>Champagne (M58)</t>
  </si>
  <si>
    <t>stellar81</t>
  </si>
  <si>
    <t>https://www.victoriassecret.com/bras/bra-clearance/push-up-bra-dream-angels?ProductID=248285&amp;CatalogueType=OLS</t>
  </si>
  <si>
    <t>Ignited Embellished Lace W/ Cap Sleeves (2FD)</t>
  </si>
  <si>
    <t>https://www.victoriassecret.com/pink/pink-swim-sale/triangle-bikini-top-pink?ProductID=249973&amp;CatalogueType=OLS</t>
  </si>
  <si>
    <t>Neon Hot Pink (498)</t>
  </si>
  <si>
    <t>sashulya.m</t>
  </si>
  <si>
    <t>https://www.victoriassecret.com/swimwear/shop-by-size/the-hottie-halter-very-sexy?ProductID=227104&amp;CatalogueType=OLS</t>
  </si>
  <si>
    <t>@lisa</t>
  </si>
  <si>
    <t>https://www.victoriassecret.com/swimwear/sale-and-specials/belted-asymmetric-one-piece-forever-sexy?ProductID=226213&amp;CatalogueType=OLS&amp;swatchImage=093</t>
  </si>
  <si>
    <t>banket</t>
  </si>
  <si>
    <t>irisha19850</t>
  </si>
  <si>
    <t>https://www.victoriassecret.com/swimwear/sale-and-specials/ruffle-strap-one-piece-beach-sexy?ProductID=229881&amp;CatalogueType=OLS</t>
  </si>
  <si>
    <t>Coral Flash (6WG)</t>
  </si>
  <si>
    <t>https://www.victoriassecret.com/sale/clearanceswim/the-flirt-bandeau-beach-sexy?ProductID=246603&amp;CatalogueType=OLS</t>
  </si>
  <si>
    <t>https://www.victoriassecret.com/swimwear/shop-by-size/the-strappy-bandeau-beach-sexy?ProductID=246132&amp;CatalogueType=OLS </t>
  </si>
  <si>
    <t>LP-336-777 </t>
  </si>
  <si>
    <t>Natural Tiger (6XQ)</t>
  </si>
  <si>
    <t>https://www.victoriassecret.com/swimwear/shop-by-size/the-itsy-beach-sexy?ProductID=246124&amp;CatalogueType=OLS</t>
  </si>
  <si>
    <t>LP-336-805</t>
  </si>
  <si>
    <t>bazilika</t>
  </si>
  <si>
    <t>https://www.victoriassecret.com/catalogue/the-strappy-bandeau-beach-sexy?ProductID=246132&amp;CatalogueType=OLS&amp;cqo=true&amp;cqoCat=LP</t>
  </si>
  <si>
    <t>LP-336-776 </t>
  </si>
  <si>
    <t>Jetstream Blue (6TK)</t>
  </si>
  <si>
    <t>https://www.victoriassecret.com//sale/clearanceswim/triangle-bikini-set-beach-sexy?ProductID=113227&amp;CatalogueType=OLS&amp;origin=search</t>
  </si>
  <si>
    <t>LP-312-990</t>
  </si>
  <si>
    <t>Animal (29B)</t>
  </si>
  <si>
    <t>https://www.victoriassecret.com//swimwear/all-bottoms/the-knockout-bikini-beach-sexy?ProductID=246068&amp;CatalogueType=OLS&amp;origin=search</t>
  </si>
  <si>
    <t>Everglade Green (5YX)</t>
  </si>
  <si>
    <t>https://www.victoriassecret.com//swimwear/shop-by-size-mobile/the-teeny-triangle-top-beach-sexy?ProductID=221792&amp;CatalogueType=OLS&amp;origin=search</t>
  </si>
  <si>
    <t>Lu Lu</t>
  </si>
  <si>
    <t>https://www.victoriassecret.com/sleepwear/semi-sale-pajamas/cotton-mayfair-boxer-pajama?ProductID=252367&amp;CatalogueType=OLS</t>
  </si>
  <si>
    <t>LP-331-129 </t>
  </si>
  <si>
    <t>Black Mini Leopard (DI9)</t>
  </si>
  <si>
    <t>https://www.victoriassecret.com/swimwear/beach-sexy/the-fabulous-top-beach-sexy?ProductID=209984&amp;CatalogueType=OLS</t>
  </si>
  <si>
    <t>LP-340-892</t>
  </si>
  <si>
    <t>Jetstream Blue/Neon Citrus Colorblock (6ZB)</t>
  </si>
  <si>
    <t>https://www.victoriassecret.com/swimwear/beach-sexy/the-neoprene-itsy-bottom-beach-sexy?ProductID=247990&amp;CatalogueType=OLS</t>
  </si>
  <si>
    <t>LP-340-890</t>
  </si>
  <si>
    <t>Jet Stream Blue/Iced Kiwi (6ZB)</t>
  </si>
  <si>
    <t>https://www.victoriassecret.com/sleepwear/shop-all-sleep/the-angel-sleep-tee-by-victorias-secret?ProductID=215433&amp;CatalogueType=OLS</t>
  </si>
  <si>
    <t>LP-332-494 </t>
  </si>
  <si>
    <t>Black/ White Leopard (3MT)</t>
  </si>
  <si>
    <t>elena-1983</t>
  </si>
  <si>
    <t>https://www.victoriassecret.com/sale/clearanceclothing/crochet-crop-tank?ProductID=218665&amp;CatalogueType=OLS</t>
  </si>
  <si>
    <t>LP-329-083 </t>
  </si>
  <si>
    <t>margarita3434</t>
  </si>
  <si>
    <t>https://www.victoriassecret.com/swimwear/clearance/ruffle-bralette-top-beach-sexy?ProductID=232268&amp;CatalogueType=OLS</t>
  </si>
  <si>
    <t>https://www.victoriassecret.com/swimwear/clearance/the-strappy-cheeky-beach-sexy?ProductID=232259&amp;CatalogueType=OLS</t>
  </si>
  <si>
    <t>http://www.nn.ru/popup.php?c=classForum&amp;m=forumCutTree&amp;s=2845&amp;do=cutread&amp;thread=30285881&amp;topic_id=122657171</t>
  </si>
  <si>
    <t>Sapphired Up (42C)</t>
  </si>
  <si>
    <t>Bahama Blue (2VV)</t>
  </si>
  <si>
    <t>LP-329-774</t>
  </si>
  <si>
    <t>Navy And Neon Violet (DB7)</t>
  </si>
  <si>
    <t>leno4kafly</t>
  </si>
  <si>
    <t>LP-327-959</t>
  </si>
  <si>
    <t>Ocean Blue Chevron Print (3PU)</t>
  </si>
  <si>
    <t>http://www.nn.ru/popup.php?c=classForum&amp;m=forumCutTree&amp;s=2845&amp;do=cutread&amp;thread=30285881&amp;topic_id=122633829</t>
  </si>
  <si>
    <t>LP-327-640 </t>
  </si>
  <si>
    <t>Sea Blue Marl (73R)</t>
  </si>
  <si>
    <t>Yana@</t>
  </si>
  <si>
    <t>http://www.nn.ru/popup.php?c=classForum&amp;m=forumCutTree&amp;s=2845&amp;do=cutread&amp;thread=30285881&amp;topic_id=122657985</t>
  </si>
  <si>
    <t>LP-313-818 </t>
  </si>
  <si>
    <t>Paradise Graphic (CK4)</t>
  </si>
  <si>
    <t>LP-304-353</t>
  </si>
  <si>
    <t>Desert Festival Print (492)</t>
  </si>
  <si>
    <t>LP-322-443</t>
  </si>
  <si>
    <t>Navy Marl (4U7)</t>
  </si>
  <si>
    <t>LP-327-642</t>
  </si>
  <si>
    <t>Heather Grey And Neon Kiwi (660)</t>
  </si>
  <si>
    <t>https://www.victoriassecret.com//swimwear/clearance/the-strappy-fabulous-top-beach-sexy?ProductID=221376&amp;CatalogueType=OLS&amp;origin=search</t>
  </si>
  <si>
    <t>LP-329-060</t>
  </si>
  <si>
    <t>Wild Thing (3ZA)</t>
  </si>
  <si>
    <t>Bahama Blue (4FD)</t>
  </si>
  <si>
    <t>https://www.victoriassecret.com/clothing/all-handbags-and-accessories-c/mini-bag-victorias-secret?ProductID=249884&amp;CatalogueType=OLS</t>
  </si>
  <si>
    <t>LP-330-952</t>
  </si>
  <si>
    <t>Yellow Studded (5QZ)</t>
  </si>
  <si>
    <t>LP-323-944</t>
  </si>
  <si>
    <t>https://www.victoriassecret.com/sale/clearancepanties/lace-waist-cheeky-panty-cotton-lingerie?ProductID=246796&amp;CatalogueType=O</t>
  </si>
  <si>
    <t>Mini Pink Leopard Print (W48)</t>
  </si>
  <si>
    <t>ma$yanya</t>
  </si>
  <si>
    <t>LP-328-932</t>
  </si>
  <si>
    <t>Beach Glass Print (U84)</t>
  </si>
  <si>
    <t>Crazy Over Paisley Print (DR2)</t>
  </si>
  <si>
    <t>LP-339-577</t>
  </si>
  <si>
    <t>Heather Mint (26N)</t>
  </si>
  <si>
    <t>https://www.victoriassecret.com/sale/clearancepanties/low-rise-bikini-panty-cotton-lingerie?ProductID=246805&amp;CatalogueType=OLS</t>
  </si>
  <si>
    <t>LP-319-937</t>
  </si>
  <si>
    <t>Limeade Stripe (3DJ)</t>
  </si>
  <si>
    <t>https://www.victoriassecret.com/panties/panty-clearance/itsy-panty?ProductID=248948&amp;CatalogueType=OLS</t>
  </si>
  <si>
    <t>LP-332-015</t>
  </si>
  <si>
    <t>Pink Geo Print (V25)</t>
  </si>
  <si>
    <t>Tatyanadok</t>
  </si>
  <si>
    <t>https://www.victoriassecret.com/sale/clearancepanties/bikini-panty-cotton-lingerie?ProductID=246800&amp;CatalogueType=OLS</t>
  </si>
  <si>
    <t>LP-319-932</t>
  </si>
  <si>
    <t>VS Graphic (CT7)</t>
  </si>
  <si>
    <t>https://www.victoriassecret.com/sale/clearancepanties/ruched-back-hiphugger-panty-cotton-lingerie?ProductID=246802&amp;CatalogueType=OLS</t>
  </si>
  <si>
    <t>Shooting Hearts Print (4NA)</t>
  </si>
  <si>
    <t>https://www.victoriassecret.com/sale/clearancepanties/itsy-panty?ProductID=248948&amp;CatalogueType=OLS</t>
  </si>
  <si>
    <t>LP-332-015 </t>
  </si>
  <si>
    <t>Pineapple Toss Print (3BG)</t>
  </si>
  <si>
    <t>Solar Sorbet (G89)</t>
  </si>
  <si>
    <t>https://www.victoriassecret.com/bras/all-sale-and-clearance/unlined-perfect-coverage-bra-cotton-lingerie?ProductID=246773&amp;CatalogueType=OLS</t>
  </si>
  <si>
    <t>LP-313-118</t>
  </si>
  <si>
    <t>Light Nude (608)</t>
  </si>
  <si>
    <t>https://www.victoriassecret.com/sale/clearancepanties/thong-panty-the-lacie?ProductID=247335&amp;CatalogueType=OLS</t>
  </si>
  <si>
    <t>Suslichka</t>
  </si>
  <si>
    <t>https://www.victoriassecret.com/sale/clearancepanties/hiphugger-panty-the-lacie?ProductID=248914&amp;CatalogueType=OLS</t>
  </si>
  <si>
    <t>выкуплено 21 июня</t>
  </si>
  <si>
    <r>
      <rPr>
        <b/>
        <sz val="11"/>
        <color indexed="10"/>
        <rFont val="Calibri"/>
        <family val="2"/>
      </rPr>
      <t>окончательный</t>
    </r>
    <r>
      <rPr>
        <sz val="11"/>
        <rFont val="Calibri"/>
        <family val="2"/>
      </rPr>
      <t xml:space="preserve"> курс $</t>
    </r>
  </si>
  <si>
    <t>сдача 965р с раздачи 2 июля учтена</t>
  </si>
  <si>
    <t>Order Date: 06/26/2015</t>
  </si>
  <si>
    <t>https://www.victoriassecret.com/sale/clothing/racerback-tank-anytime-tees?ProductID=249132&amp;CatalogueType=OLS</t>
  </si>
  <si>
    <t>LP-329-023</t>
  </si>
  <si>
    <t>Navy Blue Stripe/Summer Of Lov (7fr)</t>
  </si>
  <si>
    <t>https://www.victoriassecret.com/sale/clothing/double-strap-cover-up-mini?ProductID=240177&amp;CatalogueType=OLS</t>
  </si>
  <si>
    <t>LP-338-653</t>
  </si>
  <si>
    <t>Pink (4ge)</t>
  </si>
  <si>
    <t>https://www.victoriassecret.com/swimwear/clearance/the-itsy-beach-sexy?ProductID=246122&amp;CatalogueType=OLS</t>
  </si>
  <si>
    <t>LP-336-803</t>
  </si>
  <si>
    <t>Black/white Stripe (6xn)</t>
  </si>
  <si>
    <t>https://www.victoriassecret.com/swimwear/clearance/the-classic-bandeau-forever-sexy?ProductID=234018&amp;CatalogueType=OLS</t>
  </si>
  <si>
    <t>LP-327-673</t>
  </si>
  <si>
    <t>https://www.victoriassecret.com/sale/sleepwear/racerback-slip-signature-cotton?ProductID=196587&amp;CatalogueType=OLS</t>
  </si>
  <si>
    <t>Victoria Pink Vs (705)</t>
  </si>
  <si>
    <t>https://www.victoriassecret.com/sale/sleepwear/lace-bustle-back-slip-sexy-little-things?ProductID=175749&amp;CatalogueType=OLS</t>
  </si>
  <si>
    <t>LP-305-523</t>
  </si>
  <si>
    <t>Bright Cherry (s40)</t>
  </si>
  <si>
    <t>20% скидка на самую дорогую вещь</t>
  </si>
  <si>
    <t>VeryVera</t>
  </si>
  <si>
    <t>https://www.victoriassecret.com//bras/all-sale-and-clearance/add-2-cups-push-up-bra-bombshell?ProductID=244189&amp;CatalogueType=OLS&amp;origin=search</t>
  </si>
  <si>
    <t>LP-331-016</t>
  </si>
  <si>
    <t>Almost Nude (dj5)</t>
  </si>
  <si>
    <t>https://www.victoriassecret.com/sale/clothing/off-the-shoulder-cover-up?ProductID=241027&amp;CatalogueType=OLS</t>
  </si>
  <si>
    <t>LP-329-034</t>
  </si>
  <si>
    <t>Black/White Stripe (3w6)</t>
  </si>
  <si>
    <t>ashatan</t>
  </si>
  <si>
    <t>https://www.victoriassecret.com/sale/swim/the-flirt-bandeau-beach-sexy?ProductID=182465&amp;CatalogueType=OLS</t>
  </si>
  <si>
    <t>LP-311-887</t>
  </si>
  <si>
    <t>Coral Blaze (57z)</t>
  </si>
  <si>
    <t>LP-294-008</t>
  </si>
  <si>
    <t>https://www.victoriassecret.com/sale/pink/sheet-set-pink?ProductID=222242&amp;CatalogueType=OLS</t>
  </si>
  <si>
    <t>LP-332-620</t>
  </si>
  <si>
    <t>F</t>
  </si>
  <si>
    <t>White/navy Dot (2pz)</t>
  </si>
  <si>
    <t>https://www.victoriassecret.com/sale/clearancepanties/lace-waist-cheeky-panty-cotton-lingerie?ProductID=246796&amp;CatalogueType=OLS </t>
  </si>
  <si>
    <t>Jet Stream (k94)</t>
  </si>
  <si>
    <t>Solar Sorbet (g89)</t>
  </si>
  <si>
    <t>AnnaSi</t>
  </si>
  <si>
    <t>https://www.victoriassecret.com//clothing/all-sale-and-specials/the-essential-bra-top-cami?ProductID=241965&amp;CatalogueType=OLS&amp;origin=search</t>
  </si>
  <si>
    <t>себе</t>
  </si>
  <si>
    <t>Sea Breeze (5AG)</t>
  </si>
  <si>
    <t>https://www.victoriassecret.com/panties/panty-clearance/cotton-basics-bikini-pink?ProductID=247511&amp;CatalogueType=OLS</t>
  </si>
  <si>
    <t>LP-339-628</t>
  </si>
  <si>
    <t>Heather Pink Ombre (CB3)</t>
  </si>
  <si>
    <t>маме</t>
  </si>
  <si>
    <t>Nude (DJ5)</t>
  </si>
  <si>
    <t>https://www.victoriassecret.com/panties/panty-clearance/thong-panty-the-lacie?ProductID=247335&amp;CatalogueType=OLS</t>
  </si>
  <si>
    <t>LP-338-918</t>
  </si>
  <si>
    <t>Tangy Sorbet (G49)</t>
  </si>
  <si>
    <t>Blue Diamond (66C)</t>
  </si>
  <si>
    <t>выкуплено 26 июня</t>
  </si>
  <si>
    <t>lady86</t>
  </si>
  <si>
    <t>https://www.victoriassecret.com/swimwear/beach-sexy/wrap-bralette-beach-sexy?ProductID=244716&amp;CatalogueType=OLS</t>
  </si>
  <si>
    <t>LP-334-715</t>
  </si>
  <si>
    <t>black (093)</t>
  </si>
  <si>
    <t>https://www.victoriassecret.com/catalogue/add-2-cups-push-up-bra-bombshell?ProductID=246736&amp;CatalogueType=OLS&amp;cqo=true&amp;cqoCat=LP</t>
  </si>
  <si>
    <t>LP-301-527 </t>
  </si>
  <si>
    <t>White (DK9) </t>
  </si>
  <si>
    <t>https://www.victoriassecret.com//swimwear/high-waist-more-coverage/the-heavenly-bikini-forever-sexy?ProductID=225288&amp;CatalogueType=OLS&amp;origin=search</t>
  </si>
  <si>
    <t>LP-304-368</t>
  </si>
  <si>
    <t>Escape Stripe (7DX)</t>
  </si>
  <si>
    <t>LP-333-576</t>
  </si>
  <si>
    <t>https://www.victoriassecret.com/victorias-secret-sport/shop-all/sport-essential-gym-bag-victorias-secret-sport?ProductID=225984&amp;CatalogueType=OLS&amp;swatchImage=S45</t>
  </si>
  <si>
    <t>LP-332-857</t>
  </si>
  <si>
    <t>Black Feather (HA6)</t>
  </si>
  <si>
    <t>https://www.victoriassecret.com/clothing/bottoms/shell-tie-cover-up-jumpsuit?ProductID=235292&amp;CatalogueType=OLS</t>
  </si>
  <si>
    <t>LP-333-794</t>
  </si>
  <si>
    <t>Boho Zig Zag (3D9)</t>
  </si>
  <si>
    <t>https://www.victoriassecret.com/beauty/accessories-sale/flip-open-leopard-mirror-beauty-rush?ProductID=199382&amp;CatalogueType=OLS</t>
  </si>
  <si>
    <t>LP-318-904</t>
  </si>
  <si>
    <t>taninnov</t>
  </si>
  <si>
    <t>https://www.victoriassecret.com/swimwear/sale-and-specials/graphic-bandeau-beach-sexy?ProductID=222017&amp;CatalogueType=OLS</t>
  </si>
  <si>
    <t>LP-331-421</t>
  </si>
  <si>
    <t>Surf Scenic (7BW)</t>
  </si>
  <si>
    <t>LP-331-420</t>
  </si>
  <si>
    <t>nevynosimonova</t>
  </si>
  <si>
    <t>https://www.victoriassecret.com/bras/panty-clearance/curved-hem-hipster-pink?ProductID=247456&amp;CatalogueType=OLS</t>
  </si>
  <si>
    <t>https://www.victoriassecret.com/swimwear/sale-and-specials/the-teeny-triangle-top-beach-sexy?ProductID=246611&amp;CatalogueType=OLS</t>
  </si>
  <si>
    <t>LP-336-782</t>
  </si>
  <si>
    <t>gnn1813</t>
  </si>
  <si>
    <t>https://www.victoriassecret.com/swimwear/bikinis/the-knockout-bikini-beach-sexy?ProductID=246068&amp;CatalogueType=OLS</t>
  </si>
  <si>
    <t>https://www.victoriassecret.com/panties/panty-clearance/lace-trim-hipster-panty-pink?ProductID=247457&amp;CatalogueType=OLS</t>
  </si>
  <si>
    <t>https://www.victoriassecret.com/panties/panty-clearance/bikini-panty-cotton-lingerie?ProductID=246800&amp;CatalogueType=OLS</t>
  </si>
  <si>
    <t>Pink Safari Geo Print (V25)</t>
  </si>
  <si>
    <t>https://www.victoriassecret.com//swimwear/essential-bottoms/the-itsy-beach-sexy?ProductID=205411&amp;CatalogueType=OLS&amp;origin=search</t>
  </si>
  <si>
    <t>LP-316-936</t>
  </si>
  <si>
    <t>https://www.victoriassecret.com/clearance/bras/limited-edition-unlined-demi-bra?ProductID=217373&amp;CatalogueType=OLS</t>
  </si>
  <si>
    <t>LP-323-945</t>
  </si>
  <si>
    <t>выкуплено 29 июня</t>
  </si>
  <si>
    <t>Order Date: 06/29/2015</t>
  </si>
  <si>
    <t>сдача учтена в выкупе ВС июль</t>
  </si>
  <si>
    <t>Order Date: 7/2/2015</t>
  </si>
  <si>
    <t>https://www.victoriassecret.com/swimwear/shop-by-size/the-hottie-halter-very-sexy?ProductID=211798&amp;CatalogueType=OLS&amp;swatchImage=V433246</t>
  </si>
  <si>
    <t>LU-333-986</t>
  </si>
  <si>
    <t>https://www.victoriassecret.com/swimwear/shop-by-size/the-sexiest-cheeky-very-sexy?ProductID=246562&amp;CatalogueType=OLS</t>
  </si>
  <si>
    <t>LU-331-470</t>
  </si>
  <si>
    <t>Black/White Diamonds (6U6)</t>
  </si>
  <si>
    <t>https://www.victoriassecret.com/swimwear/shop-by-size/the-beach-bandeau-beach-sexy?ProductID=246716&amp;CatalogueType=OLS</t>
  </si>
  <si>
    <t>LU-336-794</t>
  </si>
  <si>
    <t>https://www.victoriassecret.com/swimwear/all-bottoms/the-knockout-bandeau-forever-sexy?ProductID=224665&amp;CatalogueType=OLS</t>
  </si>
  <si>
    <t>LU-303-540</t>
  </si>
  <si>
    <t>tatka424</t>
  </si>
  <si>
    <t>https://www.victoriassecret.com/beauty/lip/juiced-flavored-gloss-beauty-rush?ProductID=234622&amp;CatalogueType=OLS</t>
  </si>
  <si>
    <t>LU-328-690</t>
  </si>
  <si>
    <t>Neon Lime/Pearly Pink (055)</t>
  </si>
  <si>
    <t>https://www.victoriassecret.com/catalogue/ruffle-strap-one-piece-beach-sexy?ProductID=232208&amp;CatalogueType=OLS&amp;cqo=true&amp;cqoCat=LU</t>
  </si>
  <si>
    <t>LU-329-602 </t>
  </si>
  <si>
    <t>https://www.victoriassecret.com/sale/clothing/the-most-loved-yoga-legging?ProductID=249025&amp;CatalogueType=OLS</t>
  </si>
  <si>
    <t>LU-337-512</t>
  </si>
  <si>
    <t>M.R</t>
  </si>
  <si>
    <t>Pink Rocket/Charcoal Ikat (6XT)</t>
  </si>
  <si>
    <t>https://www.victoriassecret.com/swimwear/shop-by-size/push-up-halter-the-gorgeous-swim-collection?ProductID=232086&amp;CatalogueType=OLS</t>
  </si>
  <si>
    <t>LU-293-986</t>
  </si>
  <si>
    <t>Jet Stream Blue (6TK)</t>
  </si>
  <si>
    <t>Estimated Ship: Aug. 22</t>
  </si>
  <si>
    <t>https://www.victoriassecret.com/swimwear/shop-by-size/the-fabulous-top-beach-sexy?ProductID=209984&amp;CatalogueType=OLS</t>
  </si>
  <si>
    <t>LU-340-892</t>
  </si>
  <si>
    <t>LU-340-890</t>
  </si>
  <si>
    <t>https://www.victoriassecret.com/clearance/swim/graphic-bandeau-beach-sexy?ProductID=222017&amp;CatalogueType=OLS</t>
  </si>
  <si>
    <t>LX-331-420</t>
  </si>
  <si>
    <t>LX-331-421 </t>
  </si>
  <si>
    <t>Росо</t>
  </si>
  <si>
    <t>https://www.victoriassecret.com/swimwear/clearance/the-knockout-bikini-beach-sexy?ProductID=246068&amp;CatalogueType=OLS</t>
  </si>
  <si>
    <t>Cabana Coral (7D9)</t>
  </si>
  <si>
    <t>m.n</t>
  </si>
  <si>
    <t>https://www.victoriassecret.com/swimwear/shop-by-size/the-flirt-bandeau-beach-sexy?ProductID=213207&amp;CatalogueType=OLS</t>
  </si>
  <si>
    <t>LU-327-530</t>
  </si>
  <si>
    <t>Byron Bay Paisley (6XU)</t>
  </si>
  <si>
    <t>https://www.victoriassecret.com/swimwear/shop-by-size/strappy-wrap-halter-very-sexy?ProductID=232020&amp;CatalogueType=OLS</t>
  </si>
  <si>
    <t>LU-333-369 </t>
  </si>
  <si>
    <t>Seasalt (79X)</t>
  </si>
  <si>
    <t>https://www.victoriassecret.com/swimwear/shop-by-size/side-strap-bottom-very-sexy?ProductID=232014&amp;CatalogueType=OLS</t>
  </si>
  <si>
    <t>LU-333-370</t>
  </si>
  <si>
    <t>ShubYulya</t>
  </si>
  <si>
    <t>https://www.victoriassecret.com/swimwear/shop-by-size/the-strappy-bandeau-beach-sexy?ProductID=246132&amp;CatalogueType=OLS</t>
  </si>
  <si>
    <t>https://www.victoriassecret.com/swimwear/bikinis/ring-bralette-very-sexy?ProductID=236405&amp;CatalogueType=OLS</t>
  </si>
  <si>
    <t>LU-333-374</t>
  </si>
  <si>
    <t>Geo Tile (7EB)</t>
  </si>
  <si>
    <t>https://www.victoriassecret.com/swimwear/shop-by-size/triangle-bikini-set-beach-sexy?ProductID=113227&amp;CatalogueType=OLS</t>
  </si>
  <si>
    <t>LU-312-990 </t>
  </si>
  <si>
    <t>https://www.victoriassecret.com//swimwear/essential-bottoms/the-teeny-bikini-beach-sexy?ProductID=250931&amp;CatalogueType=OLS&amp;origin=search</t>
  </si>
  <si>
    <t>LU-327-499</t>
  </si>
  <si>
    <t>LU-336-776</t>
  </si>
  <si>
    <t>https://www.victoriassecret.com/swimwear/bikinis/the-beach-bandeau-beach-sexy?ProductID=246715&amp;CatalogueType=OLS</t>
  </si>
  <si>
    <t>Ornate Stripe (77N)</t>
  </si>
  <si>
    <t>https://www.victoriassecret.com/swimwear/beach-sexy/strappy-triangle-top-beach-sexy?ProductID=229890&amp;CatalogueType=OLS</t>
  </si>
  <si>
    <t>LU-329-646</t>
  </si>
  <si>
    <t>Mint Ice Colorblock (77Y)</t>
  </si>
  <si>
    <t>LU-330-395</t>
  </si>
  <si>
    <t>https://www.victoriassecret.com/catalogue/racerback-push-up-bra-cotton-lingerie?ProductID=161179&amp;CatalogueType=OLS&amp;cqo=true&amp;cqoCat=LX</t>
  </si>
  <si>
    <t>LX-319-803</t>
  </si>
  <si>
    <t xml:space="preserve">34D </t>
  </si>
  <si>
    <t>https://www.victoriassecret.com/catalogue/unlined-perfect-coverage-bra-cotton-lingerie?ProductID=209148&amp;CatalogueType=OLS&amp;cqo=true&amp;cqoCat=LX</t>
  </si>
  <si>
    <t>LX-313-118</t>
  </si>
  <si>
    <t>https://www.victoriassecret.com/swimwear/shop-by-size/the-high-tie-halter-beach-sexy?ProductID=246607&amp;CatalogueType=OLS</t>
  </si>
  <si>
    <t>LU-336-778</t>
  </si>
  <si>
    <t>Safari Geo (77M)</t>
  </si>
  <si>
    <t>https://www.victoriassecret.com/swimwear/shop-by-size/the-ruffle-cheeky-beach-sexy?ProductID=246070&amp;CatalogueType=OLS</t>
  </si>
  <si>
    <t>LU-336-796</t>
  </si>
  <si>
    <t>Sparkling Sage (77C)</t>
  </si>
  <si>
    <t>https://www.victoriassecret.com//swimwear/all-bottoms/side-tie-bikini-bottom-the-gorgeous-swim-collection?ProductID=222346&amp;CatalogueType=OLS&amp;origin=search</t>
  </si>
  <si>
    <t>LU-333-049</t>
  </si>
  <si>
    <t>https://www.victoriassecret.com//swimwear/all-bottoms/the-foldover-bikini-forever-sexy?ProductID=154763&amp;CatalogueType=OLS&amp;origin=search</t>
  </si>
  <si>
    <t>LU-305-212</t>
  </si>
  <si>
    <t>Order Date: 7/3/2015</t>
  </si>
  <si>
    <t>https://www.victoriassecret.com/swimwear/shop-by-size/the-flirt-bandeau-beach-sexy?ProductID=212226&amp;CatalogueType=OLS</t>
  </si>
  <si>
    <t>LU-293-950</t>
  </si>
  <si>
    <t>Estimated Ship: Aug. 30</t>
  </si>
  <si>
    <t>LU-336-778 </t>
  </si>
  <si>
    <t>https://www.victoriassecret.com/swimwear/shop-by-size/the-itsy-beach-sexy?ProductID=246122&amp;CatalogueType=OLS</t>
  </si>
  <si>
    <t>LU-336-802 </t>
  </si>
  <si>
    <t>https://www.victoriassecret.com/clearance/panties/hiphugger-panty-cotton-lingerie?ProductID=185390&amp;CatalogueType=OLS</t>
  </si>
  <si>
    <t>LX-323-130</t>
  </si>
  <si>
    <t>Blue Pineapples (871)</t>
  </si>
  <si>
    <t>Таша С</t>
  </si>
  <si>
    <t>https://www.victoriassecret.com/clearance/swim/the-itsy-beach-sexy?ProductID=229247&amp;CatalogueType=OLS</t>
  </si>
  <si>
    <t>https://www.victoriassecret.com/swimwear/shop-by-size/the-flirt-bandeau-beach-sexy?ProductID=246603&amp;CatalogueType=OLS</t>
  </si>
  <si>
    <t>LU-336-770</t>
  </si>
  <si>
    <t>https://www.victoriassecret.com/swimwear/all-bottoms/the-high-leg-itsy-beach-sexy?ProductID=232297&amp;CatalogueType=OLS</t>
  </si>
  <si>
    <t>LU-336-812</t>
  </si>
  <si>
    <t>https://www.victoriassecret.com/bras/shop-all-bras/push-up-bra-cotton-lingerie?ProductID=252246&amp;CatalogueType=OLS</t>
  </si>
  <si>
    <t>LU-334-589</t>
  </si>
  <si>
    <t>Light Nude (608)</t>
  </si>
  <si>
    <t>https://www.victoriassecret.com/swimwear/all-bottoms/the-strappy-hottie-halter-very-sexy?ProductID=233898&amp;CatalogueType=OLS</t>
  </si>
  <si>
    <t>LU-334-356</t>
  </si>
  <si>
    <t>Electric Violet (P47)</t>
  </si>
  <si>
    <t>сдача 821 с июня, доплатить 911р</t>
  </si>
  <si>
    <t>LU-333-386</t>
  </si>
  <si>
    <t>Bright Abstract (7DQ)</t>
  </si>
  <si>
    <t>https://www.victoriassecret.com/swimwear/all-bottoms/side-strap-bottom-very-sexy?ProductID=234618&amp;CatalogueType=OLS</t>
  </si>
  <si>
    <t>https://www.victoriassecret.com/swimwear/all-bottoms/the-classic-high-waist-forever-sexy?ProductID=225016&amp;CatalogueType=OLS</t>
  </si>
  <si>
    <t>LU-331-166 </t>
  </si>
  <si>
    <t>https://www.victoriassecret.com/swimwear/sale-and-specials/the-knockout-bikini-beach-sexy?ProductID=246068&amp;CatalogueType=OLS</t>
  </si>
  <si>
    <t>https://www.victoriassecret.com/sleepwear/sleepshirts-and-nighties/the-mayfair-slip?ProductID=235652&amp;CatalogueType=OLS</t>
  </si>
  <si>
    <t>LU-333-737</t>
  </si>
  <si>
    <t>Black/ White Dot (3CF)</t>
  </si>
  <si>
    <t>https://www.victoriassecret.com/sleepwear/satin-indulgences-b/lace-trim-slip-dream-angels?ProductID=252763&amp;CatalogueType=OLS</t>
  </si>
  <si>
    <t>LU-333-761 </t>
  </si>
  <si>
    <t>https://www.victoriassecret.com/swimwear/shop-by-size/the-flounce-teeny-triangle-top-beach-sexy?ProductID=221505&amp;CatalogueType=OLS</t>
  </si>
  <si>
    <t>LU-329-576</t>
  </si>
  <si>
    <t>LU-329-577 </t>
  </si>
  <si>
    <t>https://www.victoriassecret.com/clearance/swim/flounce-side-tie-cheeky-bottom-beach-sexy?ProductID=244564&amp;CatalogueType=OLS&amp;swatchImage=093</t>
  </si>
  <si>
    <t>LX-340-075</t>
  </si>
  <si>
    <t>https://www.victoriassecret.com/swimwear/all-bottoms/the-high-tie-halter-beach-sexy?ProductID=246607&amp;CatalogueType=OLS</t>
  </si>
  <si>
    <t>LU-330-414</t>
  </si>
  <si>
    <t>Black Lei Roses (78c)</t>
  </si>
  <si>
    <t>LU-329-740</t>
  </si>
  <si>
    <t>vlina</t>
  </si>
  <si>
    <t>Watercolor Bloom (6TS)</t>
  </si>
  <si>
    <t>Tihova-i</t>
  </si>
  <si>
    <t>https://www.victoriassecret.com/panties/5-for-27-styles/lace-waist-cheeky-panty-cotton-lingerie?ProductID=247869&amp;CatalogueType=OLS</t>
  </si>
  <si>
    <t>LU-304-353</t>
  </si>
  <si>
    <t>Deep Lotus (2GS)</t>
  </si>
  <si>
    <t>https://www.victoriassecret.com/clearance/bras/seamless-reversible-sport-bra-victorias-secret-sport?ProductID=221633&amp;CatalogueType=OLS </t>
  </si>
  <si>
    <t>выкуплено 2 июля</t>
  </si>
  <si>
    <t>Estimated Ship: Aug. 30 - вышлют отдельно 30 августа (возможно раньше, возможно позже, дата ориентировочная)</t>
  </si>
  <si>
    <t>выкуплено 3 июля</t>
  </si>
  <si>
    <t>master-kras24</t>
  </si>
  <si>
    <t>desertik</t>
  </si>
  <si>
    <t>Order Date: 7/9/2015</t>
  </si>
  <si>
    <t>Плюшевый мишка</t>
  </si>
  <si>
    <t>https://www.victoriassecret.com/sale/swim/reversible-lace-back-bandeau-beach-sexy?ProductID=226469&amp;CatalogueType=OLS</t>
  </si>
  <si>
    <t>LU-329-573</t>
  </si>
  <si>
    <t>Purple/Neon Citrus Leopard (79S)</t>
  </si>
  <si>
    <t>LU-329-574 </t>
  </si>
  <si>
    <t>LU-336-802</t>
  </si>
  <si>
    <t>https://www.victoriassecret.com/panties/shop-all-panties/limited-edition-thong-panty-very-sexy?ProductID=228005&amp;CatalogueType=OLS&amp;swatchImage=3HW</t>
  </si>
  <si>
    <t>LU-328-507</t>
  </si>
  <si>
    <t>https://www.victoriassecret.com/bras/dream-angels/embroidered-balconet-bra-dream-angels?ProductID=241732&amp;CatalogueType=OLS</t>
  </si>
  <si>
    <t>LU-334-415 </t>
  </si>
  <si>
    <t>Ruby Wine (F36)</t>
  </si>
  <si>
    <t>LU-334-876 </t>
  </si>
  <si>
    <t>https://www.victoriassecret.com/sale/swim/the-flirt-bandeau-beach-sexy?ProductID=241204&amp;CatalogueType=OLS</t>
  </si>
  <si>
    <t>LU-327-525 </t>
  </si>
  <si>
    <t>Seascape Blue/Iced Kiwi Colorblock (7N8)</t>
  </si>
  <si>
    <t>LU-327-546</t>
  </si>
  <si>
    <t>https://www.victoriassecret.com/clearance/swim/strappy-twist-bandeau-very-sexy?ProductID=103853&amp;CatalogueType=OLS</t>
  </si>
  <si>
    <t>LX-294-905</t>
  </si>
  <si>
    <t>Date Night Pink (39B)</t>
  </si>
  <si>
    <t>LX-294-906 </t>
  </si>
  <si>
    <t>belkastrelka</t>
  </si>
  <si>
    <t>https://www.victoriassecret.com/swimwear/shop-by-size/the-flirt-bandeau-beach-sexy?ProductID=215110&amp;CatalogueType=OLS</t>
  </si>
  <si>
    <t>LU-327-525</t>
  </si>
  <si>
    <t>https://www.victoriassecret.com/clearance/swim/the-teeny-triangle-top-beach-sexy?ProductID=240616&amp;CatalogueType=OLS</t>
  </si>
  <si>
    <t>LX-336-783 </t>
  </si>
  <si>
    <t>nata_m</t>
  </si>
  <si>
    <t>https://www.victoriassecret.com/swimwear/shop-by-size/the-angel-convertible-forever-sexy?ProductID=211446&amp;CatalogueType=OLS</t>
  </si>
  <si>
    <t>LU-331-160</t>
  </si>
  <si>
    <t>Bold Stripe (78J)</t>
  </si>
  <si>
    <t>https://www.victoriassecret.com/swimwear/shop-by-size/strappy-cropped-top-beach-sexy?ProductID=229891&amp;CatalogueType=OLS</t>
  </si>
  <si>
    <t>LU-329-642</t>
  </si>
  <si>
    <t>Tropical Palm (77P)</t>
  </si>
  <si>
    <t>https://www.victoriassecret.com/swimwear/shop-by-size/convertible-halter-forever-sexy?ProductID=223856&amp;CatalogueType=OLS&amp;swatchImage=5ZF</t>
  </si>
  <si>
    <t>LU-316-636</t>
  </si>
  <si>
    <t>https://www.victoriassecret.com/clearance/swim/the-love-triangle-top-very-sexy?ProductID=235073&amp;CatalogueType=OLS</t>
  </si>
  <si>
    <t>LX-334-043</t>
  </si>
  <si>
    <t>https://www.victoriassecret.com/clearance/swim/the-knockout-cheeky-very-sexy?ProductID=233506&amp;CatalogueType=OLS</t>
  </si>
  <si>
    <t>LX-332-369</t>
  </si>
  <si>
    <t>Helenochka</t>
  </si>
  <si>
    <t>https://www.victoriassecret.com/swimwear/shop-by-size/the-flirt-bandeau-beach-sexy?ProductID=246602&amp;CatalogueType=OLS</t>
  </si>
  <si>
    <t>https://www.victoriassecret.com/clearance/swim/the-itsy-beach-sexy?ProductID=205331&amp;CatalogueType=OLS</t>
  </si>
  <si>
    <t>LX-336-803</t>
  </si>
  <si>
    <t>https://www.victoriassecret.com/clearance/swim/the-high-leg-itsy-beach-sexy?ProductID=232314&amp;CatalogueType=OLS</t>
  </si>
  <si>
    <t>LX-334-126</t>
  </si>
  <si>
    <t>Black Graffiti Metallic (6XH)</t>
  </si>
  <si>
    <t>https://www.victoriassecret.com/swimwear/shop-by-size/strappy-push-up-halter-beach-sexy?ProductID=235769&amp;CatalogueType=OLS</t>
  </si>
  <si>
    <t>LU-334-923</t>
  </si>
  <si>
    <t>Black Multi (7MU)</t>
  </si>
  <si>
    <t>https://www.victoriassecret.com/swimwear/shop-by-size/strappy-high-waist-bottom-beach-sexy?ProductID=235777&amp;CatalogueType=OLS</t>
  </si>
  <si>
    <t>LU-334-926</t>
  </si>
  <si>
    <t>Estimated Ship: Aug. 25</t>
  </si>
  <si>
    <t>https://www.victoriassecret.com/swimwear/shop-by-size/fringe-bandeau-beach-sexy?ProductID=228890&amp;CatalogueType=OLS</t>
  </si>
  <si>
    <t>LU-307-632</t>
  </si>
  <si>
    <t>Neon Hot Pink (3FD)</t>
  </si>
  <si>
    <t>https://www.victoriassecret.com/panties/thongs-and-v-strings/thong-panty-the-lacie?ProductID=247887&amp;CatalogueType=OLS</t>
  </si>
  <si>
    <t>LU-331-757</t>
  </si>
  <si>
    <t>https://www.victoriassecret.com/beauty/travel-and-accessories/heart-crossbody-bag-victorias-secret?ProductID=230133&amp;CatalogueType=OLS</t>
  </si>
  <si>
    <t>LU-334-029</t>
  </si>
  <si>
    <t>https://www.victoriassecret.com/clearance/bras/wear-everywhere-strapless-push-up-bra-pink?ProductID=248424&amp;CatalogueType=OLS</t>
  </si>
  <si>
    <t>LX-303-392</t>
  </si>
  <si>
    <t>https://www.victoriassecret.com/swimwear/shop-by-size/the-strappy-fabulous-top-beach-sexy?ProductID=221376&amp;CatalogueType=OLS</t>
  </si>
  <si>
    <t>LU-329-060</t>
  </si>
  <si>
    <t>https://www.victoriassecret.com/clearance/sleep/the-angel-sleep-tee-by-victoriarsquos-secret?ProductID=217139&amp;CatalogueType=OLS</t>
  </si>
  <si>
    <t>LX-332-494</t>
  </si>
  <si>
    <t>Ink Blot/ Stripe (3d7)</t>
  </si>
  <si>
    <t>LX-329-945</t>
  </si>
  <si>
    <t xml:space="preserve">S </t>
  </si>
  <si>
    <t>Deep Lotus/Neon Nectar (73b)</t>
  </si>
  <si>
    <t>https://www.victoriassecret.com/swimwear/shop-by-size/ruffle-bralette-top-beach-sexy?ProductID=232266&amp;CatalogueType=OLS</t>
  </si>
  <si>
    <t>LU-329-661</t>
  </si>
  <si>
    <t>https://www.victoriassecret.com/swimwear/shop-by-size/the-rhinestone-itsy-beach-sexy?ProductID=226545&amp;CatalogueType=OLS</t>
  </si>
  <si>
    <t>LU-328-932</t>
  </si>
  <si>
    <t>LU-305-383</t>
  </si>
  <si>
    <t>LU-329-662</t>
  </si>
  <si>
    <t>Склочная</t>
  </si>
  <si>
    <t>Кудрявая</t>
  </si>
  <si>
    <t>https://www.victoriassecret.com/panties/5-for-27-styles/lace-waist-cheeky-panty-cotton-lingerie?ProductID=242259&amp;CatalogueType=OLS</t>
  </si>
  <si>
    <t>https://www.victoriassecret.com/panties/5-for-27-styles/lace-waist-hiphugger-panty-cotton-lingerie?ProductID=242251&amp;CatalogueType=OLS</t>
  </si>
  <si>
    <t>LU-327-959 </t>
  </si>
  <si>
    <t>Snake Rattle And Roll Print (3CQ)</t>
  </si>
  <si>
    <t>https://www.victoriassecret.com/clearance/swim/the-beach-bandeau-beach-sexy?ProductID=226532&amp;CatalogueType=OLS</t>
  </si>
  <si>
    <t>LX-328-933</t>
  </si>
  <si>
    <t>выкуплено 9 июля</t>
  </si>
  <si>
    <t>https://www.victoriassecret.com/bras/shop-all-bras/wear-everywhere-push-up-strapless-bra-pink?ProductID=248455&amp;CatalogueType=OLS</t>
  </si>
  <si>
    <t>LU-337-699</t>
  </si>
  <si>
    <t>Order Date: 7/11/2015</t>
  </si>
  <si>
    <t>https://www.victoriassecret.com/swimwear/all-bottoms/flounce-side-tie-cheeky-bottom-beach-sexy?ProductID=247974&amp;CatalogueType=OLS</t>
  </si>
  <si>
    <t>LU-340-075</t>
  </si>
  <si>
    <t>https://www.victoriassecret.com/clearance/swim/the-itsy-very-sexy?ProductID=226503&amp;CatalogueType=OLS</t>
  </si>
  <si>
    <t>LX-331-445</t>
  </si>
  <si>
    <t>Танцующая на краю пропасти</t>
  </si>
  <si>
    <t>https://www.victoriassecret.com/swimwear/shop-by-size/the-midi-beach-bandeau-beach-sexy?ProductID=212497&amp;CatalogueType=OLS</t>
  </si>
  <si>
    <t>LU-333-744</t>
  </si>
  <si>
    <t>Estimated Ship: Aug. 15</t>
  </si>
  <si>
    <t>https://www.victoriassecret.com/clearance/swim/the-scandalous-bandeau-very-sexy?ProductID=205512&amp;CatalogueType=OLS</t>
  </si>
  <si>
    <t>LX-324-952</t>
  </si>
  <si>
    <t>https://www.victoriassecret.com/swimwear/shop-by-size/the-knockout-bikini-very-sexy?ProductID=205078&amp;CatalogueType=OLS</t>
  </si>
  <si>
    <t>LU-292-944</t>
  </si>
  <si>
    <t>https://www.victoriassecret.com/clearance/swim/the-sexiest-cheeky-bottom-very-sexy?ProductID=225354&amp;CatalogueType=OLS</t>
  </si>
  <si>
    <t>LX-332-373</t>
  </si>
  <si>
    <t>https://www.victoriassecret.com/swimwear/shop-by-size/the-ruffle-cheeky-beach-sexy?ProductID=250957&amp;CatalogueType=OLS</t>
  </si>
  <si>
    <t>LU-334-515</t>
  </si>
  <si>
    <t>Lush Garden Floral (77V)</t>
  </si>
  <si>
    <t>https://www.victoriassecret.com/swimwear/shop-by-size/the-itsy-beach-sexy?ProductID=205331&amp;CatalogueType=OLS</t>
  </si>
  <si>
    <t>LU-318-451</t>
  </si>
  <si>
    <t>https://www.victoriassecret.com//swimwear/classic-bottoms/the-foldover-bikini-forever-sexy?ProductID=205934&amp;CatalogueType=OLS&amp;origin=search</t>
  </si>
  <si>
    <t>LU-293-500</t>
  </si>
  <si>
    <t>добрая злючка</t>
  </si>
  <si>
    <t>https://www.victoriassecret.com/swimwear/shop-by-size/the-flirt-bandeau-beach-sexy?ProductID=210002&amp;CatalogueType=OLS</t>
  </si>
  <si>
    <t>https://www.victoriassecret.com/swimwear/bikinis/bralette-beach-sexy?ProductID=248539&amp;CatalogueType=OLS</t>
  </si>
  <si>
    <t>https://www.victoriassecret.com/swimwear/bikinis/the-itsy-beach-sexy?ProductID=246122&amp;CatalogueType=OLS</t>
  </si>
  <si>
    <t>https://www.victoriassecret.com/swimwear/bikinis/knotted-bandeau-halter-forever-sexy?ProductID=229848&amp;CatalogueType=OLS</t>
  </si>
  <si>
    <t>Black/White Animal (6XC)</t>
  </si>
  <si>
    <t>https://www.victoriassecret.com/swimwear/bikinis/ring-bandeau-very-sexy?ProductID=235540&amp;CatalogueType=OLS</t>
  </si>
  <si>
    <t>Little Leopard (7DS)</t>
  </si>
  <si>
    <t>Botany Floral (7DW)</t>
  </si>
  <si>
    <t>Aqua Seychelles (6U8) or Dark Floral (78E)</t>
  </si>
  <si>
    <t>https://www.victoriassecret.com/swimwear/all-bottoms/low-rise-bottom-very-sexy?ProductID=208465&amp;CatalogueType=OLS</t>
  </si>
  <si>
    <t>LU-319-744</t>
  </si>
  <si>
    <t>выкуплено 11 июля</t>
  </si>
  <si>
    <t>Order Date: 7/12/2015</t>
  </si>
  <si>
    <t>MamaNT</t>
  </si>
  <si>
    <t>https://www.victoriassecret.com/clothing/clearance/capri-fleece?ProductID=253613&amp;CatalogueType=OLS</t>
  </si>
  <si>
    <t>LU-330-604</t>
  </si>
  <si>
    <t>Scenic Print (77P)</t>
  </si>
  <si>
    <t>LU-331-756</t>
  </si>
  <si>
    <t>Graphic Geo Palm Print (DH2)</t>
  </si>
  <si>
    <t>altea</t>
  </si>
  <si>
    <t>https://www.victoriassecret.com/sale/pink-wear-everywhere/wear-everywhere-lightly-lined-bra-pink?ProductID=248224&amp;CatalogueType=OLS</t>
  </si>
  <si>
    <t>LU-337-694</t>
  </si>
  <si>
    <t>Black And Grey (3WG)</t>
  </si>
  <si>
    <t>https://www.victoriassecret.com/clothing/clearance/marled-draw-tie-hoodie-french-terry?ProductID=236581&amp;CatalogueType=OLS</t>
  </si>
  <si>
    <t>LU-330-510</t>
  </si>
  <si>
    <t>Desert Sky (6UX)</t>
  </si>
  <si>
    <t>Лиллу</t>
  </si>
  <si>
    <t>Creamy Apricot (6UV)</t>
  </si>
  <si>
    <t>https://www.victoriassecret.com/swimwear/clearance/lace-up-racerback-triangle-top-forever-sexy?ProductID=229835&amp;CatalogueType=OLS</t>
  </si>
  <si>
    <t>LU-329-161</t>
  </si>
  <si>
    <t>Blue Ikat (78V)</t>
  </si>
  <si>
    <t>https://www.victoriassecret.com/clothing/clearance/marled-v-neck-top-french-terry?ProductID=221855&amp;CatalogueType=OLS</t>
  </si>
  <si>
    <t>LU-330-515</t>
  </si>
  <si>
    <t>https://www.victoriassecret.com/swimwear/clearance/strappy-triangle-top-beach-sexy?ProductID=229890&amp;CatalogueType=OLS</t>
  </si>
  <si>
    <t>LU-329-151</t>
  </si>
  <si>
    <t>https://www.victoriassecret.com/clothing/clearance/the-most-loved-yoga-legging?ProductID=249025&amp;CatalogueType=OLS</t>
  </si>
  <si>
    <t>Seychelles Ikat (7C4)</t>
  </si>
  <si>
    <t>https://www.victoriassecret.com/clothing/clearance/boxy-pullover-french-terry?ProductID=225926&amp;CatalogueType=OLS</t>
  </si>
  <si>
    <t>LU-330-520</t>
  </si>
  <si>
    <t>Marshmallow (76M)</t>
  </si>
  <si>
    <t>https://www.victoriassecret.com/clearance/swim/ring-bandeau-very-sexy?ProductID=235540&amp;CatalogueType=OLS</t>
  </si>
  <si>
    <t>LX-333-377</t>
  </si>
  <si>
    <t>https://www.victoriassecret.com/clearance/swim/the-lace-midi-beach-sexy?ProductID=221498&amp;CatalogueType=OLS</t>
  </si>
  <si>
    <t>LX-329-578</t>
  </si>
  <si>
    <t>https://www.victoriassecret.com/clearance/swim/the-super-strappy-itsy-beach-sexy?ProductID=226471&amp;CatalogueType=OLS</t>
  </si>
  <si>
    <t>LX-329-579 </t>
  </si>
  <si>
    <t>LU-329-489</t>
  </si>
  <si>
    <t>Snow Heather Solar Sorbet Beach Stripe (W99)</t>
  </si>
  <si>
    <t>nota_</t>
  </si>
  <si>
    <t>https://www.victoriassecret.com/clothing/clearance/the-most-loved-yoga-pant?ProductID=248910&amp;CatalogueType=OLS</t>
  </si>
  <si>
    <t>LU-337-511</t>
  </si>
  <si>
    <t>XS regular or XS short</t>
  </si>
  <si>
    <t>Dark Charcoal Tie-Dye (HH7)</t>
  </si>
  <si>
    <t>LU-329-159</t>
  </si>
  <si>
    <t>LU-304-353 </t>
  </si>
  <si>
    <t>https://www.victoriassecret.com/panties/5-for-27-styles/the-date-no-show-cheekster-panty-pink?ProductID=244410&amp;CatalogueType=OLS</t>
  </si>
  <si>
    <t>LU-340-211 </t>
  </si>
  <si>
    <t>Neon Watermelon (3RB)</t>
  </si>
  <si>
    <t>https://www.victoriassecret.com/panties/cheekies-and-cheekinis/lace-waist-cheeky-panty-cotton-lingerie?ProductID=247869&amp;CatalogueType=OLS</t>
  </si>
  <si>
    <t>Citrus Squeeze (37D)</t>
  </si>
  <si>
    <t>https://www.victoriassecret.com/clothing/clearance/raglan-tee-sexy-little-tees?ProductID=233380&amp;CatalogueType=OLS</t>
  </si>
  <si>
    <t>LU-331-613 </t>
  </si>
  <si>
    <t>Faint Pink (73H)</t>
  </si>
  <si>
    <t>bona1981</t>
  </si>
  <si>
    <t>https://www.victoriassecret.com/clothing/clearance/the-most-loved-slim-boot-yoga-pant?ProductID=235822&amp;CatalogueType=OLS</t>
  </si>
  <si>
    <t>LU-335-491</t>
  </si>
  <si>
    <t>L.Long</t>
  </si>
  <si>
    <t>Snow Heather/Front Heart (7FC)</t>
  </si>
  <si>
    <t>Egan</t>
  </si>
  <si>
    <t>https://www.victoriassecret.com/clothing/clearance/boxy-pullover-fleece?ProductID=234108&amp;CatalogueType=OLS</t>
  </si>
  <si>
    <t>LU-331-422</t>
  </si>
  <si>
    <t>Snow Heather/Angel (7CJ)</t>
  </si>
  <si>
    <t>https://www.victoriassecret.com/clothing/clearance/shell-tie-cover-up-jumpsuit?ProductID=235292&amp;CatalogueType=OLS</t>
  </si>
  <si>
    <t>LU-333-794</t>
  </si>
  <si>
    <t xml:space="preserve">Aqua Seychelles (6U8) </t>
  </si>
  <si>
    <t>https://www.victoriassecret.com/clothing/clearance/boxy-pocket-tee-anytime-tees?ProductID=240867&amp;CatalogueType=OLS</t>
  </si>
  <si>
    <t>LU-331-590</t>
  </si>
  <si>
    <t>Blue Stripe/Angels Have More Fun (7G4) or navy/White stripe (3XM)</t>
  </si>
  <si>
    <t>https://www.victoriassecret.com/swimwear/shop-by-size/the-flirt-bandeau-beach-sexy?ProductID=246723&amp;CatalogueType=OLS</t>
  </si>
  <si>
    <t>LU-336-831</t>
  </si>
  <si>
    <t>black (77B) </t>
  </si>
  <si>
    <t>https://www.victoriassecret.com/swimwear/bottoms-sale/flounce-side-tie-cheeky-bottom-beach-sexy?ProductID=247974&amp;CatalogueType=OLS</t>
  </si>
  <si>
    <t>выкуплено 12 июля</t>
  </si>
  <si>
    <t>Order Date: 7/13/2015</t>
  </si>
  <si>
    <t>https://www.victoriassecret.com/clearance/swim/mini-bikini-bottom-pink?ProductID=244848&amp;CatalogueType=OLS</t>
  </si>
  <si>
    <t>LX-339-735</t>
  </si>
  <si>
    <t>Atomic Tangerine (485)</t>
  </si>
  <si>
    <t>SveKi</t>
  </si>
  <si>
    <t>LU-269-662</t>
  </si>
  <si>
    <t>White (2de)</t>
  </si>
  <si>
    <t>LU-269-663</t>
  </si>
  <si>
    <t>XS.S</t>
  </si>
  <si>
    <t>Heather Charcoal/Sequin Vs (7k8)</t>
  </si>
  <si>
    <t>союз</t>
  </si>
  <si>
    <t>https://www.victoriassecret.com/clearance/clothing/long-sleeve-v-neck-tee-vintage-tees?ProductID=194439&amp;CatalogueType=OLS</t>
  </si>
  <si>
    <t>LX-322-261 </t>
  </si>
  <si>
    <t>Fire Coral (x63)</t>
  </si>
  <si>
    <t>https://www.victoriassecret.com/swimwear/shop-by-size/the-forever-one-piece-forever-sexy?ProductID=124099&amp;CatalogueType=OLS</t>
  </si>
  <si>
    <t>LU-312-537</t>
  </si>
  <si>
    <t>Blue Ikat (78v)</t>
  </si>
  <si>
    <t>https://www.victoriassecret.com/clearance/victorias-secret-sport/gym-tee-victorias-secret-sport?ProductID=247713&amp;CatalogueType=OLS</t>
  </si>
  <si>
    <t>LX-341-834</t>
  </si>
  <si>
    <t>Oltremare I Can I Did Graphic (76h)</t>
  </si>
  <si>
    <t>https://www.victoriassecret.com/clothing/clearance/oversized-zip-tunic-fleece?ProductID=221867&amp;CatalogueType=OLS</t>
  </si>
  <si>
    <t>LU-343-672</t>
  </si>
  <si>
    <t>Black/Rhinestone Wings (7cb)</t>
  </si>
  <si>
    <t>https://www.victoriassecret.com/clothing/clearance/vs-boyfriend-pant-fleece?ProductID=224527&amp;CatalogueType=OLS</t>
  </si>
  <si>
    <t>LU-330-818</t>
  </si>
  <si>
    <t>Dark Charcoal/Sequin VS (7cb)</t>
  </si>
  <si>
    <t>https://www.victoriassecret.com/clothing/clearance/zip-hoodie-super-soft-knits?ProductID=224415&amp;CatalogueType=OLS</t>
  </si>
  <si>
    <t>LU-330-752</t>
  </si>
  <si>
    <t>Charcoal (4aa)</t>
  </si>
  <si>
    <t>Тишина</t>
  </si>
  <si>
    <t>XS.R</t>
  </si>
  <si>
    <t>Mint Ice And Desert Sky Stripe (be6)</t>
  </si>
  <si>
    <t>https://www.victoriassecret.com/clothing/clearance/fringed-cover-up?ProductID=235279&amp;CatalogueType=OLS</t>
  </si>
  <si>
    <t>LU-332-161</t>
  </si>
  <si>
    <t>Ivory (dj4)</t>
  </si>
  <si>
    <t>LX-322-261</t>
  </si>
  <si>
    <t>Sweet Briar Rose (69h)</t>
  </si>
  <si>
    <t>https://www.victoriassecret.com/clothing/clearance/v-neck-tee-vintage-tees?ProductID=252728&amp;CatalogueType=OLS</t>
  </si>
  <si>
    <t>LU-331-691</t>
  </si>
  <si>
    <t>Black (56j)</t>
  </si>
  <si>
    <t>https://www.victoriassecret.com/clothing/clearance/long-sleeve-raglan-tee-anytime-tees?ProductID=240213&amp;CatalogueType=OLS</t>
  </si>
  <si>
    <t>LU-329-029</t>
  </si>
  <si>
    <t>Black/VS NYC (7g6)</t>
  </si>
  <si>
    <t>https://www.victoriassecret.com/clothing/clearance/long-sleeve-v-neck-tee-vintage-tees?ProductID=249101&amp;CatalogueType=OLS</t>
  </si>
  <si>
    <t>LU-340-950</t>
  </si>
  <si>
    <t>Solar Sorbet (6vy)</t>
  </si>
  <si>
    <t>Kseniamon</t>
  </si>
  <si>
    <t>https://www.victoriassecret.com/swimwear/shop-by-size/macram-bralette-beach-sexy?ProductID=213235&amp;CatalogueType=OLS</t>
  </si>
  <si>
    <t>LU-327-704</t>
  </si>
  <si>
    <t>White/Grey Stripe (5SW)</t>
  </si>
  <si>
    <t>Hello Lovely Graphic (6qr)</t>
  </si>
  <si>
    <t>LU-292-547</t>
  </si>
  <si>
    <t>Wild Eggplant (6ub)</t>
  </si>
  <si>
    <t>LU-324-872</t>
  </si>
  <si>
    <t>Neon Citrus (6uh)</t>
  </si>
  <si>
    <t>White Graffiti Metallic (6xg)</t>
  </si>
  <si>
    <t>https://www.victoriassecret.com/clearance/clothing/the-most-loved-slim-boot-yoga-pant?ProductID=250184&amp;CatalogueType=OLS </t>
  </si>
  <si>
    <t>LX-340-694 </t>
  </si>
  <si>
    <t>Solar Sorbet Tie Dye (dp6)</t>
  </si>
  <si>
    <t>LX-341-834 </t>
  </si>
  <si>
    <t>White I Can I Did Graphic (dl6)</t>
  </si>
  <si>
    <t>Order Date: 7/14/2015</t>
  </si>
  <si>
    <t>https://www.victoriassecret.com/clearance/clothing/strappy-triangle-bralette?ProductID=248533&amp;CatalogueType=OLS</t>
  </si>
  <si>
    <t>LX-329-040</t>
  </si>
  <si>
    <t>Solar Sorbet Lace (6VY)</t>
  </si>
  <si>
    <t>https://www.victoriassecret.com/clearance/bras/perfect-comfort-demi-push-up-bra-body-by-victoria?ProductID=220785&amp;CatalogueType=OLS</t>
  </si>
  <si>
    <t>LX-331-779</t>
  </si>
  <si>
    <t>Turkish Blue (76G)</t>
  </si>
  <si>
    <t>Катти на Бугатти</t>
  </si>
  <si>
    <t>M.L</t>
  </si>
  <si>
    <t>Hot And Spicy I Can I Did Graphic (73V)</t>
  </si>
  <si>
    <t>Oltremare I Can I Did Graphic (76H)</t>
  </si>
  <si>
    <t>White I Can I Did Graphic (DL6)</t>
  </si>
  <si>
    <t>Black Graphic (CO5)</t>
  </si>
  <si>
    <t>Heather Grey Graphic (35Q)</t>
  </si>
  <si>
    <t>Hello Lovely Graphic (6QR)</t>
  </si>
  <si>
    <t>https://www.victoriassecret.com/swimwear/push-up/the-hottie-halter-very-sexy?ProductID=227104&amp;CatalogueType=OLS</t>
  </si>
  <si>
    <t>LU-322-041 </t>
  </si>
  <si>
    <t>Simply Green (7DN)</t>
  </si>
  <si>
    <t>LU-324-940</t>
  </si>
  <si>
    <t>Vodoleichik</t>
  </si>
  <si>
    <t>https://www.victoriassecret.com/swimwear/shop-by-size/reversible-lace-back-bandeau-beach-sexy?ProductID=226469&amp;CatalogueType=OLS</t>
  </si>
  <si>
    <t>Grey/Coral Geo (77X)</t>
  </si>
  <si>
    <t>LU-329-574</t>
  </si>
  <si>
    <t>https://www.victoriassecret.com/clothing/clearance-mobile/marled-draw-tie-hoodie-french-terry?ProductID=236581&amp;CatalogueType=OLS</t>
  </si>
  <si>
    <t>Grape Escape (73T)</t>
  </si>
  <si>
    <t>https://www.victoriassecret.com/swimwear/bottoms-sale/the-knockout-bikini-beach-sexy?ProductID=246068&amp;CatalogueType=OLS&amp;swatchImage=6XN</t>
  </si>
  <si>
    <t>Black White Stripe (6XN)</t>
  </si>
  <si>
    <t>https://www.victoriassecret.com/swimwear/bottoms-sale/the-high-leg-itsy-beach-sexy?ProductID=232297&amp;CatalogueType=OLS</t>
  </si>
  <si>
    <t>https://www.victoriassecret.com//swimwear/the-essentials-mobile/the-itsy-beach-sexy?ProductID=205418&amp;CatalogueType=OLS&amp;origin=search</t>
  </si>
  <si>
    <t>LU-327-430</t>
  </si>
  <si>
    <t>https://www.victoriassecret.com/clothing/shop-all/the-essential-bra-top-cami?ProductID=241965&amp;CatalogueType=OLS</t>
  </si>
  <si>
    <t>LU-341-443</t>
  </si>
  <si>
    <t>Light Nude (3EE)</t>
  </si>
  <si>
    <t>https://www.victoriassecret.com/clothing/all-sale-and-specials/fringe-kimono?ProductID=242189&amp;CatalogueType=OLS</t>
  </si>
  <si>
    <t>LU-341-293</t>
  </si>
  <si>
    <t>M/L</t>
  </si>
  <si>
    <t>Paisley (Y89)</t>
  </si>
  <si>
    <t>https://www.victoriassecret.com/swimwear/bikinis/the-flirt-bandeau-beach-sexy?ProductID=246603&amp;CatalogueType=OLS</t>
  </si>
  <si>
    <t>выкуплено 13 июля</t>
  </si>
  <si>
    <t>выкуплено 14 июля</t>
  </si>
  <si>
    <t>вернула 15.07.15</t>
  </si>
  <si>
    <t>Order Date: 7/16/2015</t>
  </si>
  <si>
    <t>musya20099</t>
  </si>
  <si>
    <t>Candy Stripe (Q77)</t>
  </si>
  <si>
    <t>https://www.victoriassecret.com/panties/5-for-27-styles/lace-trim-mesh-cheekster-panty-pink?ProductID=229795&amp;CatalogueType=OLS</t>
  </si>
  <si>
    <t>LU-330-410 </t>
  </si>
  <si>
    <t>https://www.victoriassecret.com/beauty/vs-fantasies-bodycare-specials/pure-seduction-fragrance-mist-vs-fantasies?ProductID=166512&amp;CatalogueType=OLS</t>
  </si>
  <si>
    <t>LU-320-375</t>
  </si>
  <si>
    <t>https://www.victoriassecret.com/clearance/bras/unlined-perfect-coverage-bra-body-by-victoria?ProductID=220885&amp;CatalogueType=OLS</t>
  </si>
  <si>
    <t>LX-312-733</t>
  </si>
  <si>
    <t>https://www.victoriassecret.com/clothing/dresses-c/plunge-front-caftan?ProductID=248853&amp;CatalogueType=OLS</t>
  </si>
  <si>
    <t>LU-329-485</t>
  </si>
  <si>
    <t>LX-331-951</t>
  </si>
  <si>
    <t>https://www.victoriassecret.com/beauty/mist-event-offer/noir-fragrance-mist-sexy-little-things?ProductID=10909&amp;CatalogueType=OLS</t>
  </si>
  <si>
    <t>LU-243-403</t>
  </si>
  <si>
    <t>Noir (099)</t>
  </si>
  <si>
    <t>https://www.victoriassecret.com/beauty/mist-event-offer/body-by-victoria-fragrance-mist?ProductID=169575&amp;CatalogueType=OLS</t>
  </si>
  <si>
    <t>LU-311-460</t>
  </si>
  <si>
    <t>Body By Victoria (099)</t>
  </si>
  <si>
    <t>https://www.victoriassecret.com/beauty/mist-event-offer/eau-so-sexy-fragrance-mist?ProductID=199292&amp;CatalogueType=OLS</t>
  </si>
  <si>
    <t>LU-318-579</t>
  </si>
  <si>
    <t>Eau So Sexy (099)</t>
  </si>
  <si>
    <t>https://www.victoriassecret.com/beauty/mist-event-offer/body-mist-victorias-secret-bombshell?ProductID=6061&amp;CatalogueType=OLS</t>
  </si>
  <si>
    <t>LU-258-638</t>
  </si>
  <si>
    <t>Bombshell (099)</t>
  </si>
  <si>
    <t>Solar Stripe (3V5)</t>
  </si>
  <si>
    <t>Neon Nectar Stripe (Q76)</t>
  </si>
  <si>
    <t>https://www.victoriassecret.com/beauty/fragrance/bombshells-in-bloom-travel-fragrance-mist-victorias-secret-bombshell?ProductID=169592&amp;CatalogueType=OLS</t>
  </si>
  <si>
    <t>LU-313-086</t>
  </si>
  <si>
    <t>Bombshells In Bloom (099)</t>
  </si>
  <si>
    <t>https://www.victoriassecret.com/beauty/fragrance/angels-only-travel-fragrance-mist?ProductID=187928&amp;CatalogueType=OLS</t>
  </si>
  <si>
    <t>LU-314-871</t>
  </si>
  <si>
    <t>Angels Only (099)</t>
  </si>
  <si>
    <t>https://www.victoriassecret.com/beauty/fragrance/victoria-fragrance-mist-victorias-secret?ProductID=125874&amp;CatalogueType=OLS</t>
  </si>
  <si>
    <t>LU-301-609</t>
  </si>
  <si>
    <t>Victoria (099)</t>
  </si>
  <si>
    <t>https://www.victoriassecret.com/beauty/mist-event-offer/very-sexy-fragrance-mist?ProductID=165078&amp;CatalogueType=OLS</t>
  </si>
  <si>
    <t>LU-311-469</t>
  </si>
  <si>
    <t>Very Sexy (099)</t>
  </si>
  <si>
    <t>https://www.victoriassecret.com/beauty/vs-fantasies-bodycare-specials/secret-charm-fragrance-mist-vs-fantasies?ProductID=154906&amp;CatalogueType=OLS</t>
  </si>
  <si>
    <t>LU-317-810</t>
  </si>
  <si>
    <t>Secret Charm (29G)</t>
  </si>
  <si>
    <t>https://www.victoriassecret.com/beauty/vs-fantasies-bodycare-specials/total-attraction-eau-de-toilette-vs-fantasies?ProductID=210239&amp;CatalogueType=OLS</t>
  </si>
  <si>
    <t>LU-329-186</t>
  </si>
  <si>
    <t>Total Attraction (FRF)</t>
  </si>
  <si>
    <t>https://www.victoriassecret.com/beauty/vs-fantasies-bodycare-specials/passion-struck-eau-de-toilette-vs-fantasies?ProductID=166566&amp;CatalogueType=OLS</t>
  </si>
  <si>
    <t>LU-320-385</t>
  </si>
  <si>
    <t>Passion Struck (034)</t>
  </si>
  <si>
    <t>https://www.victoriassecret.com/pink/bras-lightly-lined/the-date-lightly-lined-bra-pink?ProductID=249890&amp;CatalogueType=OLS</t>
  </si>
  <si>
    <t>LU-330-631</t>
  </si>
  <si>
    <t>Neon Watermelon/Apricot (3RB)</t>
  </si>
  <si>
    <t>https://www.victoriassecret.com/clearance/sleep/the-angel-sleep-tee-by-victoriarsquos-secret?ProductID=244552&amp;CatalogueType=OLS</t>
  </si>
  <si>
    <t>LX-339-520</t>
  </si>
  <si>
    <t>Watercolor Palms (3HB)</t>
  </si>
  <si>
    <t>Jet Stream Palm Trees (A20)</t>
  </si>
  <si>
    <t>https://www.victoriassecret.com/clothing/clearance/classic-zip-hoodie-fleece?ProductID=248873&amp;CatalogueType=OLS</t>
  </si>
  <si>
    <t>LU-341-212</t>
  </si>
  <si>
    <t>Pink Cocktail/Sequin Wings (7CE)</t>
  </si>
  <si>
    <t>https://www.victoriassecret.com/beauty/all-body-care/coconut-passion-hydrating-body-lotion-vs-fantasies?ProductID=154870&amp;CatalogueType=OLS</t>
  </si>
  <si>
    <t>LU-317-773 </t>
  </si>
  <si>
    <t>Coconut Passion (34G)</t>
  </si>
  <si>
    <t>https://www.victoriassecret.com/beauty/vs-fantasies-bodycare-specials/love-spell-hydrating-body-lotion-vs-fantasies?ProductID=165505&amp;CatalogueType=OLS</t>
  </si>
  <si>
    <t>LU-320-368</t>
  </si>
  <si>
    <t>Love Spell (999)</t>
  </si>
  <si>
    <t>https://www.victoriassecret.com/beauty/vs-fantasies-bodycare-specials/dare-hydrating-body-lotion-vs-fantasies?ProductID=246633&amp;CatalogueType=OLS</t>
  </si>
  <si>
    <t>LU-341-845</t>
  </si>
  <si>
    <t>Dare (X50)</t>
  </si>
  <si>
    <t>выкуплено 16 июля</t>
  </si>
  <si>
    <t>https://www.victoriassecret.com/beauty/vs-fantasies-bodycare-specials/secret-escape-eau-de-toilette-vs-fantasies?ProductID=195051&amp;CatalogueType=OLS</t>
  </si>
  <si>
    <t>LU-328-008</t>
  </si>
  <si>
    <t>https://www.victoriassecret.com/beauty/mist-event-offer/victoria39s-secret-angel-eau-de-parfum?ProductID=21945&amp;CatalogueType=OLS</t>
  </si>
  <si>
    <t>https://www.victoriassecret.com/beauty/fragrance/very-sexy-travel-hair-and-body-mist?ProductID=244704&amp;CatalogueType=OLS</t>
  </si>
  <si>
    <t>https://www.victoriassecret.com/clothing/shop-all/long-sleeve-henley-tee-sexy-little-tees?ProductID=242005&amp;CatalogueType=OLS</t>
  </si>
  <si>
    <t>LU-333-604</t>
  </si>
  <si>
    <t>Black/Grey Stripes (4SV)</t>
  </si>
  <si>
    <t>https://www.victoriassecret.com/clearance/sleep/chantilly-lace-satin-kimono-very-sexy?ProductID=227777&amp;CatalogueType=OLS</t>
  </si>
  <si>
    <t>LX-332-994</t>
  </si>
  <si>
    <t>S/M</t>
  </si>
  <si>
    <t>PIROUETTE PINK</t>
  </si>
  <si>
    <t>https://www.victoriassecret.com/clearance/bras/wireless-bra-cotton-lingerie?ProductID=143961&amp;CatalogueType=OLS</t>
  </si>
  <si>
    <t>LX-313-121</t>
  </si>
  <si>
    <t>Light nude (608) </t>
  </si>
  <si>
    <t>https://www.victoriassecret.com/clearance/swim/unforgettable-demi-top-forever-sexy?ProductID=206936&amp;CatalogueType=OLS</t>
  </si>
  <si>
    <t>LX-306-339</t>
  </si>
  <si>
    <t>American blue (4RR) </t>
  </si>
  <si>
    <t>https://www.victoriassecret.com/clearance/swim/unforgettable-demi-top-forever-sexy?ProductID=178206&amp;CatalogueType=OLS</t>
  </si>
  <si>
    <t>LX-307-390</t>
  </si>
  <si>
    <t>Rich grape (5ZF) </t>
  </si>
  <si>
    <t>https://www.victoriassecret.com/clearance/bras/demi-bra-cotton-lingerie?ProductID=161180&amp;CatalogueType=OLS</t>
  </si>
  <si>
    <t>LX-319-788</t>
  </si>
  <si>
    <t>34 или 32с </t>
  </si>
  <si>
    <t>White ribbon slot (GF7) </t>
  </si>
  <si>
    <t>https://www.victoriassecret.com/clearance/bras/t-back-demi-bra-the-t-shirt?ProductID=247524&amp;CatalogueType=OLS</t>
  </si>
  <si>
    <t>LX-339-685</t>
  </si>
  <si>
    <t>Pink rocket (232) </t>
  </si>
  <si>
    <t>multi dot print (3X6) </t>
  </si>
  <si>
    <t>https://www.victoriassecret.com/clearance/bras/perfect-coverage-bra-cotton-lingerie?ProductID=209142&amp;CatalogueType=OLS</t>
  </si>
  <si>
    <t>LX-313-117</t>
  </si>
  <si>
    <t>https://www.victoriassecret.com/swimwear/shop-by-size/long-line-triangle-beach-sexy?ProductID=229429&amp;CatalogueType=OLS</t>
  </si>
  <si>
    <t>LU-313-305</t>
  </si>
  <si>
    <t>S or M</t>
  </si>
  <si>
    <t>https://www.victoriassecret.com/swimwear/shop-by-size/the-teeny-triangle-top-beach-sexy?ProductID=246611&amp;CatalogueType=OLS</t>
  </si>
  <si>
    <t>LU-336-782</t>
  </si>
  <si>
    <t>https://www.victoriassecret.com/clearance/bras/push-up-bra-very-sexy?ProductID=223874&amp;CatalogueType=OLS</t>
  </si>
  <si>
    <t>LX-332-593</t>
  </si>
  <si>
    <t>Gossamer Pink W/ Lace Trim (435)</t>
  </si>
  <si>
    <t>будет в следующем выкупе:</t>
  </si>
  <si>
    <t>https://www.victoriassecret.com/sale/bras/wireless-bra-cotton-lingerie?ProductID=252272&amp;CatalogueType=OLS</t>
  </si>
  <si>
    <t>LU-334-560</t>
  </si>
  <si>
    <t>White Floral Lace (92V)</t>
  </si>
  <si>
    <t>https://www.victoriassecret.com/bras/buy-more-and-save-bras/perfect-coverage-bra-sexy-tee?ProductID=252214&amp;CatalogueType=OLS</t>
  </si>
  <si>
    <t>LU-301-414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</si>
</sst>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$-409]#,##0.0"/>
    <numFmt numFmtId="182" formatCode="[$$-409]#,##0.000"/>
    <numFmt numFmtId="183" formatCode="[$$-409]#,##0.0000"/>
    <numFmt numFmtId="184" formatCode="0.00000"/>
    <numFmt numFmtId="185" formatCode="0.0000"/>
    <numFmt numFmtId="186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Palatino Linotype"/>
      <family val="1"/>
    </font>
    <font>
      <sz val="9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9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Palatino Linotype"/>
      <family val="1"/>
    </font>
    <font>
      <b/>
      <sz val="11"/>
      <name val="Calibri"/>
      <family val="2"/>
    </font>
    <font>
      <b/>
      <sz val="12"/>
      <color indexed="10"/>
      <name val="Arial"/>
      <family val="2"/>
    </font>
    <font>
      <b/>
      <sz val="11"/>
      <color indexed="21"/>
      <name val="Calibri"/>
      <family val="2"/>
    </font>
    <font>
      <sz val="10"/>
      <color indexed="10"/>
      <name val="Palatino Linotype"/>
      <family val="1"/>
    </font>
    <font>
      <sz val="10"/>
      <color indexed="23"/>
      <name val="Palatino Linotype"/>
      <family val="1"/>
    </font>
    <font>
      <sz val="9"/>
      <color indexed="63"/>
      <name val="Arial"/>
      <family val="2"/>
    </font>
    <font>
      <b/>
      <sz val="10"/>
      <color indexed="62"/>
      <name val="Palatino Linotype"/>
      <family val="1"/>
    </font>
    <font>
      <sz val="12"/>
      <color indexed="63"/>
      <name val="Arial"/>
      <family val="2"/>
    </font>
    <font>
      <b/>
      <sz val="10"/>
      <color indexed="10"/>
      <name val="Palatino Linotype"/>
      <family val="1"/>
    </font>
    <font>
      <sz val="9"/>
      <color indexed="10"/>
      <name val="Arial"/>
      <family val="2"/>
    </font>
    <font>
      <u val="single"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Palatino Linotype"/>
      <family val="1"/>
    </font>
    <font>
      <b/>
      <sz val="12"/>
      <color rgb="FFFF0000"/>
      <name val="Arial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Palatino Linotype"/>
      <family val="1"/>
    </font>
    <font>
      <sz val="10"/>
      <color rgb="FF666666"/>
      <name val="Palatino Linotype"/>
      <family val="1"/>
    </font>
    <font>
      <sz val="9"/>
      <color rgb="FF333333"/>
      <name val="Arial"/>
      <family val="2"/>
    </font>
    <font>
      <b/>
      <sz val="10"/>
      <color theme="4" tint="-0.24997000396251678"/>
      <name val="Palatino Linotype"/>
      <family val="1"/>
    </font>
    <font>
      <sz val="12"/>
      <color rgb="FF333333"/>
      <name val="Arial"/>
      <family val="2"/>
    </font>
    <font>
      <b/>
      <sz val="10"/>
      <color rgb="FFFF0000"/>
      <name val="Palatino Linotype"/>
      <family val="1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4" fillId="0" borderId="10" xfId="42" applyFill="1" applyBorder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58" fillId="0" borderId="10" xfId="0" applyFont="1" applyFill="1" applyBorder="1" applyAlignment="1">
      <alignment/>
    </xf>
    <xf numFmtId="174" fontId="0" fillId="0" borderId="10" xfId="0" applyNumberFormat="1" applyFill="1" applyBorder="1" applyAlignment="1">
      <alignment/>
    </xf>
    <xf numFmtId="0" fontId="59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/>
    </xf>
    <xf numFmtId="176" fontId="56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0" fontId="56" fillId="0" borderId="10" xfId="0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74" fontId="60" fillId="0" borderId="10" xfId="0" applyNumberFormat="1" applyFont="1" applyFill="1" applyBorder="1" applyAlignment="1">
      <alignment/>
    </xf>
    <xf numFmtId="174" fontId="61" fillId="0" borderId="10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56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76" fontId="0" fillId="0" borderId="17" xfId="0" applyNumberFormat="1" applyFill="1" applyBorder="1" applyAlignment="1">
      <alignment/>
    </xf>
    <xf numFmtId="0" fontId="56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176" fontId="0" fillId="0" borderId="0" xfId="0" applyNumberFormat="1" applyFill="1" applyBorder="1" applyAlignment="1">
      <alignment/>
    </xf>
    <xf numFmtId="0" fontId="4" fillId="0" borderId="0" xfId="0" applyFont="1" applyFill="1" applyAlignment="1">
      <alignment horizontal="left"/>
    </xf>
    <xf numFmtId="0" fontId="64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10" fontId="0" fillId="0" borderId="11" xfId="0" applyNumberFormat="1" applyFill="1" applyBorder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1" fillId="0" borderId="10" xfId="0" applyFont="1" applyFill="1" applyBorder="1" applyAlignment="1">
      <alignment/>
    </xf>
    <xf numFmtId="0" fontId="68" fillId="0" borderId="0" xfId="0" applyFont="1" applyFill="1" applyAlignment="1">
      <alignment/>
    </xf>
    <xf numFmtId="0" fontId="62" fillId="0" borderId="0" xfId="0" applyFont="1" applyFill="1" applyAlignment="1">
      <alignment horizontal="left"/>
    </xf>
    <xf numFmtId="0" fontId="44" fillId="0" borderId="0" xfId="42" applyFill="1" applyAlignment="1">
      <alignment/>
    </xf>
    <xf numFmtId="0" fontId="6" fillId="0" borderId="18" xfId="0" applyFont="1" applyFill="1" applyBorder="1" applyAlignment="1">
      <alignment/>
    </xf>
    <xf numFmtId="0" fontId="38" fillId="0" borderId="10" xfId="42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6" fillId="0" borderId="0" xfId="0" applyFont="1" applyAlignment="1">
      <alignment/>
    </xf>
    <xf numFmtId="0" fontId="0" fillId="0" borderId="15" xfId="0" applyBorder="1" applyAlignment="1">
      <alignment/>
    </xf>
    <xf numFmtId="10" fontId="0" fillId="0" borderId="11" xfId="0" applyNumberFormat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Border="1" applyAlignment="1">
      <alignment/>
    </xf>
    <xf numFmtId="0" fontId="63" fillId="0" borderId="0" xfId="0" applyFont="1" applyAlignment="1">
      <alignment/>
    </xf>
    <xf numFmtId="0" fontId="58" fillId="0" borderId="0" xfId="0" applyFont="1" applyAlignment="1">
      <alignment wrapText="1"/>
    </xf>
    <xf numFmtId="0" fontId="58" fillId="0" borderId="0" xfId="0" applyFont="1" applyFill="1" applyAlignment="1">
      <alignment wrapText="1"/>
    </xf>
    <xf numFmtId="0" fontId="63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63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176" fontId="56" fillId="0" borderId="0" xfId="0" applyNumberFormat="1" applyFont="1" applyBorder="1" applyAlignment="1">
      <alignment/>
    </xf>
    <xf numFmtId="176" fontId="56" fillId="0" borderId="10" xfId="0" applyNumberFormat="1" applyFont="1" applyBorder="1" applyAlignment="1">
      <alignment/>
    </xf>
    <xf numFmtId="0" fontId="62" fillId="0" borderId="0" xfId="0" applyFont="1" applyAlignment="1">
      <alignment wrapText="1"/>
    </xf>
    <xf numFmtId="176" fontId="56" fillId="0" borderId="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62" fillId="0" borderId="10" xfId="0" applyFont="1" applyFill="1" applyBorder="1" applyAlignment="1">
      <alignment/>
    </xf>
    <xf numFmtId="0" fontId="62" fillId="0" borderId="0" xfId="0" applyFont="1" applyAlignment="1">
      <alignment horizontal="left"/>
    </xf>
    <xf numFmtId="176" fontId="0" fillId="0" borderId="0" xfId="0" applyNumberFormat="1" applyBorder="1" applyAlignment="1">
      <alignment/>
    </xf>
    <xf numFmtId="0" fontId="58" fillId="0" borderId="0" xfId="0" applyFont="1" applyAlignment="1">
      <alignment/>
    </xf>
    <xf numFmtId="176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sale/clearancepanties/lace-floral-v-string-panty-pink?ProductID=247505&amp;CatalogueType=OLS&#160;" TargetMode="External" /><Relationship Id="rId2" Type="http://schemas.openxmlformats.org/officeDocument/2006/relationships/hyperlink" Target="https://www.victoriassecret.com/clothing/tees-steals/the-essential-bra-top-cami?ProductID=241965&amp;CatalogueType=OLS" TargetMode="External" /><Relationship Id="rId3" Type="http://schemas.openxmlformats.org/officeDocument/2006/relationships/hyperlink" Target="https://www.victoriassecret.com/clothing/tees-steals/the-essential-bra-top-cami?ProductID=241965&amp;CatalogueType=OLS" TargetMode="External" /><Relationship Id="rId4" Type="http://schemas.openxmlformats.org/officeDocument/2006/relationships/hyperlink" Target="https://www.victoriassecret.com/swimwear/shop-by-size/the-unforgettable-demi-top-forever-sexy?ProductID=232163&amp;CatalogueType=OLS" TargetMode="External" /><Relationship Id="rId5" Type="http://schemas.openxmlformats.org/officeDocument/2006/relationships/hyperlink" Target="https://www.victoriassecret.com/swimwear/all-bottoms/the-knockout-bikini-beach-sexy?ProductID=246068&amp;CatalogueType=OLS&amp;origin=search" TargetMode="External" /><Relationship Id="rId6" Type="http://schemas.openxmlformats.org/officeDocument/2006/relationships/hyperlink" Target="https://www.victoriassecret.com/swimwear/shop-by-size/the-strappy-bandeau-beach-sexy?ProductID=246132&amp;CatalogueType=OLS&#160;" TargetMode="External" /><Relationship Id="rId7" Type="http://schemas.openxmlformats.org/officeDocument/2006/relationships/hyperlink" Target="https://www.victoriassecret.com/swimwear/shop-by-size/the-itsy-beach-sexy?ProductID=246124&amp;CatalogueType=OLS" TargetMode="External" /><Relationship Id="rId8" Type="http://schemas.openxmlformats.org/officeDocument/2006/relationships/hyperlink" Target="https://www.victoriassecret.com/swimwear/shop-by-size/fringe-bandeau-beach-sexy?ProductID=228890&amp;CatalogueType=OLS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5"/>
  <sheetViews>
    <sheetView tabSelected="1" zoomScalePageLayoutView="0" workbookViewId="0" topLeftCell="A1">
      <pane ySplit="1" topLeftCell="A684" activePane="bottomLeft" state="frozen"/>
      <selection pane="topLeft" activeCell="A1" sqref="A1"/>
      <selection pane="bottomLeft" activeCell="H760" sqref="H760"/>
    </sheetView>
  </sheetViews>
  <sheetFormatPr defaultColWidth="8.8515625" defaultRowHeight="15"/>
  <cols>
    <col min="1" max="3" width="8.8515625" style="22" customWidth="1"/>
    <col min="4" max="4" width="10.8515625" style="22" bestFit="1" customWidth="1"/>
    <col min="5" max="5" width="8.8515625" style="22" customWidth="1"/>
    <col min="6" max="6" width="27.00390625" style="22" customWidth="1"/>
    <col min="7" max="7" width="8.8515625" style="22" customWidth="1"/>
    <col min="8" max="9" width="9.140625" style="23" customWidth="1"/>
    <col min="10" max="10" width="15.7109375" style="22" customWidth="1"/>
    <col min="11" max="11" width="17.00390625" style="22" customWidth="1"/>
    <col min="12" max="15" width="8.8515625" style="8" customWidth="1"/>
    <col min="16" max="16" width="28.140625" style="8" bestFit="1" customWidth="1"/>
    <col min="17" max="17" width="9.00390625" style="8" bestFit="1" customWidth="1"/>
    <col min="18" max="16384" width="8.8515625" style="8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8</v>
      </c>
      <c r="I1" s="3" t="s">
        <v>22</v>
      </c>
      <c r="J1" s="4" t="s">
        <v>9</v>
      </c>
      <c r="K1" s="4" t="s">
        <v>10</v>
      </c>
    </row>
    <row r="2" spans="1:12" ht="15.75" customHeight="1">
      <c r="A2" s="26" t="s">
        <v>220</v>
      </c>
      <c r="F2" s="27" t="s">
        <v>114</v>
      </c>
      <c r="K2" s="54"/>
      <c r="L2" s="6"/>
    </row>
    <row r="3" spans="1:12" ht="15.75" customHeight="1">
      <c r="A3" s="20" t="s">
        <v>79</v>
      </c>
      <c r="B3" s="21" t="s">
        <v>77</v>
      </c>
      <c r="D3" s="55" t="s">
        <v>78</v>
      </c>
      <c r="E3" s="22" t="s">
        <v>14</v>
      </c>
      <c r="F3" s="24" t="s">
        <v>80</v>
      </c>
      <c r="G3" s="22">
        <v>1</v>
      </c>
      <c r="H3" s="23">
        <v>7.99</v>
      </c>
      <c r="I3" s="25">
        <f>H3*$Q$11</f>
        <v>447.44</v>
      </c>
      <c r="J3" s="34">
        <f>H3*$Q$8*$Q$11</f>
        <v>541.6557884673681</v>
      </c>
      <c r="K3" s="35">
        <f>1083-1100</f>
        <v>-17</v>
      </c>
      <c r="L3" s="6"/>
    </row>
    <row r="4" spans="1:12" ht="15.75" customHeight="1" thickBot="1">
      <c r="A4" s="20" t="s">
        <v>79</v>
      </c>
      <c r="B4" s="21" t="s">
        <v>77</v>
      </c>
      <c r="D4" s="55" t="s">
        <v>78</v>
      </c>
      <c r="E4" s="22" t="s">
        <v>14</v>
      </c>
      <c r="F4" s="24" t="s">
        <v>81</v>
      </c>
      <c r="G4" s="22">
        <v>1</v>
      </c>
      <c r="H4" s="23">
        <v>7.99</v>
      </c>
      <c r="I4" s="25">
        <f aca="true" t="shared" si="0" ref="I4:I33">H4*$Q$11</f>
        <v>447.44</v>
      </c>
      <c r="J4" s="34">
        <f>H4*$Q$8*$Q$11</f>
        <v>541.6557884673681</v>
      </c>
      <c r="K4" s="35"/>
      <c r="L4" s="6"/>
    </row>
    <row r="5" spans="1:17" s="7" customFormat="1" ht="15.75" customHeight="1">
      <c r="A5" s="20" t="s">
        <v>83</v>
      </c>
      <c r="B5" s="21" t="s">
        <v>82</v>
      </c>
      <c r="C5" s="22"/>
      <c r="D5" s="55" t="s">
        <v>36</v>
      </c>
      <c r="E5" s="24" t="s">
        <v>23</v>
      </c>
      <c r="F5" s="24" t="s">
        <v>18</v>
      </c>
      <c r="G5" s="22">
        <v>1</v>
      </c>
      <c r="H5" s="23">
        <v>19.99</v>
      </c>
      <c r="I5" s="25">
        <f t="shared" si="0"/>
        <v>1119.4399999999998</v>
      </c>
      <c r="J5" s="25"/>
      <c r="K5" s="35">
        <f aca="true" t="shared" si="1" ref="K5:K30">H5*$Q$9*$Q$11</f>
        <v>1411.1283468664192</v>
      </c>
      <c r="P5" s="16" t="s">
        <v>19</v>
      </c>
      <c r="Q5" s="13">
        <f>SUM(H3:H33)</f>
        <v>455.23000000000013</v>
      </c>
    </row>
    <row r="6" spans="1:17" s="7" customFormat="1" ht="15.75" customHeight="1">
      <c r="A6" s="20" t="s">
        <v>83</v>
      </c>
      <c r="B6" s="21" t="s">
        <v>84</v>
      </c>
      <c r="C6" s="22"/>
      <c r="D6" s="55" t="s">
        <v>37</v>
      </c>
      <c r="E6" s="24" t="s">
        <v>24</v>
      </c>
      <c r="F6" s="24" t="s">
        <v>34</v>
      </c>
      <c r="G6" s="22">
        <v>1</v>
      </c>
      <c r="H6" s="23">
        <v>34.99</v>
      </c>
      <c r="I6" s="25">
        <f t="shared" si="0"/>
        <v>1959.44</v>
      </c>
      <c r="J6" s="25"/>
      <c r="K6" s="35">
        <f t="shared" si="1"/>
        <v>2470.0040448652335</v>
      </c>
      <c r="P6" s="17" t="s">
        <v>15</v>
      </c>
      <c r="Q6" s="9">
        <v>63.99</v>
      </c>
    </row>
    <row r="7" spans="1:17" ht="15.75" customHeight="1">
      <c r="A7" s="20" t="s">
        <v>83</v>
      </c>
      <c r="B7" s="21" t="s">
        <v>85</v>
      </c>
      <c r="D7" s="55" t="s">
        <v>38</v>
      </c>
      <c r="E7" s="24" t="s">
        <v>24</v>
      </c>
      <c r="F7" s="24" t="s">
        <v>35</v>
      </c>
      <c r="G7" s="22">
        <v>1</v>
      </c>
      <c r="H7" s="23">
        <v>26.99</v>
      </c>
      <c r="I7" s="25">
        <f t="shared" si="0"/>
        <v>1511.4399999999998</v>
      </c>
      <c r="J7" s="25"/>
      <c r="K7" s="35">
        <f t="shared" si="1"/>
        <v>1905.2703392658657</v>
      </c>
      <c r="P7" s="18" t="s">
        <v>111</v>
      </c>
      <c r="Q7" s="56">
        <f>Q6/Q5</f>
        <v>0.14056630714144494</v>
      </c>
    </row>
    <row r="8" spans="1:17" ht="15.75" customHeight="1">
      <c r="A8" s="20" t="s">
        <v>83</v>
      </c>
      <c r="B8" s="21" t="s">
        <v>86</v>
      </c>
      <c r="D8" s="55" t="s">
        <v>39</v>
      </c>
      <c r="E8" s="24" t="s">
        <v>12</v>
      </c>
      <c r="F8" s="24" t="s">
        <v>33</v>
      </c>
      <c r="G8" s="22">
        <v>1</v>
      </c>
      <c r="H8" s="23">
        <v>3.99</v>
      </c>
      <c r="I8" s="25">
        <f t="shared" si="0"/>
        <v>223.44</v>
      </c>
      <c r="J8" s="25"/>
      <c r="K8" s="35">
        <f t="shared" si="1"/>
        <v>281.6609356676845</v>
      </c>
      <c r="P8" s="17" t="s">
        <v>16</v>
      </c>
      <c r="Q8" s="10">
        <f>1+Q6/Q5+0.07</f>
        <v>1.210566307141445</v>
      </c>
    </row>
    <row r="9" spans="1:17" ht="15.75" customHeight="1">
      <c r="A9" s="20" t="s">
        <v>83</v>
      </c>
      <c r="B9" s="21" t="s">
        <v>87</v>
      </c>
      <c r="D9" s="55" t="s">
        <v>41</v>
      </c>
      <c r="E9" s="24" t="s">
        <v>12</v>
      </c>
      <c r="F9" s="24" t="s">
        <v>40</v>
      </c>
      <c r="G9" s="22">
        <v>1</v>
      </c>
      <c r="H9" s="23">
        <v>12.99</v>
      </c>
      <c r="I9" s="25">
        <f t="shared" si="0"/>
        <v>727.44</v>
      </c>
      <c r="J9" s="25"/>
      <c r="K9" s="35">
        <f t="shared" si="1"/>
        <v>916.9863544669729</v>
      </c>
      <c r="L9" s="43"/>
      <c r="P9" s="17" t="s">
        <v>16</v>
      </c>
      <c r="Q9" s="10">
        <f>1+Q6/Q5+0.12</f>
        <v>1.260566307141445</v>
      </c>
    </row>
    <row r="10" spans="1:17" ht="15.75" customHeight="1">
      <c r="A10" s="20" t="s">
        <v>83</v>
      </c>
      <c r="B10" s="21" t="s">
        <v>88</v>
      </c>
      <c r="D10" s="55" t="s">
        <v>43</v>
      </c>
      <c r="E10" s="24" t="s">
        <v>12</v>
      </c>
      <c r="F10" s="24" t="s">
        <v>42</v>
      </c>
      <c r="G10" s="22">
        <v>1</v>
      </c>
      <c r="H10" s="23">
        <v>5.99</v>
      </c>
      <c r="I10" s="25">
        <f t="shared" si="0"/>
        <v>335.44</v>
      </c>
      <c r="J10" s="25"/>
      <c r="K10" s="35">
        <f t="shared" si="1"/>
        <v>422.84436206752633</v>
      </c>
      <c r="P10" s="18"/>
      <c r="Q10" s="10"/>
    </row>
    <row r="11" spans="1:17" ht="16.5" customHeight="1" thickBot="1">
      <c r="A11" s="20" t="s">
        <v>83</v>
      </c>
      <c r="B11" s="21" t="s">
        <v>89</v>
      </c>
      <c r="D11" s="55" t="s">
        <v>45</v>
      </c>
      <c r="E11" s="24" t="s">
        <v>12</v>
      </c>
      <c r="F11" s="24" t="s">
        <v>44</v>
      </c>
      <c r="G11" s="22">
        <v>1</v>
      </c>
      <c r="H11" s="23">
        <v>9.99</v>
      </c>
      <c r="I11" s="25">
        <f t="shared" si="0"/>
        <v>559.44</v>
      </c>
      <c r="J11" s="25"/>
      <c r="K11" s="35">
        <f t="shared" si="1"/>
        <v>705.21121486721</v>
      </c>
      <c r="P11" s="33" t="s">
        <v>732</v>
      </c>
      <c r="Q11" s="12">
        <v>56</v>
      </c>
    </row>
    <row r="12" spans="1:17" ht="15.75" customHeight="1">
      <c r="A12" s="20" t="s">
        <v>83</v>
      </c>
      <c r="B12" s="21" t="s">
        <v>90</v>
      </c>
      <c r="D12" s="55" t="s">
        <v>47</v>
      </c>
      <c r="E12" s="24" t="s">
        <v>25</v>
      </c>
      <c r="F12" s="24" t="s">
        <v>46</v>
      </c>
      <c r="G12" s="22">
        <v>1</v>
      </c>
      <c r="H12" s="23">
        <v>19.99</v>
      </c>
      <c r="I12" s="25">
        <f t="shared" si="0"/>
        <v>1119.4399999999998</v>
      </c>
      <c r="J12" s="25"/>
      <c r="K12" s="35">
        <f t="shared" si="1"/>
        <v>1411.1283468664192</v>
      </c>
      <c r="P12" s="14"/>
      <c r="Q12" s="14"/>
    </row>
    <row r="13" spans="1:17" ht="15.75" customHeight="1">
      <c r="A13" s="20" t="s">
        <v>91</v>
      </c>
      <c r="B13" s="21" t="s">
        <v>92</v>
      </c>
      <c r="D13" s="55" t="s">
        <v>49</v>
      </c>
      <c r="E13" s="24" t="s">
        <v>7</v>
      </c>
      <c r="F13" s="24" t="s">
        <v>48</v>
      </c>
      <c r="G13" s="22">
        <v>1</v>
      </c>
      <c r="H13" s="23">
        <v>34.5</v>
      </c>
      <c r="I13" s="25">
        <f t="shared" si="0"/>
        <v>1932</v>
      </c>
      <c r="J13" s="25"/>
      <c r="K13" s="35">
        <f t="shared" si="1"/>
        <v>2435.4141053972717</v>
      </c>
      <c r="P13" s="11"/>
      <c r="Q13" s="14"/>
    </row>
    <row r="14" spans="1:17" ht="15.75" customHeight="1">
      <c r="A14" s="20" t="s">
        <v>93</v>
      </c>
      <c r="B14" s="21" t="s">
        <v>94</v>
      </c>
      <c r="D14" s="55" t="s">
        <v>51</v>
      </c>
      <c r="E14" s="24" t="s">
        <v>7</v>
      </c>
      <c r="F14" s="24" t="s">
        <v>50</v>
      </c>
      <c r="G14" s="22">
        <v>1</v>
      </c>
      <c r="H14" s="23">
        <v>19.99</v>
      </c>
      <c r="I14" s="25">
        <f t="shared" si="0"/>
        <v>1119.4399999999998</v>
      </c>
      <c r="J14" s="25"/>
      <c r="K14" s="35">
        <f t="shared" si="1"/>
        <v>1411.1283468664192</v>
      </c>
      <c r="L14" s="43"/>
      <c r="P14" s="5"/>
      <c r="Q14" s="15"/>
    </row>
    <row r="15" spans="1:17" ht="15.75" customHeight="1">
      <c r="A15" s="20" t="s">
        <v>91</v>
      </c>
      <c r="B15" s="21" t="s">
        <v>95</v>
      </c>
      <c r="D15" s="55" t="s">
        <v>53</v>
      </c>
      <c r="E15" s="24" t="s">
        <v>12</v>
      </c>
      <c r="F15" s="24" t="s">
        <v>52</v>
      </c>
      <c r="G15" s="22">
        <v>1</v>
      </c>
      <c r="H15" s="23">
        <v>3.99</v>
      </c>
      <c r="I15" s="25">
        <f t="shared" si="0"/>
        <v>223.44</v>
      </c>
      <c r="J15" s="25"/>
      <c r="K15" s="35">
        <f t="shared" si="1"/>
        <v>281.6609356676845</v>
      </c>
      <c r="P15" s="5"/>
      <c r="Q15" s="15"/>
    </row>
    <row r="16" spans="1:17" ht="15.75" customHeight="1">
      <c r="A16" s="20" t="s">
        <v>28</v>
      </c>
      <c r="B16" s="21" t="s">
        <v>95</v>
      </c>
      <c r="D16" s="55" t="s">
        <v>53</v>
      </c>
      <c r="E16" s="24" t="s">
        <v>12</v>
      </c>
      <c r="F16" s="24" t="s">
        <v>52</v>
      </c>
      <c r="G16" s="22">
        <v>1</v>
      </c>
      <c r="H16" s="23">
        <v>3.99</v>
      </c>
      <c r="I16" s="25">
        <f t="shared" si="0"/>
        <v>223.44</v>
      </c>
      <c r="J16" s="25"/>
      <c r="K16" s="35">
        <f t="shared" si="1"/>
        <v>281.6609356676845</v>
      </c>
      <c r="P16" s="11"/>
      <c r="Q16" s="5"/>
    </row>
    <row r="17" spans="1:17" ht="15.75" customHeight="1">
      <c r="A17" s="20" t="s">
        <v>28</v>
      </c>
      <c r="B17" s="21" t="s">
        <v>95</v>
      </c>
      <c r="D17" s="55" t="s">
        <v>53</v>
      </c>
      <c r="E17" s="24" t="s">
        <v>12</v>
      </c>
      <c r="F17" s="24" t="s">
        <v>52</v>
      </c>
      <c r="G17" s="22">
        <v>1</v>
      </c>
      <c r="H17" s="23">
        <v>3.99</v>
      </c>
      <c r="I17" s="25">
        <f t="shared" si="0"/>
        <v>223.44</v>
      </c>
      <c r="J17" s="25"/>
      <c r="K17" s="35">
        <f t="shared" si="1"/>
        <v>281.6609356676845</v>
      </c>
      <c r="P17" s="5"/>
      <c r="Q17" s="11"/>
    </row>
    <row r="18" spans="1:17" ht="15.75" customHeight="1">
      <c r="A18" s="20" t="s">
        <v>91</v>
      </c>
      <c r="B18" s="21" t="s">
        <v>95</v>
      </c>
      <c r="D18" s="55" t="s">
        <v>53</v>
      </c>
      <c r="E18" s="24" t="s">
        <v>14</v>
      </c>
      <c r="F18" s="24" t="s">
        <v>54</v>
      </c>
      <c r="G18" s="22">
        <v>1</v>
      </c>
      <c r="H18" s="23">
        <v>3.99</v>
      </c>
      <c r="I18" s="25">
        <f t="shared" si="0"/>
        <v>223.44</v>
      </c>
      <c r="J18" s="25"/>
      <c r="K18" s="35">
        <f t="shared" si="1"/>
        <v>281.6609356676845</v>
      </c>
      <c r="L18" s="43"/>
      <c r="P18" s="5"/>
      <c r="Q18" s="11"/>
    </row>
    <row r="19" spans="1:11" ht="15.75" customHeight="1">
      <c r="A19" s="20" t="s">
        <v>91</v>
      </c>
      <c r="B19" s="21" t="s">
        <v>95</v>
      </c>
      <c r="D19" s="55" t="s">
        <v>53</v>
      </c>
      <c r="E19" s="24" t="s">
        <v>14</v>
      </c>
      <c r="F19" s="24" t="s">
        <v>55</v>
      </c>
      <c r="G19" s="22">
        <v>1</v>
      </c>
      <c r="H19" s="23">
        <v>3.99</v>
      </c>
      <c r="I19" s="25">
        <f t="shared" si="0"/>
        <v>223.44</v>
      </c>
      <c r="J19" s="25"/>
      <c r="K19" s="35">
        <f t="shared" si="1"/>
        <v>281.6609356676845</v>
      </c>
    </row>
    <row r="20" spans="1:11" ht="15.75" customHeight="1">
      <c r="A20" s="20" t="s">
        <v>91</v>
      </c>
      <c r="B20" s="21" t="s">
        <v>95</v>
      </c>
      <c r="D20" s="55" t="s">
        <v>53</v>
      </c>
      <c r="E20" s="24" t="s">
        <v>12</v>
      </c>
      <c r="F20" s="24" t="s">
        <v>26</v>
      </c>
      <c r="G20" s="22">
        <v>1</v>
      </c>
      <c r="H20" s="23">
        <v>3.99</v>
      </c>
      <c r="I20" s="25">
        <f t="shared" si="0"/>
        <v>223.44</v>
      </c>
      <c r="J20" s="25"/>
      <c r="K20" s="35">
        <f t="shared" si="1"/>
        <v>281.6609356676845</v>
      </c>
    </row>
    <row r="21" spans="1:11" ht="15.75" customHeight="1">
      <c r="A21" s="20" t="s">
        <v>91</v>
      </c>
      <c r="B21" s="21" t="s">
        <v>95</v>
      </c>
      <c r="D21" s="55" t="s">
        <v>53</v>
      </c>
      <c r="E21" s="24" t="s">
        <v>12</v>
      </c>
      <c r="F21" s="24" t="s">
        <v>56</v>
      </c>
      <c r="G21" s="22">
        <v>1</v>
      </c>
      <c r="H21" s="23">
        <v>3.99</v>
      </c>
      <c r="I21" s="25">
        <f t="shared" si="0"/>
        <v>223.44</v>
      </c>
      <c r="J21" s="25"/>
      <c r="K21" s="35">
        <f t="shared" si="1"/>
        <v>281.6609356676845</v>
      </c>
    </row>
    <row r="22" spans="1:11" ht="15.75" customHeight="1">
      <c r="A22" s="20" t="s">
        <v>91</v>
      </c>
      <c r="B22" s="21" t="s">
        <v>95</v>
      </c>
      <c r="D22" s="55" t="s">
        <v>53</v>
      </c>
      <c r="E22" s="24" t="s">
        <v>12</v>
      </c>
      <c r="F22" s="24" t="s">
        <v>31</v>
      </c>
      <c r="G22" s="22">
        <v>1</v>
      </c>
      <c r="H22" s="23">
        <v>3.99</v>
      </c>
      <c r="I22" s="25">
        <f t="shared" si="0"/>
        <v>223.44</v>
      </c>
      <c r="J22" s="25"/>
      <c r="K22" s="35">
        <f t="shared" si="1"/>
        <v>281.6609356676845</v>
      </c>
    </row>
    <row r="23" spans="1:11" ht="15.75" customHeight="1">
      <c r="A23" s="20" t="s">
        <v>91</v>
      </c>
      <c r="B23" s="21" t="s">
        <v>96</v>
      </c>
      <c r="D23" s="55" t="s">
        <v>58</v>
      </c>
      <c r="E23" s="24" t="s">
        <v>12</v>
      </c>
      <c r="F23" s="24" t="s">
        <v>57</v>
      </c>
      <c r="G23" s="22">
        <v>1</v>
      </c>
      <c r="H23" s="23">
        <v>3.99</v>
      </c>
      <c r="I23" s="25">
        <f t="shared" si="0"/>
        <v>223.44</v>
      </c>
      <c r="J23" s="25"/>
      <c r="K23" s="35">
        <f t="shared" si="1"/>
        <v>281.6609356676845</v>
      </c>
    </row>
    <row r="24" spans="1:11" ht="15.75" customHeight="1">
      <c r="A24" s="20" t="s">
        <v>98</v>
      </c>
      <c r="B24" s="21" t="s">
        <v>97</v>
      </c>
      <c r="D24" s="55" t="s">
        <v>59</v>
      </c>
      <c r="E24" s="24" t="s">
        <v>12</v>
      </c>
      <c r="F24" s="24" t="s">
        <v>30</v>
      </c>
      <c r="G24" s="22">
        <v>1</v>
      </c>
      <c r="H24" s="23">
        <v>12.99</v>
      </c>
      <c r="I24" s="25">
        <f t="shared" si="0"/>
        <v>727.44</v>
      </c>
      <c r="J24" s="34">
        <f>H24*$Q$8*$Q$11</f>
        <v>880.6143544669727</v>
      </c>
      <c r="K24" s="35">
        <f>J24-900</f>
        <v>-19.385645533027287</v>
      </c>
    </row>
    <row r="25" spans="1:11" ht="15.75" customHeight="1">
      <c r="A25" s="20" t="s">
        <v>99</v>
      </c>
      <c r="B25" s="21" t="s">
        <v>100</v>
      </c>
      <c r="D25" s="55" t="s">
        <v>60</v>
      </c>
      <c r="E25" s="24" t="s">
        <v>20</v>
      </c>
      <c r="F25" s="24" t="s">
        <v>32</v>
      </c>
      <c r="G25" s="22">
        <v>1</v>
      </c>
      <c r="H25" s="23">
        <v>29.99</v>
      </c>
      <c r="I25" s="25">
        <f t="shared" si="0"/>
        <v>1679.4399999999998</v>
      </c>
      <c r="J25" s="25"/>
      <c r="K25" s="35">
        <f t="shared" si="1"/>
        <v>2117.045478865628</v>
      </c>
    </row>
    <row r="26" spans="1:11" ht="15.75" customHeight="1">
      <c r="A26" s="20" t="s">
        <v>99</v>
      </c>
      <c r="B26" s="21" t="s">
        <v>101</v>
      </c>
      <c r="D26" s="55" t="s">
        <v>41</v>
      </c>
      <c r="E26" s="24" t="s">
        <v>13</v>
      </c>
      <c r="F26" s="24" t="s">
        <v>61</v>
      </c>
      <c r="G26" s="22">
        <v>1</v>
      </c>
      <c r="H26" s="23">
        <v>12.99</v>
      </c>
      <c r="I26" s="25">
        <f t="shared" si="0"/>
        <v>727.44</v>
      </c>
      <c r="J26" s="25"/>
      <c r="K26" s="35">
        <f t="shared" si="1"/>
        <v>916.9863544669729</v>
      </c>
    </row>
    <row r="27" spans="1:11" ht="15.75" customHeight="1">
      <c r="A27" s="20" t="s">
        <v>102</v>
      </c>
      <c r="B27" s="21" t="s">
        <v>103</v>
      </c>
      <c r="D27" s="55" t="s">
        <v>63</v>
      </c>
      <c r="E27" s="24" t="s">
        <v>21</v>
      </c>
      <c r="F27" s="24" t="s">
        <v>62</v>
      </c>
      <c r="G27" s="22">
        <v>1</v>
      </c>
      <c r="H27" s="23">
        <v>24.99</v>
      </c>
      <c r="I27" s="25">
        <f t="shared" si="0"/>
        <v>1399.4399999999998</v>
      </c>
      <c r="J27" s="34">
        <f>H27*$Q$8*$Q$11</f>
        <v>1694.1149128660238</v>
      </c>
      <c r="K27" s="35">
        <f>2506-1100-1450</f>
        <v>-44</v>
      </c>
    </row>
    <row r="28" spans="1:11" ht="15.75" customHeight="1">
      <c r="A28" s="20" t="s">
        <v>102</v>
      </c>
      <c r="B28" s="21" t="s">
        <v>104</v>
      </c>
      <c r="D28" s="55" t="s">
        <v>65</v>
      </c>
      <c r="E28" s="24" t="s">
        <v>7</v>
      </c>
      <c r="F28" s="24" t="s">
        <v>62</v>
      </c>
      <c r="G28" s="22">
        <v>1</v>
      </c>
      <c r="H28" s="23">
        <v>5.99</v>
      </c>
      <c r="I28" s="25">
        <f t="shared" si="0"/>
        <v>335.44</v>
      </c>
      <c r="J28" s="34">
        <f>H28*$Q$8*$Q$11</f>
        <v>406.07236206752634</v>
      </c>
      <c r="K28" s="35"/>
    </row>
    <row r="29" spans="1:11" ht="15.75" customHeight="1">
      <c r="A29" s="20" t="s">
        <v>102</v>
      </c>
      <c r="B29" s="21" t="s">
        <v>104</v>
      </c>
      <c r="D29" s="55" t="s">
        <v>65</v>
      </c>
      <c r="E29" s="24" t="s">
        <v>7</v>
      </c>
      <c r="F29" s="24" t="s">
        <v>64</v>
      </c>
      <c r="G29" s="22">
        <v>1</v>
      </c>
      <c r="H29" s="23">
        <v>5.99</v>
      </c>
      <c r="I29" s="25">
        <f t="shared" si="0"/>
        <v>335.44</v>
      </c>
      <c r="J29" s="34">
        <f>H29*$Q$8*$Q$11</f>
        <v>406.07236206752634</v>
      </c>
      <c r="K29" s="35"/>
    </row>
    <row r="30" spans="1:11" ht="15.75" customHeight="1">
      <c r="A30" s="20" t="s">
        <v>106</v>
      </c>
      <c r="B30" s="21" t="s">
        <v>105</v>
      </c>
      <c r="D30" s="55" t="s">
        <v>67</v>
      </c>
      <c r="E30" s="24" t="s">
        <v>11</v>
      </c>
      <c r="F30" s="24" t="s">
        <v>66</v>
      </c>
      <c r="G30" s="22">
        <v>1</v>
      </c>
      <c r="H30" s="23">
        <v>24.99</v>
      </c>
      <c r="I30" s="25">
        <f t="shared" si="0"/>
        <v>1399.4399999999998</v>
      </c>
      <c r="J30" s="25"/>
      <c r="K30" s="35">
        <f t="shared" si="1"/>
        <v>1764.0869128660238</v>
      </c>
    </row>
    <row r="31" spans="1:11" ht="15.75" customHeight="1">
      <c r="A31" s="20" t="s">
        <v>107</v>
      </c>
      <c r="B31" s="21" t="s">
        <v>108</v>
      </c>
      <c r="D31" s="55" t="s">
        <v>73</v>
      </c>
      <c r="E31" s="24" t="s">
        <v>23</v>
      </c>
      <c r="F31" s="24" t="s">
        <v>72</v>
      </c>
      <c r="G31" s="22">
        <v>1</v>
      </c>
      <c r="H31" s="23">
        <v>24</v>
      </c>
      <c r="I31" s="25">
        <f t="shared" si="0"/>
        <v>1344</v>
      </c>
      <c r="J31" s="34">
        <f>H31*$Q$8*$Q$11</f>
        <v>1627.0011167981022</v>
      </c>
      <c r="K31" s="35"/>
    </row>
    <row r="32" spans="1:11" ht="30" customHeight="1">
      <c r="A32" s="20" t="s">
        <v>107</v>
      </c>
      <c r="B32" s="21" t="s">
        <v>109</v>
      </c>
      <c r="D32" s="55" t="s">
        <v>76</v>
      </c>
      <c r="E32" s="24" t="s">
        <v>23</v>
      </c>
      <c r="F32" s="24" t="s">
        <v>75</v>
      </c>
      <c r="G32" s="22">
        <v>1</v>
      </c>
      <c r="H32" s="23">
        <v>48</v>
      </c>
      <c r="I32" s="25">
        <f t="shared" si="0"/>
        <v>2688</v>
      </c>
      <c r="J32" s="34">
        <f>H32*$Q$8*$Q$11</f>
        <v>3254.0022335962044</v>
      </c>
      <c r="K32" s="35"/>
    </row>
    <row r="33" spans="1:11" ht="15.75" customHeight="1">
      <c r="A33" s="20" t="s">
        <v>107</v>
      </c>
      <c r="B33" s="21" t="s">
        <v>110</v>
      </c>
      <c r="D33" s="55" t="s">
        <v>74</v>
      </c>
      <c r="E33" s="24" t="s">
        <v>27</v>
      </c>
      <c r="F33" s="24" t="s">
        <v>29</v>
      </c>
      <c r="G33" s="22">
        <v>1</v>
      </c>
      <c r="H33" s="23">
        <v>24</v>
      </c>
      <c r="I33" s="25">
        <f t="shared" si="0"/>
        <v>1344</v>
      </c>
      <c r="J33" s="34">
        <f>H33*$Q$8*$Q$11</f>
        <v>1627.0011167981022</v>
      </c>
      <c r="K33" s="35">
        <f>6508-7050</f>
        <v>-542</v>
      </c>
    </row>
    <row r="34" spans="1:6" ht="15.75" customHeight="1" thickBot="1">
      <c r="A34" s="26" t="s">
        <v>221</v>
      </c>
      <c r="F34" s="27" t="s">
        <v>219</v>
      </c>
    </row>
    <row r="35" spans="1:17" ht="15.75" customHeight="1">
      <c r="A35" s="22" t="s">
        <v>116</v>
      </c>
      <c r="B35" s="22" t="s">
        <v>117</v>
      </c>
      <c r="D35" s="46" t="s">
        <v>118</v>
      </c>
      <c r="E35" s="8" t="s">
        <v>7</v>
      </c>
      <c r="F35" s="6" t="s">
        <v>64</v>
      </c>
      <c r="G35" s="22">
        <v>1</v>
      </c>
      <c r="H35" s="23">
        <v>5.99</v>
      </c>
      <c r="I35" s="25">
        <f aca="true" t="shared" si="2" ref="I35:I70">H35*$Q$41</f>
        <v>335.44</v>
      </c>
      <c r="J35" s="34">
        <f>H35*$Q$38*$Q$41</f>
        <v>409.62546444617675</v>
      </c>
      <c r="K35" s="35">
        <f>1229-1270</f>
        <v>-41</v>
      </c>
      <c r="P35" s="16" t="s">
        <v>19</v>
      </c>
      <c r="Q35" s="13">
        <f>SUM(H35:H70)</f>
        <v>423.33000000000015</v>
      </c>
    </row>
    <row r="36" spans="1:17" ht="15.75" customHeight="1">
      <c r="A36" s="22" t="s">
        <v>116</v>
      </c>
      <c r="B36" s="22" t="s">
        <v>119</v>
      </c>
      <c r="D36" s="46" t="s">
        <v>120</v>
      </c>
      <c r="E36" s="8" t="s">
        <v>7</v>
      </c>
      <c r="F36" s="6" t="s">
        <v>121</v>
      </c>
      <c r="G36" s="22">
        <v>1</v>
      </c>
      <c r="H36" s="23">
        <v>5.99</v>
      </c>
      <c r="I36" s="25">
        <f t="shared" si="2"/>
        <v>335.44</v>
      </c>
      <c r="J36" s="34">
        <f aca="true" t="shared" si="3" ref="J36:J66">H36*$Q$38*$Q$41</f>
        <v>409.62546444617675</v>
      </c>
      <c r="K36" s="35"/>
      <c r="P36" s="17" t="s">
        <v>15</v>
      </c>
      <c r="Q36" s="9">
        <v>63.99</v>
      </c>
    </row>
    <row r="37" spans="1:17" ht="15.75" customHeight="1">
      <c r="A37" s="22" t="s">
        <v>116</v>
      </c>
      <c r="B37" s="22" t="s">
        <v>122</v>
      </c>
      <c r="D37" s="46" t="s">
        <v>123</v>
      </c>
      <c r="E37" s="8" t="s">
        <v>7</v>
      </c>
      <c r="F37" s="6" t="s">
        <v>124</v>
      </c>
      <c r="G37" s="22">
        <v>1</v>
      </c>
      <c r="H37" s="23">
        <v>5.99</v>
      </c>
      <c r="I37" s="25">
        <f t="shared" si="2"/>
        <v>335.44</v>
      </c>
      <c r="J37" s="34">
        <f t="shared" si="3"/>
        <v>409.62546444617675</v>
      </c>
      <c r="K37" s="35"/>
      <c r="P37" s="18" t="s">
        <v>111</v>
      </c>
      <c r="Q37" s="56">
        <f>Q36/Q35</f>
        <v>0.15115867054071286</v>
      </c>
    </row>
    <row r="38" spans="1:17" ht="15.75" customHeight="1">
      <c r="A38" s="22" t="s">
        <v>125</v>
      </c>
      <c r="B38" s="22" t="s">
        <v>126</v>
      </c>
      <c r="D38" s="46" t="s">
        <v>127</v>
      </c>
      <c r="E38" s="24" t="s">
        <v>14</v>
      </c>
      <c r="F38" s="6" t="s">
        <v>128</v>
      </c>
      <c r="G38" s="22">
        <v>1</v>
      </c>
      <c r="H38" s="23">
        <v>3.99</v>
      </c>
      <c r="I38" s="25">
        <f t="shared" si="2"/>
        <v>223.44</v>
      </c>
      <c r="J38" s="34">
        <f t="shared" si="3"/>
        <v>272.85569334561694</v>
      </c>
      <c r="K38" s="35">
        <f>546-565</f>
        <v>-19</v>
      </c>
      <c r="P38" s="17" t="s">
        <v>16</v>
      </c>
      <c r="Q38" s="10">
        <f>1+Q36/Q35+0.07</f>
        <v>1.221158670540713</v>
      </c>
    </row>
    <row r="39" spans="1:17" ht="15.75" customHeight="1">
      <c r="A39" s="22" t="s">
        <v>125</v>
      </c>
      <c r="B39" s="22" t="s">
        <v>129</v>
      </c>
      <c r="D39" s="46" t="s">
        <v>130</v>
      </c>
      <c r="E39" s="24" t="s">
        <v>14</v>
      </c>
      <c r="F39" s="6" t="s">
        <v>131</v>
      </c>
      <c r="G39" s="22">
        <v>1</v>
      </c>
      <c r="H39" s="23">
        <v>3.99</v>
      </c>
      <c r="I39" s="25">
        <f t="shared" si="2"/>
        <v>223.44</v>
      </c>
      <c r="J39" s="34">
        <f t="shared" si="3"/>
        <v>272.85569334561694</v>
      </c>
      <c r="K39" s="35"/>
      <c r="P39" s="17" t="s">
        <v>16</v>
      </c>
      <c r="Q39" s="10">
        <f>1+Q36/Q35+0.12</f>
        <v>1.271158670540713</v>
      </c>
    </row>
    <row r="40" spans="1:17" ht="15.75" customHeight="1">
      <c r="A40" s="8" t="s">
        <v>115</v>
      </c>
      <c r="B40" s="22" t="s">
        <v>132</v>
      </c>
      <c r="D40" s="46" t="s">
        <v>133</v>
      </c>
      <c r="E40" s="6" t="s">
        <v>134</v>
      </c>
      <c r="F40" s="6" t="s">
        <v>135</v>
      </c>
      <c r="G40" s="22">
        <v>1</v>
      </c>
      <c r="H40" s="23">
        <v>7.99</v>
      </c>
      <c r="I40" s="25">
        <f t="shared" si="2"/>
        <v>447.44</v>
      </c>
      <c r="J40" s="25"/>
      <c r="K40" s="35">
        <f aca="true" t="shared" si="4" ref="K40:K70">H40*$Q$39*$Q$41</f>
        <v>568.7672355467366</v>
      </c>
      <c r="P40" s="18"/>
      <c r="Q40" s="10"/>
    </row>
    <row r="41" spans="1:17" ht="16.5" customHeight="1" thickBot="1">
      <c r="A41" s="8" t="s">
        <v>115</v>
      </c>
      <c r="B41" s="22" t="s">
        <v>132</v>
      </c>
      <c r="D41" s="46" t="s">
        <v>133</v>
      </c>
      <c r="E41" s="6" t="s">
        <v>134</v>
      </c>
      <c r="F41" s="6" t="s">
        <v>135</v>
      </c>
      <c r="G41" s="22">
        <v>1</v>
      </c>
      <c r="H41" s="23">
        <v>7.99</v>
      </c>
      <c r="I41" s="25">
        <f t="shared" si="2"/>
        <v>447.44</v>
      </c>
      <c r="J41" s="25"/>
      <c r="K41" s="35">
        <f t="shared" si="4"/>
        <v>568.7672355467366</v>
      </c>
      <c r="P41" s="33" t="s">
        <v>732</v>
      </c>
      <c r="Q41" s="12">
        <v>56</v>
      </c>
    </row>
    <row r="42" spans="1:11" ht="30" customHeight="1">
      <c r="A42" s="8" t="s">
        <v>115</v>
      </c>
      <c r="B42" s="22" t="s">
        <v>136</v>
      </c>
      <c r="D42" s="46" t="s">
        <v>137</v>
      </c>
      <c r="E42" s="8" t="s">
        <v>7</v>
      </c>
      <c r="F42" s="6" t="s">
        <v>138</v>
      </c>
      <c r="G42" s="22">
        <v>1</v>
      </c>
      <c r="H42" s="23">
        <v>5.99</v>
      </c>
      <c r="I42" s="25">
        <f t="shared" si="2"/>
        <v>335.44</v>
      </c>
      <c r="J42" s="25"/>
      <c r="K42" s="35">
        <f t="shared" si="4"/>
        <v>426.39746444617674</v>
      </c>
    </row>
    <row r="43" spans="1:11" ht="30" customHeight="1">
      <c r="A43" s="8" t="s">
        <v>115</v>
      </c>
      <c r="B43" s="22" t="s">
        <v>136</v>
      </c>
      <c r="D43" s="46" t="s">
        <v>137</v>
      </c>
      <c r="E43" s="8" t="s">
        <v>7</v>
      </c>
      <c r="F43" s="6" t="s">
        <v>138</v>
      </c>
      <c r="G43" s="22">
        <v>1</v>
      </c>
      <c r="H43" s="23">
        <v>5.99</v>
      </c>
      <c r="I43" s="25">
        <f t="shared" si="2"/>
        <v>335.44</v>
      </c>
      <c r="J43" s="25"/>
      <c r="K43" s="35">
        <f t="shared" si="4"/>
        <v>426.39746444617674</v>
      </c>
    </row>
    <row r="44" spans="1:11" ht="15.75" customHeight="1">
      <c r="A44" s="8" t="s">
        <v>115</v>
      </c>
      <c r="B44" s="22" t="s">
        <v>139</v>
      </c>
      <c r="D44" s="46" t="s">
        <v>140</v>
      </c>
      <c r="E44" s="8" t="s">
        <v>7</v>
      </c>
      <c r="F44" s="6" t="s">
        <v>42</v>
      </c>
      <c r="G44" s="22">
        <v>1</v>
      </c>
      <c r="H44" s="23">
        <v>5.99</v>
      </c>
      <c r="I44" s="25">
        <f t="shared" si="2"/>
        <v>335.44</v>
      </c>
      <c r="J44" s="25"/>
      <c r="K44" s="35">
        <f t="shared" si="4"/>
        <v>426.39746444617674</v>
      </c>
    </row>
    <row r="45" spans="1:11" ht="15.75" customHeight="1">
      <c r="A45" s="8" t="s">
        <v>115</v>
      </c>
      <c r="B45" s="22" t="s">
        <v>139</v>
      </c>
      <c r="D45" s="46" t="s">
        <v>140</v>
      </c>
      <c r="E45" s="8" t="s">
        <v>7</v>
      </c>
      <c r="F45" s="6" t="s">
        <v>141</v>
      </c>
      <c r="G45" s="22">
        <v>1</v>
      </c>
      <c r="H45" s="23">
        <v>5.99</v>
      </c>
      <c r="I45" s="25">
        <f t="shared" si="2"/>
        <v>335.44</v>
      </c>
      <c r="J45" s="25"/>
      <c r="K45" s="35">
        <f t="shared" si="4"/>
        <v>426.39746444617674</v>
      </c>
    </row>
    <row r="46" spans="1:12" ht="15.75" customHeight="1">
      <c r="A46" s="8" t="s">
        <v>142</v>
      </c>
      <c r="B46" s="22" t="s">
        <v>143</v>
      </c>
      <c r="D46" s="46" t="s">
        <v>144</v>
      </c>
      <c r="E46" s="6" t="s">
        <v>25</v>
      </c>
      <c r="F46" s="6" t="s">
        <v>145</v>
      </c>
      <c r="G46" s="22">
        <v>1</v>
      </c>
      <c r="H46" s="41">
        <v>37.59</v>
      </c>
      <c r="I46" s="25">
        <f t="shared" si="2"/>
        <v>2105.04</v>
      </c>
      <c r="J46" s="25"/>
      <c r="K46" s="35">
        <f t="shared" si="4"/>
        <v>2675.8398478350227</v>
      </c>
      <c r="L46" s="28" t="s">
        <v>146</v>
      </c>
    </row>
    <row r="47" spans="1:11" ht="15.75" customHeight="1">
      <c r="A47" s="8" t="s">
        <v>147</v>
      </c>
      <c r="B47" s="22" t="s">
        <v>148</v>
      </c>
      <c r="D47" s="46" t="s">
        <v>149</v>
      </c>
      <c r="E47" s="6" t="s">
        <v>23</v>
      </c>
      <c r="F47" s="6" t="s">
        <v>150</v>
      </c>
      <c r="G47" s="22">
        <v>1</v>
      </c>
      <c r="H47" s="23">
        <v>23</v>
      </c>
      <c r="I47" s="25">
        <f t="shared" si="2"/>
        <v>1288</v>
      </c>
      <c r="J47" s="34">
        <f t="shared" si="3"/>
        <v>1572.8523676564382</v>
      </c>
      <c r="K47" s="35"/>
    </row>
    <row r="48" spans="1:11" ht="15.75" customHeight="1">
      <c r="A48" s="8" t="s">
        <v>147</v>
      </c>
      <c r="B48" s="22" t="s">
        <v>148</v>
      </c>
      <c r="D48" s="46" t="s">
        <v>151</v>
      </c>
      <c r="E48" s="22" t="s">
        <v>13</v>
      </c>
      <c r="F48" s="6" t="s">
        <v>150</v>
      </c>
      <c r="G48" s="22">
        <v>1</v>
      </c>
      <c r="H48" s="23">
        <v>16</v>
      </c>
      <c r="I48" s="25">
        <f t="shared" si="2"/>
        <v>896</v>
      </c>
      <c r="J48" s="34">
        <f t="shared" si="3"/>
        <v>1094.1581688044787</v>
      </c>
      <c r="K48" s="35"/>
    </row>
    <row r="49" spans="1:11" ht="15.75" customHeight="1">
      <c r="A49" s="22" t="s">
        <v>147</v>
      </c>
      <c r="B49" s="22" t="s">
        <v>152</v>
      </c>
      <c r="D49" s="46" t="s">
        <v>153</v>
      </c>
      <c r="E49" s="22" t="s">
        <v>13</v>
      </c>
      <c r="F49" s="6" t="s">
        <v>154</v>
      </c>
      <c r="G49" s="22">
        <v>1</v>
      </c>
      <c r="H49" s="23">
        <v>24.5</v>
      </c>
      <c r="I49" s="25">
        <f t="shared" si="2"/>
        <v>1372</v>
      </c>
      <c r="J49" s="34">
        <f t="shared" si="3"/>
        <v>1675.4296959818582</v>
      </c>
      <c r="K49" s="35"/>
    </row>
    <row r="50" spans="1:11" ht="15.75" customHeight="1">
      <c r="A50" s="22" t="s">
        <v>155</v>
      </c>
      <c r="B50" s="22" t="s">
        <v>156</v>
      </c>
      <c r="D50" s="46" t="s">
        <v>157</v>
      </c>
      <c r="E50" s="22" t="s">
        <v>12</v>
      </c>
      <c r="F50" s="6" t="s">
        <v>158</v>
      </c>
      <c r="G50" s="22">
        <v>1</v>
      </c>
      <c r="H50" s="23">
        <v>12.99</v>
      </c>
      <c r="I50" s="25">
        <f t="shared" si="2"/>
        <v>727.44</v>
      </c>
      <c r="J50" s="34">
        <f t="shared" si="3"/>
        <v>888.3196632981362</v>
      </c>
      <c r="K50" s="35"/>
    </row>
    <row r="51" spans="1:11" ht="15.75" customHeight="1">
      <c r="A51" s="22" t="s">
        <v>155</v>
      </c>
      <c r="B51" s="22" t="s">
        <v>159</v>
      </c>
      <c r="D51" s="46" t="s">
        <v>78</v>
      </c>
      <c r="E51" s="22" t="s">
        <v>14</v>
      </c>
      <c r="F51" s="6" t="s">
        <v>81</v>
      </c>
      <c r="G51" s="22">
        <v>1</v>
      </c>
      <c r="H51" s="23">
        <v>7.99</v>
      </c>
      <c r="I51" s="25">
        <f t="shared" si="2"/>
        <v>447.44</v>
      </c>
      <c r="J51" s="34">
        <f t="shared" si="3"/>
        <v>546.3952355467366</v>
      </c>
      <c r="K51" s="35"/>
    </row>
    <row r="52" spans="1:11" ht="15.75" customHeight="1">
      <c r="A52" s="22" t="s">
        <v>155</v>
      </c>
      <c r="B52" s="22" t="s">
        <v>159</v>
      </c>
      <c r="D52" s="46" t="s">
        <v>78</v>
      </c>
      <c r="E52" s="22" t="s">
        <v>14</v>
      </c>
      <c r="F52" s="6" t="s">
        <v>80</v>
      </c>
      <c r="G52" s="22">
        <v>1</v>
      </c>
      <c r="H52" s="23">
        <v>7.99</v>
      </c>
      <c r="I52" s="25">
        <f t="shared" si="2"/>
        <v>447.44</v>
      </c>
      <c r="J52" s="34">
        <f t="shared" si="3"/>
        <v>546.3952355467366</v>
      </c>
      <c r="K52" s="35">
        <f>1981-2500</f>
        <v>-519</v>
      </c>
    </row>
    <row r="53" spans="1:11" ht="30" customHeight="1">
      <c r="A53" s="22" t="s">
        <v>160</v>
      </c>
      <c r="B53" s="22" t="s">
        <v>161</v>
      </c>
      <c r="D53" s="46" t="s">
        <v>162</v>
      </c>
      <c r="E53" s="6" t="s">
        <v>163</v>
      </c>
      <c r="F53" s="6" t="s">
        <v>164</v>
      </c>
      <c r="G53" s="22">
        <v>1</v>
      </c>
      <c r="H53" s="23">
        <v>27.99</v>
      </c>
      <c r="I53" s="25">
        <f t="shared" si="2"/>
        <v>1567.4399999999998</v>
      </c>
      <c r="J53" s="25"/>
      <c r="K53" s="35">
        <f t="shared" si="4"/>
        <v>1992.4649465523348</v>
      </c>
    </row>
    <row r="54" spans="1:11" ht="15.75" customHeight="1">
      <c r="A54" s="22" t="s">
        <v>160</v>
      </c>
      <c r="B54" s="22" t="s">
        <v>165</v>
      </c>
      <c r="D54" s="46" t="s">
        <v>166</v>
      </c>
      <c r="E54" s="22" t="s">
        <v>12</v>
      </c>
      <c r="F54" s="6" t="s">
        <v>167</v>
      </c>
      <c r="G54" s="22">
        <v>1</v>
      </c>
      <c r="H54" s="23">
        <v>5.99</v>
      </c>
      <c r="I54" s="25">
        <f t="shared" si="2"/>
        <v>335.44</v>
      </c>
      <c r="J54" s="25"/>
      <c r="K54" s="35">
        <f t="shared" si="4"/>
        <v>426.39746444617674</v>
      </c>
    </row>
    <row r="55" spans="1:11" ht="15.75" customHeight="1">
      <c r="A55" s="22" t="s">
        <v>160</v>
      </c>
      <c r="B55" s="22" t="s">
        <v>168</v>
      </c>
      <c r="D55" s="46" t="s">
        <v>169</v>
      </c>
      <c r="E55" s="22" t="s">
        <v>12</v>
      </c>
      <c r="F55" s="6" t="s">
        <v>170</v>
      </c>
      <c r="G55" s="22">
        <v>1</v>
      </c>
      <c r="H55" s="23">
        <v>5.99</v>
      </c>
      <c r="I55" s="25">
        <f t="shared" si="2"/>
        <v>335.44</v>
      </c>
      <c r="J55" s="25"/>
      <c r="K55" s="35">
        <f t="shared" si="4"/>
        <v>426.39746444617674</v>
      </c>
    </row>
    <row r="56" spans="1:11" ht="15.75" customHeight="1">
      <c r="A56" s="22" t="s">
        <v>160</v>
      </c>
      <c r="B56" s="22" t="s">
        <v>171</v>
      </c>
      <c r="D56" s="46" t="s">
        <v>172</v>
      </c>
      <c r="E56" s="22" t="s">
        <v>12</v>
      </c>
      <c r="F56" s="6" t="s">
        <v>18</v>
      </c>
      <c r="G56" s="22">
        <v>1</v>
      </c>
      <c r="H56" s="23">
        <v>5.99</v>
      </c>
      <c r="I56" s="25">
        <f t="shared" si="2"/>
        <v>335.44</v>
      </c>
      <c r="J56" s="25"/>
      <c r="K56" s="35">
        <f t="shared" si="4"/>
        <v>426.39746444617674</v>
      </c>
    </row>
    <row r="57" spans="1:11" ht="15.75" customHeight="1">
      <c r="A57" s="22" t="s">
        <v>91</v>
      </c>
      <c r="B57" s="22" t="s">
        <v>173</v>
      </c>
      <c r="D57" s="46" t="s">
        <v>174</v>
      </c>
      <c r="E57" s="22" t="s">
        <v>12</v>
      </c>
      <c r="F57" s="6" t="s">
        <v>175</v>
      </c>
      <c r="G57" s="22">
        <v>1</v>
      </c>
      <c r="H57" s="23">
        <v>3.99</v>
      </c>
      <c r="I57" s="25">
        <f t="shared" si="2"/>
        <v>223.44</v>
      </c>
      <c r="J57" s="25"/>
      <c r="K57" s="35">
        <f t="shared" si="4"/>
        <v>284.0276933456169</v>
      </c>
    </row>
    <row r="58" spans="1:11" ht="15.75" customHeight="1">
      <c r="A58" s="22" t="s">
        <v>91</v>
      </c>
      <c r="B58" s="22" t="s">
        <v>173</v>
      </c>
      <c r="D58" s="46" t="s">
        <v>174</v>
      </c>
      <c r="E58" s="22" t="s">
        <v>12</v>
      </c>
      <c r="F58" s="6" t="s">
        <v>175</v>
      </c>
      <c r="G58" s="22">
        <v>1</v>
      </c>
      <c r="H58" s="23">
        <v>3.99</v>
      </c>
      <c r="I58" s="25">
        <f t="shared" si="2"/>
        <v>223.44</v>
      </c>
      <c r="J58" s="25"/>
      <c r="K58" s="35">
        <f t="shared" si="4"/>
        <v>284.0276933456169</v>
      </c>
    </row>
    <row r="59" spans="1:11" ht="15.75" customHeight="1">
      <c r="A59" s="22" t="s">
        <v>176</v>
      </c>
      <c r="B59" s="22" t="s">
        <v>177</v>
      </c>
      <c r="D59" s="46" t="s">
        <v>178</v>
      </c>
      <c r="E59" s="22" t="s">
        <v>12</v>
      </c>
      <c r="F59" s="6" t="s">
        <v>179</v>
      </c>
      <c r="G59" s="22">
        <v>1</v>
      </c>
      <c r="H59" s="23">
        <v>14.99</v>
      </c>
      <c r="I59" s="25">
        <f t="shared" si="2"/>
        <v>839.44</v>
      </c>
      <c r="J59" s="34">
        <f t="shared" si="3"/>
        <v>1025.089434398696</v>
      </c>
      <c r="K59" s="35"/>
    </row>
    <row r="60" spans="1:11" ht="15.75" customHeight="1">
      <c r="A60" s="22" t="s">
        <v>176</v>
      </c>
      <c r="B60" s="22" t="s">
        <v>177</v>
      </c>
      <c r="D60" s="46" t="s">
        <v>180</v>
      </c>
      <c r="E60" s="22" t="s">
        <v>12</v>
      </c>
      <c r="F60" s="6" t="s">
        <v>179</v>
      </c>
      <c r="G60" s="22">
        <v>1</v>
      </c>
      <c r="H60" s="23">
        <v>9.99</v>
      </c>
      <c r="I60" s="25">
        <f t="shared" si="2"/>
        <v>559.44</v>
      </c>
      <c r="J60" s="34">
        <f t="shared" si="3"/>
        <v>683.1650066472964</v>
      </c>
      <c r="K60" s="35">
        <f>1708-1810</f>
        <v>-102</v>
      </c>
    </row>
    <row r="61" spans="1:11" ht="15.75" customHeight="1">
      <c r="A61" s="22" t="s">
        <v>181</v>
      </c>
      <c r="B61" s="22" t="s">
        <v>182</v>
      </c>
      <c r="D61" s="46" t="s">
        <v>183</v>
      </c>
      <c r="E61" s="22" t="s">
        <v>12</v>
      </c>
      <c r="F61" s="6" t="s">
        <v>184</v>
      </c>
      <c r="G61" s="22">
        <v>1</v>
      </c>
      <c r="H61" s="23">
        <v>13</v>
      </c>
      <c r="I61" s="25">
        <f t="shared" si="2"/>
        <v>728</v>
      </c>
      <c r="J61" s="34">
        <f t="shared" si="3"/>
        <v>889.003512153639</v>
      </c>
      <c r="K61" s="35"/>
    </row>
    <row r="62" spans="1:11" ht="15.75" customHeight="1">
      <c r="A62" s="22" t="s">
        <v>181</v>
      </c>
      <c r="B62" s="22" t="s">
        <v>185</v>
      </c>
      <c r="D62" s="46" t="s">
        <v>186</v>
      </c>
      <c r="E62" s="22" t="s">
        <v>7</v>
      </c>
      <c r="F62" s="6" t="s">
        <v>184</v>
      </c>
      <c r="G62" s="22">
        <v>1</v>
      </c>
      <c r="H62" s="23">
        <v>19</v>
      </c>
      <c r="I62" s="25">
        <f t="shared" si="2"/>
        <v>1064</v>
      </c>
      <c r="J62" s="34">
        <f t="shared" si="3"/>
        <v>1299.3128254553185</v>
      </c>
      <c r="K62" s="35"/>
    </row>
    <row r="63" spans="1:12" ht="15.75" customHeight="1">
      <c r="A63" s="22" t="s">
        <v>181</v>
      </c>
      <c r="B63" s="22" t="s">
        <v>187</v>
      </c>
      <c r="D63" s="46" t="s">
        <v>188</v>
      </c>
      <c r="E63" s="22" t="s">
        <v>14</v>
      </c>
      <c r="F63" s="6" t="s">
        <v>189</v>
      </c>
      <c r="G63" s="22">
        <v>1</v>
      </c>
      <c r="H63" s="23">
        <v>16</v>
      </c>
      <c r="I63" s="25">
        <f t="shared" si="2"/>
        <v>896</v>
      </c>
      <c r="J63" s="34">
        <f t="shared" si="3"/>
        <v>1094.1581688044787</v>
      </c>
      <c r="K63" s="35">
        <f>4924-3010-700-305-1000</f>
        <v>-91</v>
      </c>
      <c r="L63" s="43" t="s">
        <v>190</v>
      </c>
    </row>
    <row r="64" spans="1:11" ht="15.75" customHeight="1">
      <c r="A64" s="22" t="s">
        <v>181</v>
      </c>
      <c r="B64" s="22" t="s">
        <v>191</v>
      </c>
      <c r="D64" s="46" t="s">
        <v>192</v>
      </c>
      <c r="E64" s="48" t="s">
        <v>193</v>
      </c>
      <c r="F64" s="6" t="s">
        <v>194</v>
      </c>
      <c r="G64" s="22">
        <v>1</v>
      </c>
      <c r="H64" s="23">
        <v>15</v>
      </c>
      <c r="I64" s="25">
        <f t="shared" si="2"/>
        <v>840</v>
      </c>
      <c r="J64" s="34">
        <f t="shared" si="3"/>
        <v>1025.7732832541988</v>
      </c>
      <c r="K64" s="35"/>
    </row>
    <row r="65" spans="1:10" ht="15.75" customHeight="1">
      <c r="A65" s="22" t="s">
        <v>181</v>
      </c>
      <c r="B65" s="22" t="s">
        <v>195</v>
      </c>
      <c r="D65" s="46" t="s">
        <v>196</v>
      </c>
      <c r="E65" s="22" t="s">
        <v>14</v>
      </c>
      <c r="F65" s="6" t="s">
        <v>194</v>
      </c>
      <c r="G65" s="22">
        <v>1</v>
      </c>
      <c r="H65" s="23">
        <v>9</v>
      </c>
      <c r="I65" s="25">
        <f t="shared" si="2"/>
        <v>504</v>
      </c>
      <c r="J65" s="34">
        <f t="shared" si="3"/>
        <v>615.4639699525194</v>
      </c>
    </row>
    <row r="66" spans="1:11" ht="15.75" customHeight="1">
      <c r="A66" s="22" t="s">
        <v>147</v>
      </c>
      <c r="B66" s="22" t="s">
        <v>197</v>
      </c>
      <c r="D66" s="46" t="s">
        <v>198</v>
      </c>
      <c r="E66" s="24" t="s">
        <v>14</v>
      </c>
      <c r="F66" s="6" t="s">
        <v>18</v>
      </c>
      <c r="G66" s="22">
        <v>1</v>
      </c>
      <c r="H66" s="23">
        <v>29.5</v>
      </c>
      <c r="I66" s="25">
        <f t="shared" si="2"/>
        <v>1652</v>
      </c>
      <c r="J66" s="34">
        <f t="shared" si="3"/>
        <v>2017.3541237332574</v>
      </c>
      <c r="K66" s="35">
        <f>6360-6473</f>
        <v>-113</v>
      </c>
    </row>
    <row r="67" spans="1:11" ht="15.75" customHeight="1">
      <c r="A67" s="20" t="s">
        <v>106</v>
      </c>
      <c r="B67" s="21" t="s">
        <v>112</v>
      </c>
      <c r="D67" s="55" t="s">
        <v>69</v>
      </c>
      <c r="E67" s="24" t="s">
        <v>14</v>
      </c>
      <c r="F67" s="24" t="s">
        <v>68</v>
      </c>
      <c r="G67" s="7">
        <v>1</v>
      </c>
      <c r="H67" s="23">
        <v>3.99</v>
      </c>
      <c r="I67" s="25">
        <f t="shared" si="2"/>
        <v>223.44</v>
      </c>
      <c r="J67" s="25"/>
      <c r="K67" s="35">
        <f t="shared" si="4"/>
        <v>284.0276933456169</v>
      </c>
    </row>
    <row r="68" spans="1:11" ht="15.75" customHeight="1">
      <c r="A68" s="20" t="s">
        <v>106</v>
      </c>
      <c r="B68" s="21" t="s">
        <v>113</v>
      </c>
      <c r="D68" s="55" t="s">
        <v>71</v>
      </c>
      <c r="E68" s="24" t="s">
        <v>14</v>
      </c>
      <c r="F68" s="24" t="s">
        <v>70</v>
      </c>
      <c r="G68" s="7">
        <v>1</v>
      </c>
      <c r="H68" s="23">
        <v>3.99</v>
      </c>
      <c r="I68" s="25">
        <f t="shared" si="2"/>
        <v>223.44</v>
      </c>
      <c r="J68" s="25"/>
      <c r="K68" s="35">
        <f t="shared" si="4"/>
        <v>284.0276933456169</v>
      </c>
    </row>
    <row r="69" spans="1:11" ht="15.75" customHeight="1">
      <c r="A69" s="22" t="s">
        <v>91</v>
      </c>
      <c r="B69" s="22" t="s">
        <v>199</v>
      </c>
      <c r="D69" s="46" t="s">
        <v>200</v>
      </c>
      <c r="E69" s="22" t="s">
        <v>12</v>
      </c>
      <c r="F69" s="6" t="s">
        <v>201</v>
      </c>
      <c r="G69" s="22">
        <v>1</v>
      </c>
      <c r="H69" s="23">
        <v>3.99</v>
      </c>
      <c r="I69" s="25">
        <f t="shared" si="2"/>
        <v>223.44</v>
      </c>
      <c r="J69" s="25"/>
      <c r="K69" s="35">
        <f t="shared" si="4"/>
        <v>284.0276933456169</v>
      </c>
    </row>
    <row r="70" spans="1:11" ht="15.75" customHeight="1">
      <c r="A70" s="8" t="s">
        <v>115</v>
      </c>
      <c r="B70" s="22" t="s">
        <v>202</v>
      </c>
      <c r="D70" s="46" t="s">
        <v>203</v>
      </c>
      <c r="E70" s="48" t="s">
        <v>193</v>
      </c>
      <c r="F70" s="6" t="s">
        <v>204</v>
      </c>
      <c r="G70" s="22">
        <v>1</v>
      </c>
      <c r="H70" s="23">
        <v>34.99</v>
      </c>
      <c r="I70" s="25">
        <f t="shared" si="2"/>
        <v>1959.44</v>
      </c>
      <c r="J70" s="25"/>
      <c r="K70" s="35">
        <f t="shared" si="4"/>
        <v>2490.759145404295</v>
      </c>
    </row>
    <row r="71" spans="1:18" s="38" customFormat="1" ht="15.75" customHeight="1">
      <c r="A71" s="26" t="s">
        <v>226</v>
      </c>
      <c r="B71" s="22"/>
      <c r="C71" s="22"/>
      <c r="D71" s="22"/>
      <c r="E71" s="22"/>
      <c r="F71" s="27" t="s">
        <v>315</v>
      </c>
      <c r="G71" s="22"/>
      <c r="H71" s="23"/>
      <c r="I71" s="23"/>
      <c r="J71" s="22"/>
      <c r="K71" s="22"/>
      <c r="L71" s="8"/>
      <c r="M71" s="8"/>
      <c r="N71" s="8"/>
      <c r="O71" s="8"/>
      <c r="P71" s="8"/>
      <c r="Q71" s="8"/>
      <c r="R71" s="8"/>
    </row>
    <row r="72" spans="1:18" ht="15" customHeight="1">
      <c r="A72" s="30" t="s">
        <v>297</v>
      </c>
      <c r="B72" s="30" t="s">
        <v>300</v>
      </c>
      <c r="C72" s="30"/>
      <c r="D72" s="30"/>
      <c r="E72" s="30" t="s">
        <v>23</v>
      </c>
      <c r="F72" s="30"/>
      <c r="G72" s="30"/>
      <c r="H72" s="28"/>
      <c r="I72" s="28" t="s">
        <v>205</v>
      </c>
      <c r="J72" s="30"/>
      <c r="K72" s="30"/>
      <c r="L72" s="38"/>
      <c r="M72" s="38"/>
      <c r="N72" s="38"/>
      <c r="O72" s="38"/>
      <c r="P72" s="38"/>
      <c r="Q72" s="38"/>
      <c r="R72" s="38"/>
    </row>
    <row r="73" spans="1:18" ht="15.75" customHeight="1">
      <c r="A73" s="30" t="s">
        <v>98</v>
      </c>
      <c r="B73" s="30" t="s">
        <v>206</v>
      </c>
      <c r="C73" s="30"/>
      <c r="D73" s="43" t="s">
        <v>207</v>
      </c>
      <c r="E73" s="30" t="s">
        <v>7</v>
      </c>
      <c r="F73" s="43" t="s">
        <v>175</v>
      </c>
      <c r="G73" s="30">
        <v>1</v>
      </c>
      <c r="H73" s="28"/>
      <c r="I73" s="28" t="s">
        <v>205</v>
      </c>
      <c r="J73" s="30"/>
      <c r="K73" s="30"/>
      <c r="L73" s="38"/>
      <c r="M73" s="38"/>
      <c r="N73" s="38"/>
      <c r="O73" s="38"/>
      <c r="P73" s="38"/>
      <c r="Q73" s="38"/>
      <c r="R73" s="38"/>
    </row>
    <row r="74" spans="1:18" ht="15.75" customHeight="1" thickBot="1">
      <c r="A74" s="30" t="s">
        <v>98</v>
      </c>
      <c r="B74" s="30" t="s">
        <v>208</v>
      </c>
      <c r="C74" s="30"/>
      <c r="D74" s="43" t="s">
        <v>209</v>
      </c>
      <c r="E74" s="30" t="s">
        <v>7</v>
      </c>
      <c r="F74" s="43" t="s">
        <v>210</v>
      </c>
      <c r="G74" s="30">
        <v>1</v>
      </c>
      <c r="H74" s="28"/>
      <c r="I74" s="28" t="s">
        <v>205</v>
      </c>
      <c r="J74" s="30"/>
      <c r="K74" s="30"/>
      <c r="L74" s="38"/>
      <c r="M74" s="38"/>
      <c r="N74" s="38"/>
      <c r="O74" s="38"/>
      <c r="P74" s="38"/>
      <c r="Q74" s="38"/>
      <c r="R74" s="38"/>
    </row>
    <row r="75" spans="1:17" ht="15.75" customHeight="1">
      <c r="A75" s="22" t="s">
        <v>98</v>
      </c>
      <c r="B75" s="22" t="s">
        <v>211</v>
      </c>
      <c r="D75" s="46" t="s">
        <v>212</v>
      </c>
      <c r="E75" s="22" t="s">
        <v>7</v>
      </c>
      <c r="F75" s="6" t="s">
        <v>184</v>
      </c>
      <c r="G75" s="22">
        <v>1</v>
      </c>
      <c r="H75" s="23">
        <v>3.99</v>
      </c>
      <c r="I75" s="25">
        <f>H75*$Q$81</f>
        <v>223.44</v>
      </c>
      <c r="J75" s="34">
        <f>H75*$Q$78*$Q$81</f>
        <v>275.1867476012249</v>
      </c>
      <c r="K75" s="35">
        <f>J75-280</f>
        <v>-4.8132523987750915</v>
      </c>
      <c r="P75" s="16" t="s">
        <v>19</v>
      </c>
      <c r="Q75" s="13">
        <f>SUM(H75:H105)</f>
        <v>352.68000000000006</v>
      </c>
    </row>
    <row r="76" spans="1:17" ht="15.75" customHeight="1">
      <c r="A76" s="22" t="s">
        <v>213</v>
      </c>
      <c r="B76" s="22" t="s">
        <v>95</v>
      </c>
      <c r="D76" s="46" t="s">
        <v>53</v>
      </c>
      <c r="E76" s="22" t="s">
        <v>7</v>
      </c>
      <c r="F76" s="6" t="s">
        <v>55</v>
      </c>
      <c r="G76" s="7">
        <v>1</v>
      </c>
      <c r="H76" s="23">
        <v>3.99</v>
      </c>
      <c r="I76" s="25">
        <f aca="true" t="shared" si="5" ref="I76:I103">H76*$Q$81</f>
        <v>223.44</v>
      </c>
      <c r="J76" s="25"/>
      <c r="K76" s="35">
        <f aca="true" t="shared" si="6" ref="K76:K103">H76*$Q$79*$Q$81</f>
        <v>286.3587476012249</v>
      </c>
      <c r="P76" s="17" t="s">
        <v>15</v>
      </c>
      <c r="Q76" s="9">
        <v>56.99</v>
      </c>
    </row>
    <row r="77" spans="1:17" ht="15.75" customHeight="1">
      <c r="A77" s="22" t="s">
        <v>213</v>
      </c>
      <c r="B77" s="22" t="s">
        <v>95</v>
      </c>
      <c r="D77" s="46" t="s">
        <v>53</v>
      </c>
      <c r="E77" s="22" t="s">
        <v>7</v>
      </c>
      <c r="F77" s="6" t="s">
        <v>214</v>
      </c>
      <c r="G77" s="7">
        <v>1</v>
      </c>
      <c r="H77" s="23">
        <v>3.99</v>
      </c>
      <c r="I77" s="25">
        <f t="shared" si="5"/>
        <v>223.44</v>
      </c>
      <c r="J77" s="25"/>
      <c r="K77" s="35">
        <f t="shared" si="6"/>
        <v>286.3587476012249</v>
      </c>
      <c r="P77" s="18" t="s">
        <v>111</v>
      </c>
      <c r="Q77" s="56">
        <f>Q76/Q75</f>
        <v>0.16159124418736528</v>
      </c>
    </row>
    <row r="78" spans="1:17" ht="15.75" customHeight="1">
      <c r="A78" s="22" t="s">
        <v>213</v>
      </c>
      <c r="B78" s="22" t="s">
        <v>215</v>
      </c>
      <c r="D78" s="46" t="s">
        <v>216</v>
      </c>
      <c r="E78" s="22" t="s">
        <v>12</v>
      </c>
      <c r="F78" s="6" t="s">
        <v>217</v>
      </c>
      <c r="G78" s="7">
        <v>1</v>
      </c>
      <c r="H78" s="23">
        <v>3.99</v>
      </c>
      <c r="I78" s="25">
        <f t="shared" si="5"/>
        <v>223.44</v>
      </c>
      <c r="J78" s="25"/>
      <c r="K78" s="35">
        <f t="shared" si="6"/>
        <v>286.3587476012249</v>
      </c>
      <c r="P78" s="17" t="s">
        <v>16</v>
      </c>
      <c r="Q78" s="10">
        <f>1+Q76/Q75+0.07</f>
        <v>1.2315912441873653</v>
      </c>
    </row>
    <row r="79" spans="1:17" ht="15.75" customHeight="1">
      <c r="A79" s="22" t="s">
        <v>213</v>
      </c>
      <c r="B79" s="22" t="s">
        <v>95</v>
      </c>
      <c r="D79" s="46" t="s">
        <v>53</v>
      </c>
      <c r="E79" s="22" t="s">
        <v>12</v>
      </c>
      <c r="F79" s="6" t="s">
        <v>218</v>
      </c>
      <c r="G79" s="7">
        <v>1</v>
      </c>
      <c r="H79" s="23">
        <v>3.99</v>
      </c>
      <c r="I79" s="25">
        <f t="shared" si="5"/>
        <v>223.44</v>
      </c>
      <c r="J79" s="25"/>
      <c r="K79" s="35">
        <f t="shared" si="6"/>
        <v>286.3587476012249</v>
      </c>
      <c r="P79" s="17" t="s">
        <v>16</v>
      </c>
      <c r="Q79" s="10">
        <f>1+Q76/Q75+0.12</f>
        <v>1.2815912441873651</v>
      </c>
    </row>
    <row r="80" spans="1:17" ht="15.75" customHeight="1">
      <c r="A80" s="22" t="s">
        <v>213</v>
      </c>
      <c r="B80" s="22" t="s">
        <v>95</v>
      </c>
      <c r="D80" s="46" t="s">
        <v>227</v>
      </c>
      <c r="E80" s="22" t="s">
        <v>12</v>
      </c>
      <c r="F80" s="6" t="s">
        <v>228</v>
      </c>
      <c r="G80" s="7">
        <v>1</v>
      </c>
      <c r="H80" s="23">
        <v>3.99</v>
      </c>
      <c r="I80" s="25">
        <f t="shared" si="5"/>
        <v>223.44</v>
      </c>
      <c r="J80" s="25"/>
      <c r="K80" s="35">
        <f t="shared" si="6"/>
        <v>286.3587476012249</v>
      </c>
      <c r="P80" s="18"/>
      <c r="Q80" s="10"/>
    </row>
    <row r="81" spans="1:17" ht="16.5" customHeight="1" thickBot="1">
      <c r="A81" s="22" t="s">
        <v>223</v>
      </c>
      <c r="B81" s="22" t="s">
        <v>222</v>
      </c>
      <c r="D81" s="46" t="s">
        <v>229</v>
      </c>
      <c r="E81" s="22" t="s">
        <v>13</v>
      </c>
      <c r="F81" s="6" t="s">
        <v>230</v>
      </c>
      <c r="G81" s="22">
        <v>1</v>
      </c>
      <c r="H81" s="23">
        <v>14.99</v>
      </c>
      <c r="I81" s="25">
        <f t="shared" si="5"/>
        <v>839.44</v>
      </c>
      <c r="J81" s="25"/>
      <c r="K81" s="35">
        <f t="shared" si="6"/>
        <v>1075.818954020642</v>
      </c>
      <c r="P81" s="33" t="s">
        <v>732</v>
      </c>
      <c r="Q81" s="12">
        <v>56</v>
      </c>
    </row>
    <row r="82" spans="1:11" ht="15.75" customHeight="1">
      <c r="A82" s="22" t="s">
        <v>102</v>
      </c>
      <c r="B82" s="22" t="s">
        <v>104</v>
      </c>
      <c r="D82" s="46" t="s">
        <v>231</v>
      </c>
      <c r="E82" s="22" t="s">
        <v>7</v>
      </c>
      <c r="F82" s="6" t="s">
        <v>232</v>
      </c>
      <c r="G82" s="22">
        <v>1</v>
      </c>
      <c r="H82" s="23">
        <v>5.99</v>
      </c>
      <c r="I82" s="25">
        <f t="shared" si="5"/>
        <v>335.44</v>
      </c>
      <c r="J82" s="34">
        <f>H82*$Q$78*$Q$81</f>
        <v>413.12496695020985</v>
      </c>
      <c r="K82" s="35"/>
    </row>
    <row r="83" spans="1:11" ht="15.75" customHeight="1">
      <c r="A83" s="20" t="s">
        <v>83</v>
      </c>
      <c r="B83" s="22" t="s">
        <v>225</v>
      </c>
      <c r="D83" s="46" t="s">
        <v>233</v>
      </c>
      <c r="E83" s="22" t="s">
        <v>13</v>
      </c>
      <c r="F83" s="6" t="s">
        <v>29</v>
      </c>
      <c r="G83" s="22">
        <v>1</v>
      </c>
      <c r="H83" s="23">
        <v>14.99</v>
      </c>
      <c r="I83" s="25">
        <f t="shared" si="5"/>
        <v>839.44</v>
      </c>
      <c r="J83" s="25"/>
      <c r="K83" s="35">
        <f t="shared" si="6"/>
        <v>1075.818954020642</v>
      </c>
    </row>
    <row r="84" spans="1:11" ht="15.75" customHeight="1">
      <c r="A84" s="20" t="s">
        <v>83</v>
      </c>
      <c r="B84" s="22" t="s">
        <v>224</v>
      </c>
      <c r="D84" s="46" t="s">
        <v>234</v>
      </c>
      <c r="E84" s="22" t="s">
        <v>12</v>
      </c>
      <c r="F84" s="6" t="s">
        <v>29</v>
      </c>
      <c r="G84" s="22">
        <v>1</v>
      </c>
      <c r="H84" s="23">
        <v>9.99</v>
      </c>
      <c r="I84" s="25">
        <f t="shared" si="5"/>
        <v>559.44</v>
      </c>
      <c r="J84" s="25"/>
      <c r="K84" s="35">
        <f t="shared" si="6"/>
        <v>716.9734056481796</v>
      </c>
    </row>
    <row r="85" spans="1:11" ht="15.75" customHeight="1">
      <c r="A85" s="20" t="s">
        <v>83</v>
      </c>
      <c r="B85" s="22" t="s">
        <v>235</v>
      </c>
      <c r="D85" s="46" t="s">
        <v>236</v>
      </c>
      <c r="E85" s="22" t="s">
        <v>24</v>
      </c>
      <c r="F85" s="6" t="s">
        <v>237</v>
      </c>
      <c r="G85" s="22">
        <v>1</v>
      </c>
      <c r="H85" s="23">
        <v>26.99</v>
      </c>
      <c r="I85" s="25">
        <f t="shared" si="5"/>
        <v>1511.4399999999998</v>
      </c>
      <c r="J85" s="25"/>
      <c r="K85" s="35">
        <f t="shared" si="6"/>
        <v>1937.0482701145509</v>
      </c>
    </row>
    <row r="86" spans="1:11" ht="15.75" customHeight="1">
      <c r="A86" s="22" t="s">
        <v>238</v>
      </c>
      <c r="B86" s="22" t="s">
        <v>239</v>
      </c>
      <c r="D86" s="46" t="s">
        <v>240</v>
      </c>
      <c r="E86" s="22" t="s">
        <v>11</v>
      </c>
      <c r="F86" s="6" t="s">
        <v>18</v>
      </c>
      <c r="G86" s="22">
        <v>1</v>
      </c>
      <c r="H86" s="23">
        <v>39</v>
      </c>
      <c r="I86" s="25">
        <f t="shared" si="5"/>
        <v>2184</v>
      </c>
      <c r="J86" s="34">
        <f>H86*$Q$78*$Q$81</f>
        <v>2689.795277305206</v>
      </c>
      <c r="K86" s="35">
        <f>J86-2738</f>
        <v>-48.20472269479387</v>
      </c>
    </row>
    <row r="87" spans="1:11" ht="15.75" customHeight="1">
      <c r="A87" s="22" t="s">
        <v>102</v>
      </c>
      <c r="B87" s="22" t="s">
        <v>241</v>
      </c>
      <c r="D87" s="46" t="s">
        <v>242</v>
      </c>
      <c r="E87" s="22" t="s">
        <v>7</v>
      </c>
      <c r="F87" s="6" t="s">
        <v>243</v>
      </c>
      <c r="G87" s="22">
        <v>1</v>
      </c>
      <c r="H87" s="23">
        <v>24.5</v>
      </c>
      <c r="I87" s="25">
        <f t="shared" si="5"/>
        <v>1372</v>
      </c>
      <c r="J87" s="34">
        <f>H87*$Q$78*$Q$81</f>
        <v>1689.7431870250653</v>
      </c>
      <c r="K87" s="35">
        <f>2103-2141</f>
        <v>-38</v>
      </c>
    </row>
    <row r="88" spans="1:12" ht="15.75" customHeight="1">
      <c r="A88" s="22" t="s">
        <v>244</v>
      </c>
      <c r="B88" s="22" t="s">
        <v>245</v>
      </c>
      <c r="D88" s="46" t="s">
        <v>246</v>
      </c>
      <c r="E88" s="22" t="s">
        <v>11</v>
      </c>
      <c r="F88" s="6" t="s">
        <v>247</v>
      </c>
      <c r="G88" s="22">
        <v>1</v>
      </c>
      <c r="H88" s="23">
        <v>22.39</v>
      </c>
      <c r="I88" s="25">
        <f t="shared" si="5"/>
        <v>1253.8400000000001</v>
      </c>
      <c r="J88" s="25"/>
      <c r="K88" s="35">
        <f t="shared" si="6"/>
        <v>1606.910365611886</v>
      </c>
      <c r="L88" s="28" t="s">
        <v>314</v>
      </c>
    </row>
    <row r="89" spans="1:11" ht="15.75" customHeight="1">
      <c r="A89" s="22" t="s">
        <v>244</v>
      </c>
      <c r="B89" s="22" t="s">
        <v>248</v>
      </c>
      <c r="D89" s="46" t="s">
        <v>249</v>
      </c>
      <c r="E89" s="22" t="s">
        <v>14</v>
      </c>
      <c r="F89" s="6" t="s">
        <v>250</v>
      </c>
      <c r="G89" s="22">
        <v>1</v>
      </c>
      <c r="H89" s="23">
        <v>5.99</v>
      </c>
      <c r="I89" s="25">
        <f t="shared" si="5"/>
        <v>335.44</v>
      </c>
      <c r="J89" s="25"/>
      <c r="K89" s="35">
        <f t="shared" si="6"/>
        <v>429.8969669502098</v>
      </c>
    </row>
    <row r="90" spans="1:11" ht="15.75" customHeight="1">
      <c r="A90" s="22" t="s">
        <v>251</v>
      </c>
      <c r="B90" s="22" t="s">
        <v>252</v>
      </c>
      <c r="D90" s="46" t="s">
        <v>253</v>
      </c>
      <c r="E90" s="22" t="s">
        <v>12</v>
      </c>
      <c r="F90" s="6" t="s">
        <v>254</v>
      </c>
      <c r="G90" s="22">
        <v>1</v>
      </c>
      <c r="H90" s="23">
        <v>9.99</v>
      </c>
      <c r="I90" s="25">
        <f t="shared" si="5"/>
        <v>559.44</v>
      </c>
      <c r="J90" s="25"/>
      <c r="K90" s="35">
        <f t="shared" si="6"/>
        <v>716.9734056481796</v>
      </c>
    </row>
    <row r="91" spans="1:11" ht="15.75" customHeight="1">
      <c r="A91" s="22" t="s">
        <v>251</v>
      </c>
      <c r="B91" s="22" t="s">
        <v>255</v>
      </c>
      <c r="D91" s="46" t="s">
        <v>256</v>
      </c>
      <c r="E91" s="22" t="s">
        <v>257</v>
      </c>
      <c r="F91" s="6" t="s">
        <v>258</v>
      </c>
      <c r="G91" s="22">
        <v>1</v>
      </c>
      <c r="H91" s="23">
        <v>9.99</v>
      </c>
      <c r="I91" s="25">
        <f t="shared" si="5"/>
        <v>559.44</v>
      </c>
      <c r="J91" s="25"/>
      <c r="K91" s="35">
        <f t="shared" si="6"/>
        <v>716.9734056481796</v>
      </c>
    </row>
    <row r="92" spans="1:11" ht="15.75" customHeight="1">
      <c r="A92" s="22" t="s">
        <v>259</v>
      </c>
      <c r="B92" s="22" t="s">
        <v>260</v>
      </c>
      <c r="D92" s="46" t="s">
        <v>261</v>
      </c>
      <c r="E92" s="22" t="s">
        <v>12</v>
      </c>
      <c r="F92" s="6" t="s">
        <v>262</v>
      </c>
      <c r="G92" s="22">
        <v>1</v>
      </c>
      <c r="H92" s="23">
        <v>16</v>
      </c>
      <c r="I92" s="25">
        <f t="shared" si="5"/>
        <v>896</v>
      </c>
      <c r="J92" s="34">
        <f aca="true" t="shared" si="7" ref="J92:J98">H92*$Q$78*$Q$81</f>
        <v>1103.5057547918793</v>
      </c>
      <c r="K92" s="35"/>
    </row>
    <row r="93" spans="1:12" ht="15.75" customHeight="1">
      <c r="A93" s="22" t="s">
        <v>259</v>
      </c>
      <c r="B93" s="22" t="s">
        <v>260</v>
      </c>
      <c r="D93" s="46" t="s">
        <v>263</v>
      </c>
      <c r="E93" s="22" t="s">
        <v>7</v>
      </c>
      <c r="F93" s="6" t="s">
        <v>262</v>
      </c>
      <c r="G93" s="22">
        <v>1</v>
      </c>
      <c r="H93" s="23">
        <v>7.5</v>
      </c>
      <c r="I93" s="25">
        <f t="shared" si="5"/>
        <v>420</v>
      </c>
      <c r="J93" s="34">
        <f t="shared" si="7"/>
        <v>517.2683225586935</v>
      </c>
      <c r="K93" s="35"/>
      <c r="L93" s="38" t="s">
        <v>264</v>
      </c>
    </row>
    <row r="94" spans="1:12" ht="15.75" customHeight="1">
      <c r="A94" s="22" t="s">
        <v>259</v>
      </c>
      <c r="B94" s="22" t="s">
        <v>260</v>
      </c>
      <c r="D94" s="46" t="s">
        <v>265</v>
      </c>
      <c r="E94" s="22" t="s">
        <v>12</v>
      </c>
      <c r="F94" s="6" t="s">
        <v>184</v>
      </c>
      <c r="G94" s="22">
        <v>1</v>
      </c>
      <c r="H94" s="23">
        <v>18</v>
      </c>
      <c r="I94" s="25">
        <f t="shared" si="5"/>
        <v>1008</v>
      </c>
      <c r="J94" s="34">
        <f t="shared" si="7"/>
        <v>1241.4439741408642</v>
      </c>
      <c r="K94" s="35"/>
      <c r="L94" s="43" t="s">
        <v>190</v>
      </c>
    </row>
    <row r="95" spans="1:12" ht="15.75" customHeight="1">
      <c r="A95" s="22" t="s">
        <v>259</v>
      </c>
      <c r="B95" s="22" t="s">
        <v>260</v>
      </c>
      <c r="D95" s="46" t="s">
        <v>183</v>
      </c>
      <c r="E95" s="22" t="s">
        <v>7</v>
      </c>
      <c r="F95" s="6" t="s">
        <v>184</v>
      </c>
      <c r="G95" s="22">
        <v>1</v>
      </c>
      <c r="H95" s="23">
        <v>6.5</v>
      </c>
      <c r="I95" s="25">
        <f t="shared" si="5"/>
        <v>364</v>
      </c>
      <c r="J95" s="34">
        <f t="shared" si="7"/>
        <v>448.2992128842009</v>
      </c>
      <c r="K95" s="35"/>
      <c r="L95" s="38" t="s">
        <v>264</v>
      </c>
    </row>
    <row r="96" spans="1:11" ht="15.75" customHeight="1">
      <c r="A96" s="22" t="s">
        <v>259</v>
      </c>
      <c r="B96" s="22" t="s">
        <v>266</v>
      </c>
      <c r="D96" s="46" t="s">
        <v>267</v>
      </c>
      <c r="E96" s="22" t="s">
        <v>12</v>
      </c>
      <c r="F96" s="6" t="s">
        <v>268</v>
      </c>
      <c r="G96" s="22">
        <v>1</v>
      </c>
      <c r="H96" s="23">
        <v>10.99</v>
      </c>
      <c r="I96" s="25">
        <f t="shared" si="5"/>
        <v>615.44</v>
      </c>
      <c r="J96" s="34">
        <f t="shared" si="7"/>
        <v>757.9705153226721</v>
      </c>
      <c r="K96" s="35"/>
    </row>
    <row r="97" spans="1:11" ht="15.75" customHeight="1">
      <c r="A97" s="22" t="s">
        <v>259</v>
      </c>
      <c r="B97" s="22" t="s">
        <v>266</v>
      </c>
      <c r="D97" s="46" t="s">
        <v>269</v>
      </c>
      <c r="E97" s="22" t="s">
        <v>7</v>
      </c>
      <c r="F97" s="6" t="s">
        <v>268</v>
      </c>
      <c r="G97" s="22">
        <v>1</v>
      </c>
      <c r="H97" s="23">
        <v>9.99</v>
      </c>
      <c r="I97" s="25">
        <f t="shared" si="5"/>
        <v>559.44</v>
      </c>
      <c r="J97" s="34">
        <f t="shared" si="7"/>
        <v>689.0014056481796</v>
      </c>
      <c r="K97" s="35"/>
    </row>
    <row r="98" spans="1:11" ht="15.75" customHeight="1">
      <c r="A98" s="22" t="s">
        <v>270</v>
      </c>
      <c r="B98" s="22" t="s">
        <v>271</v>
      </c>
      <c r="D98" s="46" t="s">
        <v>272</v>
      </c>
      <c r="E98" s="6" t="s">
        <v>273</v>
      </c>
      <c r="F98" s="6" t="s">
        <v>274</v>
      </c>
      <c r="G98" s="22">
        <v>1</v>
      </c>
      <c r="H98" s="23">
        <v>21.99</v>
      </c>
      <c r="I98" s="25">
        <f t="shared" si="5"/>
        <v>1231.4399999999998</v>
      </c>
      <c r="J98" s="34">
        <f t="shared" si="7"/>
        <v>1516.630721742089</v>
      </c>
      <c r="K98" s="35">
        <f>J98-1555</f>
        <v>-38.36927825791099</v>
      </c>
    </row>
    <row r="99" spans="1:11" ht="15.75" customHeight="1">
      <c r="A99" s="22" t="s">
        <v>91</v>
      </c>
      <c r="B99" s="22" t="s">
        <v>275</v>
      </c>
      <c r="D99" s="46" t="s">
        <v>276</v>
      </c>
      <c r="E99" s="22" t="s">
        <v>7</v>
      </c>
      <c r="F99" s="6" t="s">
        <v>277</v>
      </c>
      <c r="G99" s="22">
        <v>1</v>
      </c>
      <c r="H99" s="23">
        <v>35</v>
      </c>
      <c r="I99" s="25">
        <f t="shared" si="5"/>
        <v>1960</v>
      </c>
      <c r="J99" s="25"/>
      <c r="K99" s="35">
        <f t="shared" si="6"/>
        <v>2511.9188386072356</v>
      </c>
    </row>
    <row r="100" spans="1:11" ht="30" customHeight="1">
      <c r="A100" s="22" t="s">
        <v>251</v>
      </c>
      <c r="B100" s="22" t="s">
        <v>278</v>
      </c>
      <c r="D100" s="46" t="s">
        <v>279</v>
      </c>
      <c r="E100" s="22" t="s">
        <v>7</v>
      </c>
      <c r="F100" s="6" t="s">
        <v>280</v>
      </c>
      <c r="G100" s="22">
        <v>1</v>
      </c>
      <c r="H100" s="23">
        <v>5.99</v>
      </c>
      <c r="I100" s="25">
        <f t="shared" si="5"/>
        <v>335.44</v>
      </c>
      <c r="J100" s="25"/>
      <c r="K100" s="35">
        <f t="shared" si="6"/>
        <v>429.8969669502098</v>
      </c>
    </row>
    <row r="101" spans="1:11" ht="30" customHeight="1">
      <c r="A101" s="22" t="s">
        <v>251</v>
      </c>
      <c r="B101" s="22" t="s">
        <v>281</v>
      </c>
      <c r="D101" s="46" t="s">
        <v>282</v>
      </c>
      <c r="E101" s="22" t="s">
        <v>12</v>
      </c>
      <c r="F101" s="6" t="s">
        <v>283</v>
      </c>
      <c r="G101" s="22">
        <v>1</v>
      </c>
      <c r="H101" s="23">
        <v>3.99</v>
      </c>
      <c r="I101" s="25">
        <f t="shared" si="5"/>
        <v>223.44</v>
      </c>
      <c r="J101" s="25"/>
      <c r="K101" s="35">
        <f t="shared" si="6"/>
        <v>286.3587476012249</v>
      </c>
    </row>
    <row r="102" spans="1:11" ht="30" customHeight="1">
      <c r="A102" s="22" t="s">
        <v>251</v>
      </c>
      <c r="B102" s="22" t="s">
        <v>284</v>
      </c>
      <c r="D102" s="46" t="s">
        <v>285</v>
      </c>
      <c r="E102" s="22" t="s">
        <v>7</v>
      </c>
      <c r="F102" s="6" t="s">
        <v>286</v>
      </c>
      <c r="G102" s="22">
        <v>1</v>
      </c>
      <c r="H102" s="23">
        <v>3.99</v>
      </c>
      <c r="I102" s="25">
        <f t="shared" si="5"/>
        <v>223.44</v>
      </c>
      <c r="J102" s="25"/>
      <c r="K102" s="35">
        <f t="shared" si="6"/>
        <v>286.3587476012249</v>
      </c>
    </row>
    <row r="103" spans="1:11" ht="15.75" customHeight="1">
      <c r="A103" s="22" t="s">
        <v>251</v>
      </c>
      <c r="B103" s="22" t="s">
        <v>287</v>
      </c>
      <c r="D103" s="46" t="s">
        <v>288</v>
      </c>
      <c r="E103" s="22" t="s">
        <v>7</v>
      </c>
      <c r="F103" s="6" t="s">
        <v>289</v>
      </c>
      <c r="G103" s="22">
        <v>1</v>
      </c>
      <c r="H103" s="23">
        <v>3.99</v>
      </c>
      <c r="I103" s="25">
        <f t="shared" si="5"/>
        <v>223.44</v>
      </c>
      <c r="J103" s="25"/>
      <c r="K103" s="35">
        <f t="shared" si="6"/>
        <v>286.3587476012249</v>
      </c>
    </row>
    <row r="104" spans="1:8" ht="15.75" customHeight="1">
      <c r="A104" s="14">
        <v>1</v>
      </c>
      <c r="B104" s="8"/>
      <c r="C104" s="8"/>
      <c r="D104" s="46"/>
      <c r="E104" s="8"/>
      <c r="F104" s="6"/>
      <c r="G104" s="7"/>
      <c r="H104" s="29"/>
    </row>
    <row r="105" spans="1:7" ht="15.75" customHeight="1">
      <c r="A105" s="14">
        <v>1</v>
      </c>
      <c r="D105" s="46"/>
      <c r="F105" s="6"/>
      <c r="G105" s="7"/>
    </row>
    <row r="106" spans="1:6" ht="15.75" customHeight="1" thickBot="1">
      <c r="A106" s="26" t="s">
        <v>316</v>
      </c>
      <c r="F106" s="27" t="s">
        <v>392</v>
      </c>
    </row>
    <row r="107" spans="1:17" ht="15.75" customHeight="1">
      <c r="A107" s="22" t="s">
        <v>297</v>
      </c>
      <c r="B107" s="22" t="s">
        <v>298</v>
      </c>
      <c r="D107" s="46" t="s">
        <v>317</v>
      </c>
      <c r="E107" s="22" t="s">
        <v>12</v>
      </c>
      <c r="F107" s="6" t="s">
        <v>318</v>
      </c>
      <c r="G107" s="22">
        <v>1</v>
      </c>
      <c r="H107" s="23">
        <v>3.99</v>
      </c>
      <c r="I107" s="25">
        <f>H107*$Q$113</f>
        <v>227.43</v>
      </c>
      <c r="J107" s="34">
        <f>H107*$Q$110*$Q$113</f>
        <v>274.0404988692322</v>
      </c>
      <c r="K107" s="35"/>
      <c r="P107" s="16" t="s">
        <v>19</v>
      </c>
      <c r="Q107" s="13">
        <f>SUM(H107:H144)</f>
        <v>548.3000000000001</v>
      </c>
    </row>
    <row r="108" spans="1:17" ht="15.75" customHeight="1">
      <c r="A108" s="22" t="s">
        <v>297</v>
      </c>
      <c r="B108" s="22" t="s">
        <v>299</v>
      </c>
      <c r="D108" s="46" t="s">
        <v>319</v>
      </c>
      <c r="E108" s="22" t="s">
        <v>12</v>
      </c>
      <c r="F108" s="6" t="s">
        <v>320</v>
      </c>
      <c r="G108" s="22">
        <v>1</v>
      </c>
      <c r="H108" s="23">
        <v>3.99</v>
      </c>
      <c r="I108" s="25">
        <f aca="true" t="shared" si="8" ref="I108:I144">H108*$Q$113</f>
        <v>227.43</v>
      </c>
      <c r="J108" s="34">
        <f aca="true" t="shared" si="9" ref="J108:J143">H108*$Q$110*$Q$113</f>
        <v>274.0404988692322</v>
      </c>
      <c r="K108" s="35"/>
      <c r="P108" s="17" t="s">
        <v>15</v>
      </c>
      <c r="Q108" s="9">
        <v>73.99</v>
      </c>
    </row>
    <row r="109" spans="1:17" ht="15.75" customHeight="1">
      <c r="A109" s="22" t="s">
        <v>297</v>
      </c>
      <c r="B109" s="22" t="s">
        <v>299</v>
      </c>
      <c r="D109" s="46" t="s">
        <v>319</v>
      </c>
      <c r="E109" s="22" t="s">
        <v>12</v>
      </c>
      <c r="F109" s="6" t="s">
        <v>321</v>
      </c>
      <c r="G109" s="22">
        <v>1</v>
      </c>
      <c r="H109" s="23">
        <v>3.99</v>
      </c>
      <c r="I109" s="25">
        <f t="shared" si="8"/>
        <v>227.43</v>
      </c>
      <c r="J109" s="34">
        <f t="shared" si="9"/>
        <v>274.0404988692322</v>
      </c>
      <c r="K109" s="35">
        <f>822-840</f>
        <v>-18</v>
      </c>
      <c r="P109" s="18" t="s">
        <v>111</v>
      </c>
      <c r="Q109" s="56">
        <f>Q108/Q107</f>
        <v>0.13494437351814698</v>
      </c>
    </row>
    <row r="110" spans="1:17" ht="15.75" customHeight="1">
      <c r="A110" s="22" t="s">
        <v>301</v>
      </c>
      <c r="B110" s="22" t="s">
        <v>302</v>
      </c>
      <c r="D110" s="46" t="s">
        <v>303</v>
      </c>
      <c r="E110" s="22" t="s">
        <v>12</v>
      </c>
      <c r="F110" s="6" t="s">
        <v>304</v>
      </c>
      <c r="G110" s="22">
        <v>1</v>
      </c>
      <c r="H110" s="23">
        <v>10.99</v>
      </c>
      <c r="I110" s="25">
        <f t="shared" si="8"/>
        <v>626.4300000000001</v>
      </c>
      <c r="J110" s="25"/>
      <c r="K110" s="35">
        <f>H110*$Q$111*$Q$113</f>
        <v>786.134803902973</v>
      </c>
      <c r="P110" s="17" t="s">
        <v>16</v>
      </c>
      <c r="Q110" s="10">
        <f>1+Q108/Q107+0.07</f>
        <v>1.204944373518147</v>
      </c>
    </row>
    <row r="111" spans="1:17" ht="15.75" customHeight="1">
      <c r="A111" s="22" t="s">
        <v>301</v>
      </c>
      <c r="B111" s="22" t="s">
        <v>302</v>
      </c>
      <c r="D111" s="46" t="s">
        <v>305</v>
      </c>
      <c r="E111" s="22" t="s">
        <v>12</v>
      </c>
      <c r="F111" s="6" t="s">
        <v>304</v>
      </c>
      <c r="G111" s="22">
        <v>1</v>
      </c>
      <c r="H111" s="23">
        <v>10.99</v>
      </c>
      <c r="I111" s="25">
        <f t="shared" si="8"/>
        <v>626.4300000000001</v>
      </c>
      <c r="J111" s="25"/>
      <c r="K111" s="35">
        <f>H111*$Q$111*$Q$113</f>
        <v>786.134803902973</v>
      </c>
      <c r="P111" s="17" t="s">
        <v>16</v>
      </c>
      <c r="Q111" s="10">
        <f>1+Q108/Q107+0.12</f>
        <v>1.2549443735181471</v>
      </c>
    </row>
    <row r="112" spans="1:17" ht="15.75" customHeight="1">
      <c r="A112" s="22" t="s">
        <v>307</v>
      </c>
      <c r="B112" s="22" t="s">
        <v>308</v>
      </c>
      <c r="D112" s="46" t="s">
        <v>322</v>
      </c>
      <c r="E112" s="22" t="s">
        <v>14</v>
      </c>
      <c r="F112" s="6" t="s">
        <v>18</v>
      </c>
      <c r="G112" s="22">
        <v>1</v>
      </c>
      <c r="H112" s="23">
        <v>19</v>
      </c>
      <c r="I112" s="25">
        <f t="shared" si="8"/>
        <v>1083</v>
      </c>
      <c r="J112" s="34">
        <f t="shared" si="9"/>
        <v>1304.9547565201533</v>
      </c>
      <c r="K112" s="35"/>
      <c r="L112" s="43" t="s">
        <v>323</v>
      </c>
      <c r="P112" s="18"/>
      <c r="Q112" s="10"/>
    </row>
    <row r="113" spans="1:17" ht="16.5" customHeight="1" thickBot="1">
      <c r="A113" s="22" t="s">
        <v>307</v>
      </c>
      <c r="B113" s="22" t="s">
        <v>309</v>
      </c>
      <c r="D113" s="46" t="s">
        <v>324</v>
      </c>
      <c r="E113" s="22" t="s">
        <v>14</v>
      </c>
      <c r="F113" s="6" t="s">
        <v>18</v>
      </c>
      <c r="G113" s="22">
        <v>1</v>
      </c>
      <c r="H113" s="23">
        <v>13</v>
      </c>
      <c r="I113" s="25">
        <f t="shared" si="8"/>
        <v>741</v>
      </c>
      <c r="J113" s="34">
        <f t="shared" si="9"/>
        <v>892.863780776947</v>
      </c>
      <c r="K113" s="35">
        <f>2198-2270</f>
        <v>-72</v>
      </c>
      <c r="L113" s="43" t="s">
        <v>190</v>
      </c>
      <c r="P113" s="33" t="s">
        <v>732</v>
      </c>
      <c r="Q113" s="12">
        <v>57</v>
      </c>
    </row>
    <row r="114" spans="1:11" ht="15.75" customHeight="1">
      <c r="A114" s="22" t="s">
        <v>91</v>
      </c>
      <c r="D114" s="46" t="s">
        <v>325</v>
      </c>
      <c r="E114" s="22" t="s">
        <v>7</v>
      </c>
      <c r="F114" s="6" t="s">
        <v>326</v>
      </c>
      <c r="G114" s="22">
        <v>1</v>
      </c>
      <c r="H114" s="23">
        <v>14.99</v>
      </c>
      <c r="I114" s="25">
        <f t="shared" si="8"/>
        <v>854.4300000000001</v>
      </c>
      <c r="J114" s="25"/>
      <c r="K114" s="35">
        <f>H114*$Q$111*$Q$113</f>
        <v>1072.2621210651105</v>
      </c>
    </row>
    <row r="115" spans="1:11" ht="30" customHeight="1">
      <c r="A115" s="22" t="s">
        <v>91</v>
      </c>
      <c r="B115" s="22" t="s">
        <v>313</v>
      </c>
      <c r="D115" s="46" t="s">
        <v>327</v>
      </c>
      <c r="E115" s="22" t="s">
        <v>7</v>
      </c>
      <c r="F115" s="6" t="s">
        <v>328</v>
      </c>
      <c r="G115" s="22">
        <v>1</v>
      </c>
      <c r="H115" s="23">
        <v>27.5</v>
      </c>
      <c r="I115" s="25">
        <f t="shared" si="8"/>
        <v>1567.5</v>
      </c>
      <c r="J115" s="25"/>
      <c r="K115" s="35">
        <f>H115*$Q$111*$Q$113</f>
        <v>1967.1253054896956</v>
      </c>
    </row>
    <row r="116" spans="1:11" ht="15.75" customHeight="1">
      <c r="A116" s="22" t="s">
        <v>329</v>
      </c>
      <c r="D116" s="46" t="s">
        <v>330</v>
      </c>
      <c r="E116" s="22" t="s">
        <v>12</v>
      </c>
      <c r="F116" s="6" t="s">
        <v>331</v>
      </c>
      <c r="G116" s="22">
        <v>1</v>
      </c>
      <c r="H116" s="23">
        <v>28.5</v>
      </c>
      <c r="I116" s="25">
        <f t="shared" si="8"/>
        <v>1624.5</v>
      </c>
      <c r="J116" s="34">
        <f t="shared" si="9"/>
        <v>1957.43213478023</v>
      </c>
      <c r="K116" s="35"/>
    </row>
    <row r="117" spans="1:11" ht="15.75" customHeight="1">
      <c r="A117" s="22" t="s">
        <v>329</v>
      </c>
      <c r="D117" s="46" t="s">
        <v>332</v>
      </c>
      <c r="E117" s="22" t="s">
        <v>427</v>
      </c>
      <c r="F117" s="6" t="s">
        <v>331</v>
      </c>
      <c r="G117" s="22">
        <v>1</v>
      </c>
      <c r="H117" s="23">
        <v>18</v>
      </c>
      <c r="I117" s="25">
        <f t="shared" si="8"/>
        <v>1026</v>
      </c>
      <c r="J117" s="34">
        <f t="shared" si="9"/>
        <v>1236.272927229619</v>
      </c>
      <c r="K117" s="35"/>
    </row>
    <row r="118" spans="1:12" ht="15.75" customHeight="1">
      <c r="A118" s="22" t="s">
        <v>292</v>
      </c>
      <c r="D118" s="46" t="s">
        <v>333</v>
      </c>
      <c r="E118" s="22" t="s">
        <v>134</v>
      </c>
      <c r="F118" s="6" t="s">
        <v>334</v>
      </c>
      <c r="G118" s="22">
        <v>1</v>
      </c>
      <c r="H118" s="23">
        <v>31.99</v>
      </c>
      <c r="I118" s="25">
        <f t="shared" si="8"/>
        <v>1823.4299999999998</v>
      </c>
      <c r="J118" s="25"/>
      <c r="K118" s="35">
        <f>H118*$Q$111*$Q$113</f>
        <v>2288.303219004195</v>
      </c>
      <c r="L118" s="28" t="s">
        <v>314</v>
      </c>
    </row>
    <row r="119" spans="1:12" ht="15.75" customHeight="1">
      <c r="A119" s="22" t="s">
        <v>329</v>
      </c>
      <c r="D119" s="46" t="s">
        <v>335</v>
      </c>
      <c r="E119" s="22" t="s">
        <v>7</v>
      </c>
      <c r="F119" s="6" t="s">
        <v>336</v>
      </c>
      <c r="G119" s="22">
        <v>1</v>
      </c>
      <c r="H119" s="23">
        <v>34.5</v>
      </c>
      <c r="I119" s="25">
        <f t="shared" si="8"/>
        <v>1966.5</v>
      </c>
      <c r="J119" s="34">
        <f t="shared" si="9"/>
        <v>2369.5231105234366</v>
      </c>
      <c r="K119" s="35"/>
      <c r="L119" s="43" t="s">
        <v>337</v>
      </c>
    </row>
    <row r="120" spans="1:11" ht="15.75" customHeight="1">
      <c r="A120" s="22" t="s">
        <v>259</v>
      </c>
      <c r="D120" s="46" t="s">
        <v>338</v>
      </c>
      <c r="E120" s="22" t="s">
        <v>7</v>
      </c>
      <c r="F120" s="6" t="s">
        <v>339</v>
      </c>
      <c r="G120" s="22">
        <v>1</v>
      </c>
      <c r="H120" s="23">
        <v>7.37</v>
      </c>
      <c r="I120" s="25">
        <f t="shared" si="8"/>
        <v>420.09000000000003</v>
      </c>
      <c r="J120" s="34">
        <f t="shared" si="9"/>
        <v>506.1850818712384</v>
      </c>
      <c r="K120" s="35">
        <f>8290-5200-2195</f>
        <v>895</v>
      </c>
    </row>
    <row r="121" spans="1:11" ht="15.75" customHeight="1">
      <c r="A121" s="22" t="s">
        <v>259</v>
      </c>
      <c r="D121" s="46" t="s">
        <v>340</v>
      </c>
      <c r="E121" s="22" t="s">
        <v>7</v>
      </c>
      <c r="F121" s="6" t="s">
        <v>341</v>
      </c>
      <c r="G121" s="22">
        <v>1</v>
      </c>
      <c r="H121" s="23">
        <v>7.37</v>
      </c>
      <c r="I121" s="25">
        <f t="shared" si="8"/>
        <v>420.09000000000003</v>
      </c>
      <c r="J121" s="34">
        <f t="shared" si="9"/>
        <v>506.1850818712384</v>
      </c>
      <c r="K121" s="35"/>
    </row>
    <row r="122" spans="1:11" ht="30" customHeight="1">
      <c r="A122" s="22" t="s">
        <v>259</v>
      </c>
      <c r="D122" s="46" t="s">
        <v>340</v>
      </c>
      <c r="E122" s="22" t="s">
        <v>7</v>
      </c>
      <c r="F122" s="6" t="s">
        <v>342</v>
      </c>
      <c r="G122" s="22">
        <v>1</v>
      </c>
      <c r="H122" s="23">
        <v>7.37</v>
      </c>
      <c r="I122" s="25">
        <f t="shared" si="8"/>
        <v>420.09000000000003</v>
      </c>
      <c r="J122" s="34">
        <f t="shared" si="9"/>
        <v>506.1850818712384</v>
      </c>
      <c r="K122" s="35"/>
    </row>
    <row r="123" spans="1:11" ht="30" customHeight="1">
      <c r="A123" s="22" t="s">
        <v>259</v>
      </c>
      <c r="D123" s="46" t="s">
        <v>338</v>
      </c>
      <c r="E123" s="22" t="s">
        <v>7</v>
      </c>
      <c r="F123" s="6" t="s">
        <v>343</v>
      </c>
      <c r="G123" s="22">
        <v>1</v>
      </c>
      <c r="H123" s="23">
        <v>7.37</v>
      </c>
      <c r="I123" s="25">
        <f t="shared" si="8"/>
        <v>420.09000000000003</v>
      </c>
      <c r="J123" s="34">
        <f t="shared" si="9"/>
        <v>506.1850818712384</v>
      </c>
      <c r="K123" s="35"/>
    </row>
    <row r="124" spans="1:12" ht="15.75" customHeight="1">
      <c r="A124" s="22" t="s">
        <v>259</v>
      </c>
      <c r="D124" s="46" t="s">
        <v>169</v>
      </c>
      <c r="E124" s="22" t="s">
        <v>7</v>
      </c>
      <c r="F124" s="6" t="s">
        <v>170</v>
      </c>
      <c r="G124" s="22">
        <v>1</v>
      </c>
      <c r="H124" s="23">
        <v>5.99</v>
      </c>
      <c r="I124" s="25">
        <f t="shared" si="8"/>
        <v>341.43</v>
      </c>
      <c r="J124" s="34">
        <f t="shared" si="9"/>
        <v>411.404157450301</v>
      </c>
      <c r="K124" s="35">
        <f>895-965</f>
        <v>-70</v>
      </c>
      <c r="L124" s="8" t="s">
        <v>733</v>
      </c>
    </row>
    <row r="125" spans="1:11" ht="15.75" customHeight="1">
      <c r="A125" s="22" t="s">
        <v>259</v>
      </c>
      <c r="D125" s="46" t="s">
        <v>344</v>
      </c>
      <c r="E125" s="22" t="s">
        <v>7</v>
      </c>
      <c r="F125" s="6" t="s">
        <v>345</v>
      </c>
      <c r="G125" s="22">
        <v>1</v>
      </c>
      <c r="H125" s="23">
        <v>3.99</v>
      </c>
      <c r="I125" s="25">
        <f t="shared" si="8"/>
        <v>227.43</v>
      </c>
      <c r="J125" s="34">
        <f t="shared" si="9"/>
        <v>274.0404988692322</v>
      </c>
      <c r="K125" s="35"/>
    </row>
    <row r="126" spans="1:12" ht="15.75" customHeight="1">
      <c r="A126" s="22" t="s">
        <v>259</v>
      </c>
      <c r="D126" s="46" t="s">
        <v>346</v>
      </c>
      <c r="E126" s="22" t="s">
        <v>7</v>
      </c>
      <c r="F126" s="6" t="s">
        <v>347</v>
      </c>
      <c r="G126" s="22">
        <v>1</v>
      </c>
      <c r="H126" s="23">
        <v>5.99</v>
      </c>
      <c r="I126" s="25">
        <f t="shared" si="8"/>
        <v>341.43</v>
      </c>
      <c r="J126" s="34">
        <f t="shared" si="9"/>
        <v>411.404157450301</v>
      </c>
      <c r="K126" s="35"/>
      <c r="L126" s="8">
        <f>1448-463</f>
        <v>985</v>
      </c>
    </row>
    <row r="127" spans="1:11" ht="15.75" customHeight="1">
      <c r="A127" s="22" t="s">
        <v>259</v>
      </c>
      <c r="D127" s="46" t="s">
        <v>348</v>
      </c>
      <c r="E127" s="22" t="s">
        <v>7</v>
      </c>
      <c r="F127" s="6" t="s">
        <v>349</v>
      </c>
      <c r="G127" s="22">
        <v>1</v>
      </c>
      <c r="H127" s="23">
        <v>5.99</v>
      </c>
      <c r="I127" s="25">
        <f t="shared" si="8"/>
        <v>341.43</v>
      </c>
      <c r="J127" s="34">
        <f t="shared" si="9"/>
        <v>411.404157450301</v>
      </c>
      <c r="K127" s="35"/>
    </row>
    <row r="128" spans="1:11" ht="30" customHeight="1">
      <c r="A128" s="22" t="s">
        <v>350</v>
      </c>
      <c r="B128" s="22" t="s">
        <v>351</v>
      </c>
      <c r="D128" s="46" t="s">
        <v>352</v>
      </c>
      <c r="E128" s="22" t="s">
        <v>12</v>
      </c>
      <c r="F128" s="6" t="s">
        <v>353</v>
      </c>
      <c r="G128" s="22">
        <v>1</v>
      </c>
      <c r="H128" s="23">
        <v>5.99</v>
      </c>
      <c r="I128" s="25">
        <f t="shared" si="8"/>
        <v>341.43</v>
      </c>
      <c r="J128" s="25"/>
      <c r="K128" s="35">
        <f>H128*$Q$111*$Q$113</f>
        <v>428.475657450301</v>
      </c>
    </row>
    <row r="129" spans="1:11" ht="15.75" customHeight="1">
      <c r="A129" s="22" t="s">
        <v>350</v>
      </c>
      <c r="B129" s="22" t="s">
        <v>354</v>
      </c>
      <c r="D129" s="46" t="s">
        <v>355</v>
      </c>
      <c r="E129" s="22" t="s">
        <v>12</v>
      </c>
      <c r="F129" s="6" t="s">
        <v>356</v>
      </c>
      <c r="G129" s="22">
        <v>1</v>
      </c>
      <c r="H129" s="23">
        <v>3.99</v>
      </c>
      <c r="I129" s="25">
        <f t="shared" si="8"/>
        <v>227.43</v>
      </c>
      <c r="J129" s="25"/>
      <c r="K129" s="35">
        <f>H129*$Q$111*$Q$113</f>
        <v>285.4119988692322</v>
      </c>
    </row>
    <row r="130" spans="1:11" ht="15.75" customHeight="1">
      <c r="A130" s="22" t="s">
        <v>147</v>
      </c>
      <c r="B130" s="22" t="s">
        <v>357</v>
      </c>
      <c r="D130" s="46" t="s">
        <v>358</v>
      </c>
      <c r="E130" s="22" t="s">
        <v>14</v>
      </c>
      <c r="F130" s="6" t="s">
        <v>359</v>
      </c>
      <c r="G130" s="22">
        <v>1</v>
      </c>
      <c r="H130" s="23">
        <v>38</v>
      </c>
      <c r="I130" s="25">
        <f t="shared" si="8"/>
        <v>2166</v>
      </c>
      <c r="J130" s="34">
        <f t="shared" si="9"/>
        <v>2609.9095130403066</v>
      </c>
      <c r="K130" s="35"/>
    </row>
    <row r="131" spans="1:11" ht="15.75" customHeight="1">
      <c r="A131" s="22" t="s">
        <v>147</v>
      </c>
      <c r="B131" s="22" t="s">
        <v>360</v>
      </c>
      <c r="D131" s="46" t="s">
        <v>361</v>
      </c>
      <c r="E131" s="22" t="s">
        <v>14</v>
      </c>
      <c r="F131" s="6" t="s">
        <v>362</v>
      </c>
      <c r="G131" s="22">
        <v>1</v>
      </c>
      <c r="H131" s="23">
        <v>24.5</v>
      </c>
      <c r="I131" s="25">
        <f t="shared" si="8"/>
        <v>1396.5</v>
      </c>
      <c r="J131" s="34">
        <f t="shared" si="9"/>
        <v>1682.7048176180924</v>
      </c>
      <c r="K131" s="35">
        <f>4293-4293</f>
        <v>0</v>
      </c>
    </row>
    <row r="132" spans="1:11" ht="15.75" customHeight="1">
      <c r="A132" s="22" t="s">
        <v>363</v>
      </c>
      <c r="B132" s="22" t="s">
        <v>364</v>
      </c>
      <c r="D132" s="46" t="s">
        <v>365</v>
      </c>
      <c r="E132" s="6" t="s">
        <v>366</v>
      </c>
      <c r="F132" s="6" t="s">
        <v>18</v>
      </c>
      <c r="G132" s="22">
        <v>1</v>
      </c>
      <c r="H132" s="23">
        <v>30</v>
      </c>
      <c r="I132" s="25">
        <f t="shared" si="8"/>
        <v>1710</v>
      </c>
      <c r="J132" s="34">
        <f t="shared" si="9"/>
        <v>2060.4548787160315</v>
      </c>
      <c r="K132" s="35">
        <f>J132-1656-404</f>
        <v>0.4548787160315442</v>
      </c>
    </row>
    <row r="133" spans="1:12" ht="15.75" customHeight="1">
      <c r="A133" s="22" t="s">
        <v>310</v>
      </c>
      <c r="B133" s="22" t="s">
        <v>311</v>
      </c>
      <c r="D133" s="46" t="s">
        <v>367</v>
      </c>
      <c r="E133" s="22" t="s">
        <v>273</v>
      </c>
      <c r="F133" s="6" t="s">
        <v>368</v>
      </c>
      <c r="G133" s="22">
        <v>1</v>
      </c>
      <c r="H133" s="23">
        <v>22</v>
      </c>
      <c r="I133" s="25">
        <f t="shared" si="8"/>
        <v>1254</v>
      </c>
      <c r="J133" s="25"/>
      <c r="K133" s="35">
        <f>H133*$Q$111*$Q$113</f>
        <v>1573.7002443917565</v>
      </c>
      <c r="L133" s="43" t="s">
        <v>190</v>
      </c>
    </row>
    <row r="134" spans="1:11" ht="15.75" customHeight="1">
      <c r="A134" s="22" t="s">
        <v>310</v>
      </c>
      <c r="B134" s="22" t="s">
        <v>311</v>
      </c>
      <c r="D134" s="46" t="s">
        <v>369</v>
      </c>
      <c r="E134" s="22" t="s">
        <v>12</v>
      </c>
      <c r="F134" s="6" t="s">
        <v>370</v>
      </c>
      <c r="G134" s="22">
        <v>1</v>
      </c>
      <c r="H134" s="23">
        <v>15</v>
      </c>
      <c r="I134" s="25">
        <f t="shared" si="8"/>
        <v>855</v>
      </c>
      <c r="J134" s="25"/>
      <c r="K134" s="35">
        <f>H134*$Q$111*$Q$113</f>
        <v>1072.9774393580158</v>
      </c>
    </row>
    <row r="135" spans="1:11" s="7" customFormat="1" ht="15.75" customHeight="1">
      <c r="A135" s="20" t="s">
        <v>371</v>
      </c>
      <c r="B135" s="20" t="s">
        <v>372</v>
      </c>
      <c r="C135" s="20"/>
      <c r="D135" s="44" t="s">
        <v>373</v>
      </c>
      <c r="E135" s="44" t="s">
        <v>273</v>
      </c>
      <c r="F135" s="44" t="s">
        <v>374</v>
      </c>
      <c r="G135" s="20">
        <v>1</v>
      </c>
      <c r="H135" s="31">
        <v>24.99</v>
      </c>
      <c r="I135" s="25">
        <f t="shared" si="8"/>
        <v>1424.4299999999998</v>
      </c>
      <c r="J135" s="34">
        <f t="shared" si="9"/>
        <v>1716.3589139704543</v>
      </c>
      <c r="K135" s="35"/>
    </row>
    <row r="136" spans="1:11" s="7" customFormat="1" ht="15.75" customHeight="1">
      <c r="A136" s="20" t="s">
        <v>306</v>
      </c>
      <c r="B136" s="20" t="s">
        <v>239</v>
      </c>
      <c r="C136" s="20"/>
      <c r="D136" s="44" t="s">
        <v>240</v>
      </c>
      <c r="E136" s="20" t="s">
        <v>11</v>
      </c>
      <c r="F136" s="44" t="s">
        <v>18</v>
      </c>
      <c r="G136" s="20">
        <v>1</v>
      </c>
      <c r="H136" s="31">
        <v>30</v>
      </c>
      <c r="I136" s="25">
        <f t="shared" si="8"/>
        <v>1710</v>
      </c>
      <c r="J136" s="34">
        <f t="shared" si="9"/>
        <v>2060.4548787160315</v>
      </c>
      <c r="K136" s="35">
        <f>J136-2146</f>
        <v>-85.54512128396846</v>
      </c>
    </row>
    <row r="137" spans="1:11" s="7" customFormat="1" ht="30" customHeight="1">
      <c r="A137" s="20" t="s">
        <v>292</v>
      </c>
      <c r="B137" s="20" t="s">
        <v>293</v>
      </c>
      <c r="C137" s="20"/>
      <c r="D137" s="44" t="s">
        <v>294</v>
      </c>
      <c r="E137" s="20" t="s">
        <v>295</v>
      </c>
      <c r="F137" s="44" t="s">
        <v>296</v>
      </c>
      <c r="G137" s="20">
        <v>1</v>
      </c>
      <c r="H137" s="31">
        <v>22.99</v>
      </c>
      <c r="I137" s="25">
        <f t="shared" si="8"/>
        <v>1310.4299999999998</v>
      </c>
      <c r="J137" s="25"/>
      <c r="K137" s="35">
        <f>H137*$Q$111*$Q$113</f>
        <v>1644.5167553893855</v>
      </c>
    </row>
    <row r="138" spans="1:11" ht="15.75" customHeight="1">
      <c r="A138" s="22" t="s">
        <v>259</v>
      </c>
      <c r="B138" s="22" t="s">
        <v>375</v>
      </c>
      <c r="D138" s="46" t="s">
        <v>376</v>
      </c>
      <c r="F138" s="6" t="s">
        <v>377</v>
      </c>
      <c r="G138" s="22">
        <v>1</v>
      </c>
      <c r="H138" s="23">
        <v>5</v>
      </c>
      <c r="I138" s="25">
        <f t="shared" si="8"/>
        <v>285</v>
      </c>
      <c r="J138" s="25"/>
      <c r="K138" s="35">
        <f>H138*$Q$111*$Q$113</f>
        <v>357.65914645267196</v>
      </c>
    </row>
    <row r="139" spans="1:11" ht="15.75" customHeight="1">
      <c r="A139" s="22" t="s">
        <v>259</v>
      </c>
      <c r="B139" s="22" t="s">
        <v>375</v>
      </c>
      <c r="D139" s="46" t="s">
        <v>376</v>
      </c>
      <c r="F139" s="6" t="s">
        <v>378</v>
      </c>
      <c r="G139" s="22">
        <v>1</v>
      </c>
      <c r="H139" s="23">
        <v>5</v>
      </c>
      <c r="I139" s="25">
        <f t="shared" si="8"/>
        <v>285</v>
      </c>
      <c r="J139" s="25"/>
      <c r="K139" s="35">
        <f>H139*$Q$111*$Q$113</f>
        <v>357.65914645267196</v>
      </c>
    </row>
    <row r="140" spans="1:11" ht="15.75" customHeight="1">
      <c r="A140" s="22" t="s">
        <v>379</v>
      </c>
      <c r="B140" s="22" t="s">
        <v>380</v>
      </c>
      <c r="D140" s="46" t="s">
        <v>381</v>
      </c>
      <c r="F140" s="6" t="s">
        <v>382</v>
      </c>
      <c r="G140" s="22">
        <v>1</v>
      </c>
      <c r="H140" s="23">
        <v>5</v>
      </c>
      <c r="I140" s="25">
        <f t="shared" si="8"/>
        <v>285</v>
      </c>
      <c r="J140" s="25"/>
      <c r="K140" s="35">
        <f>H140*$Q$111*$Q$113</f>
        <v>357.65914645267196</v>
      </c>
    </row>
    <row r="141" spans="1:12" ht="16.5" customHeight="1">
      <c r="A141" s="22" t="s">
        <v>329</v>
      </c>
      <c r="B141" s="22" t="s">
        <v>383</v>
      </c>
      <c r="D141" s="46" t="s">
        <v>384</v>
      </c>
      <c r="F141" s="6" t="s">
        <v>385</v>
      </c>
      <c r="G141" s="22">
        <v>1</v>
      </c>
      <c r="H141" s="23">
        <v>5</v>
      </c>
      <c r="I141" s="25">
        <f t="shared" si="8"/>
        <v>285</v>
      </c>
      <c r="J141" s="34">
        <f t="shared" si="9"/>
        <v>343.40914645267196</v>
      </c>
      <c r="K141" s="35">
        <f>5907-5730-355</f>
        <v>-178</v>
      </c>
      <c r="L141" s="57" t="s">
        <v>824</v>
      </c>
    </row>
    <row r="142" spans="1:11" s="7" customFormat="1" ht="16.5" customHeight="1">
      <c r="A142" s="20" t="s">
        <v>297</v>
      </c>
      <c r="B142" s="20" t="s">
        <v>300</v>
      </c>
      <c r="C142" s="20"/>
      <c r="D142" s="44" t="s">
        <v>386</v>
      </c>
      <c r="E142" s="20" t="s">
        <v>23</v>
      </c>
      <c r="F142" s="44" t="s">
        <v>387</v>
      </c>
      <c r="G142" s="20">
        <v>1</v>
      </c>
      <c r="H142" s="31">
        <v>16.99</v>
      </c>
      <c r="I142" s="25">
        <f t="shared" si="8"/>
        <v>968.43</v>
      </c>
      <c r="J142" s="34">
        <f t="shared" si="9"/>
        <v>1166.904279646179</v>
      </c>
      <c r="K142" s="35">
        <f>J142-1167-280</f>
        <v>-280.095720353821</v>
      </c>
    </row>
    <row r="143" spans="1:11" s="38" customFormat="1" ht="15.75" customHeight="1">
      <c r="A143" s="20" t="s">
        <v>98</v>
      </c>
      <c r="B143" s="20" t="s">
        <v>206</v>
      </c>
      <c r="C143" s="20"/>
      <c r="D143" s="44" t="s">
        <v>207</v>
      </c>
      <c r="E143" s="20" t="s">
        <v>7</v>
      </c>
      <c r="F143" s="44" t="s">
        <v>175</v>
      </c>
      <c r="G143" s="20">
        <v>1</v>
      </c>
      <c r="H143" s="31">
        <v>3.99</v>
      </c>
      <c r="I143" s="25">
        <f t="shared" si="8"/>
        <v>227.43</v>
      </c>
      <c r="J143" s="34">
        <f t="shared" si="9"/>
        <v>274.0404988692322</v>
      </c>
      <c r="K143" s="35">
        <f>J143-180</f>
        <v>94.04049886923218</v>
      </c>
    </row>
    <row r="144" spans="1:11" s="38" customFormat="1" ht="15.75" customHeight="1">
      <c r="A144" s="20" t="s">
        <v>388</v>
      </c>
      <c r="B144" s="20" t="s">
        <v>389</v>
      </c>
      <c r="C144" s="20"/>
      <c r="D144" s="44" t="s">
        <v>390</v>
      </c>
      <c r="E144" s="32" t="s">
        <v>14</v>
      </c>
      <c r="F144" s="44" t="s">
        <v>391</v>
      </c>
      <c r="G144" s="20">
        <v>1</v>
      </c>
      <c r="H144" s="31">
        <v>16.99</v>
      </c>
      <c r="I144" s="25">
        <f t="shared" si="8"/>
        <v>968.43</v>
      </c>
      <c r="J144" s="25"/>
      <c r="K144" s="35">
        <f>H144*$Q$111*$Q$113</f>
        <v>1215.3257796461792</v>
      </c>
    </row>
    <row r="145" ht="15.75" customHeight="1">
      <c r="E145" s="58" t="s">
        <v>393</v>
      </c>
    </row>
    <row r="146" ht="15.75" customHeight="1">
      <c r="E146" s="58" t="s">
        <v>394</v>
      </c>
    </row>
    <row r="147" spans="1:6" ht="15.75" customHeight="1" thickBot="1">
      <c r="A147" s="26" t="s">
        <v>428</v>
      </c>
      <c r="F147" s="27" t="s">
        <v>509</v>
      </c>
    </row>
    <row r="148" spans="1:17" ht="15.75" customHeight="1">
      <c r="A148" s="22" t="s">
        <v>310</v>
      </c>
      <c r="B148" s="22" t="s">
        <v>429</v>
      </c>
      <c r="D148" s="46" t="s">
        <v>430</v>
      </c>
      <c r="E148" s="22" t="s">
        <v>12</v>
      </c>
      <c r="F148" s="6" t="s">
        <v>431</v>
      </c>
      <c r="G148" s="22">
        <v>1</v>
      </c>
      <c r="H148" s="23">
        <v>11</v>
      </c>
      <c r="I148" s="25">
        <f>H148*$Q$154</f>
        <v>616</v>
      </c>
      <c r="J148" s="25"/>
      <c r="K148" s="35">
        <f>H148*$Q$152*$Q$154</f>
        <v>769.338612616606</v>
      </c>
      <c r="P148" s="16" t="s">
        <v>19</v>
      </c>
      <c r="Q148" s="13">
        <f>SUM(H148:H180)</f>
        <v>496.33000000000015</v>
      </c>
    </row>
    <row r="149" spans="1:17" ht="15.75" customHeight="1">
      <c r="A149" s="22" t="s">
        <v>223</v>
      </c>
      <c r="B149" s="22" t="s">
        <v>432</v>
      </c>
      <c r="D149" s="46" t="s">
        <v>433</v>
      </c>
      <c r="E149" s="22" t="s">
        <v>27</v>
      </c>
      <c r="F149" s="6" t="s">
        <v>434</v>
      </c>
      <c r="G149" s="22">
        <v>1</v>
      </c>
      <c r="H149" s="23">
        <v>11</v>
      </c>
      <c r="I149" s="25">
        <f aca="true" t="shared" si="10" ref="I149:I180">H149*$Q$154</f>
        <v>616</v>
      </c>
      <c r="J149" s="25"/>
      <c r="K149" s="35">
        <f>H149*$Q$152*$Q$154</f>
        <v>769.338612616606</v>
      </c>
      <c r="P149" s="17" t="s">
        <v>15</v>
      </c>
      <c r="Q149" s="9">
        <v>63.99</v>
      </c>
    </row>
    <row r="150" spans="1:17" ht="30" customHeight="1">
      <c r="A150" s="22" t="s">
        <v>115</v>
      </c>
      <c r="B150" s="22" t="s">
        <v>435</v>
      </c>
      <c r="D150" s="46" t="s">
        <v>436</v>
      </c>
      <c r="E150" s="22" t="s">
        <v>427</v>
      </c>
      <c r="F150" s="6" t="s">
        <v>437</v>
      </c>
      <c r="G150" s="22">
        <v>1</v>
      </c>
      <c r="H150" s="23">
        <v>11</v>
      </c>
      <c r="I150" s="25">
        <f t="shared" si="10"/>
        <v>616</v>
      </c>
      <c r="J150" s="25"/>
      <c r="K150" s="35">
        <f>H150*$Q$152*$Q$154</f>
        <v>769.338612616606</v>
      </c>
      <c r="P150" s="18" t="s">
        <v>111</v>
      </c>
      <c r="Q150" s="56">
        <f>Q149/Q148</f>
        <v>0.12892631918280173</v>
      </c>
    </row>
    <row r="151" spans="1:17" ht="15.75" customHeight="1">
      <c r="A151" s="22" t="s">
        <v>115</v>
      </c>
      <c r="B151" s="22" t="s">
        <v>438</v>
      </c>
      <c r="D151" s="46" t="s">
        <v>439</v>
      </c>
      <c r="E151" s="22" t="s">
        <v>273</v>
      </c>
      <c r="F151" s="6" t="s">
        <v>440</v>
      </c>
      <c r="G151" s="22">
        <v>1</v>
      </c>
      <c r="H151" s="23">
        <v>29.5</v>
      </c>
      <c r="I151" s="25">
        <f t="shared" si="10"/>
        <v>1652</v>
      </c>
      <c r="J151" s="25"/>
      <c r="K151" s="35">
        <f>H151*$Q$152*$Q$154</f>
        <v>2063.2262792899887</v>
      </c>
      <c r="P151" s="17" t="s">
        <v>16</v>
      </c>
      <c r="Q151" s="10">
        <f>1+Q149/Q148+0.07</f>
        <v>1.198926319182802</v>
      </c>
    </row>
    <row r="152" spans="1:17" ht="15.75" customHeight="1">
      <c r="A152" s="22" t="s">
        <v>329</v>
      </c>
      <c r="B152" s="22" t="s">
        <v>441</v>
      </c>
      <c r="D152" s="46" t="s">
        <v>442</v>
      </c>
      <c r="E152" s="22" t="s">
        <v>427</v>
      </c>
      <c r="F152" s="6" t="s">
        <v>443</v>
      </c>
      <c r="G152" s="22">
        <v>1</v>
      </c>
      <c r="H152" s="23">
        <v>10</v>
      </c>
      <c r="I152" s="25">
        <f t="shared" si="10"/>
        <v>560</v>
      </c>
      <c r="J152" s="34">
        <f aca="true" t="shared" si="11" ref="J152:J179">H152*$Q$151*$Q$154</f>
        <v>671.3987387423691</v>
      </c>
      <c r="K152" s="35"/>
      <c r="P152" s="17" t="s">
        <v>16</v>
      </c>
      <c r="Q152" s="10">
        <f>1+Q149/Q148+0.12</f>
        <v>1.248926319182802</v>
      </c>
    </row>
    <row r="153" spans="1:17" ht="15.75" customHeight="1">
      <c r="A153" s="22" t="s">
        <v>329</v>
      </c>
      <c r="B153" s="22" t="s">
        <v>444</v>
      </c>
      <c r="D153" s="46" t="s">
        <v>445</v>
      </c>
      <c r="E153" s="22" t="s">
        <v>273</v>
      </c>
      <c r="F153" s="6" t="s">
        <v>446</v>
      </c>
      <c r="G153" s="22">
        <v>1</v>
      </c>
      <c r="H153" s="23">
        <v>39.5</v>
      </c>
      <c r="I153" s="25">
        <f t="shared" si="10"/>
        <v>2212</v>
      </c>
      <c r="J153" s="34">
        <f t="shared" si="11"/>
        <v>2652.025018032358</v>
      </c>
      <c r="K153" s="35"/>
      <c r="P153" s="18"/>
      <c r="Q153" s="10"/>
    </row>
    <row r="154" spans="1:17" ht="30.75" customHeight="1" thickBot="1">
      <c r="A154" s="22" t="s">
        <v>329</v>
      </c>
      <c r="B154" s="22" t="s">
        <v>447</v>
      </c>
      <c r="D154" s="46" t="s">
        <v>448</v>
      </c>
      <c r="E154" s="22" t="s">
        <v>427</v>
      </c>
      <c r="F154" s="6" t="s">
        <v>449</v>
      </c>
      <c r="G154" s="22">
        <v>1</v>
      </c>
      <c r="H154" s="23">
        <v>29.5</v>
      </c>
      <c r="I154" s="25">
        <f t="shared" si="10"/>
        <v>1652</v>
      </c>
      <c r="J154" s="34">
        <f t="shared" si="11"/>
        <v>1980.6262792899886</v>
      </c>
      <c r="K154" s="35"/>
      <c r="P154" s="33" t="s">
        <v>732</v>
      </c>
      <c r="Q154" s="12">
        <v>56</v>
      </c>
    </row>
    <row r="155" spans="1:11" ht="15.75" customHeight="1">
      <c r="A155" s="22" t="s">
        <v>450</v>
      </c>
      <c r="B155" s="22" t="s">
        <v>451</v>
      </c>
      <c r="D155" s="46" t="s">
        <v>452</v>
      </c>
      <c r="E155" s="22" t="s">
        <v>21</v>
      </c>
      <c r="F155" s="6" t="s">
        <v>453</v>
      </c>
      <c r="G155" s="22">
        <v>1</v>
      </c>
      <c r="H155" s="23">
        <v>19.99</v>
      </c>
      <c r="I155" s="25">
        <f t="shared" si="10"/>
        <v>1119.4399999999998</v>
      </c>
      <c r="J155" s="34">
        <f t="shared" si="11"/>
        <v>1342.1260787459958</v>
      </c>
      <c r="K155" s="35">
        <f>J155-1400</f>
        <v>-57.873921254004244</v>
      </c>
    </row>
    <row r="156" spans="1:11" ht="15.75" customHeight="1">
      <c r="A156" s="22" t="s">
        <v>454</v>
      </c>
      <c r="B156" s="22" t="s">
        <v>455</v>
      </c>
      <c r="D156" s="46"/>
      <c r="E156" s="22" t="s">
        <v>295</v>
      </c>
      <c r="F156" s="6" t="s">
        <v>456</v>
      </c>
      <c r="G156" s="22">
        <v>1</v>
      </c>
      <c r="H156" s="23">
        <v>19.49</v>
      </c>
      <c r="I156" s="25">
        <f t="shared" si="10"/>
        <v>1091.4399999999998</v>
      </c>
      <c r="J156" s="34">
        <f t="shared" si="11"/>
        <v>1308.5561418088773</v>
      </c>
      <c r="K156" s="35"/>
    </row>
    <row r="157" spans="1:11" ht="15.75" customHeight="1">
      <c r="A157" s="22" t="s">
        <v>454</v>
      </c>
      <c r="B157" s="22" t="s">
        <v>455</v>
      </c>
      <c r="D157" s="46"/>
      <c r="E157" s="22" t="s">
        <v>427</v>
      </c>
      <c r="F157" s="6" t="s">
        <v>456</v>
      </c>
      <c r="G157" s="22">
        <v>1</v>
      </c>
      <c r="H157" s="23">
        <v>9.74</v>
      </c>
      <c r="I157" s="25">
        <f t="shared" si="10"/>
        <v>545.44</v>
      </c>
      <c r="J157" s="34">
        <f t="shared" si="11"/>
        <v>653.9423715350675</v>
      </c>
      <c r="K157" s="35">
        <f>1962-2000</f>
        <v>-38</v>
      </c>
    </row>
    <row r="158" spans="1:11" ht="15.75" customHeight="1">
      <c r="A158" s="22" t="s">
        <v>251</v>
      </c>
      <c r="B158" s="22" t="s">
        <v>457</v>
      </c>
      <c r="D158" s="46" t="s">
        <v>458</v>
      </c>
      <c r="E158" s="22" t="s">
        <v>12</v>
      </c>
      <c r="F158" s="6" t="s">
        <v>459</v>
      </c>
      <c r="G158" s="22">
        <v>1</v>
      </c>
      <c r="H158" s="23">
        <v>6.74</v>
      </c>
      <c r="I158" s="25">
        <f t="shared" si="10"/>
        <v>377.44</v>
      </c>
      <c r="J158" s="25"/>
      <c r="K158" s="35">
        <f>H158*$Q$152*$Q$154</f>
        <v>471.3947499123568</v>
      </c>
    </row>
    <row r="159" spans="1:11" ht="30" customHeight="1">
      <c r="A159" s="22" t="s">
        <v>251</v>
      </c>
      <c r="B159" s="22" t="s">
        <v>460</v>
      </c>
      <c r="D159" s="46" t="s">
        <v>461</v>
      </c>
      <c r="E159" s="22" t="s">
        <v>12</v>
      </c>
      <c r="F159" s="6" t="s">
        <v>462</v>
      </c>
      <c r="G159" s="22">
        <v>1</v>
      </c>
      <c r="H159" s="23">
        <v>22.49</v>
      </c>
      <c r="I159" s="25">
        <f t="shared" si="10"/>
        <v>1259.4399999999998</v>
      </c>
      <c r="J159" s="25"/>
      <c r="K159" s="35">
        <f>H159*$Q$152*$Q$154</f>
        <v>1572.947763431588</v>
      </c>
    </row>
    <row r="160" spans="1:11" ht="15.75" customHeight="1">
      <c r="A160" s="22" t="s">
        <v>463</v>
      </c>
      <c r="B160" s="22" t="s">
        <v>464</v>
      </c>
      <c r="D160" s="46" t="s">
        <v>465</v>
      </c>
      <c r="E160" s="22" t="s">
        <v>466</v>
      </c>
      <c r="F160" s="6" t="s">
        <v>467</v>
      </c>
      <c r="G160" s="22">
        <v>1</v>
      </c>
      <c r="H160" s="23">
        <v>13.49</v>
      </c>
      <c r="I160" s="25">
        <f t="shared" si="10"/>
        <v>755.44</v>
      </c>
      <c r="J160" s="34">
        <f t="shared" si="11"/>
        <v>905.7168985634559</v>
      </c>
      <c r="K160" s="35"/>
    </row>
    <row r="161" spans="1:11" ht="15.75" customHeight="1">
      <c r="A161" s="22" t="s">
        <v>463</v>
      </c>
      <c r="B161" s="22" t="s">
        <v>468</v>
      </c>
      <c r="D161" s="46" t="s">
        <v>469</v>
      </c>
      <c r="E161" s="22" t="s">
        <v>466</v>
      </c>
      <c r="F161" s="6" t="s">
        <v>470</v>
      </c>
      <c r="G161" s="22">
        <v>1</v>
      </c>
      <c r="H161" s="23">
        <v>19.49</v>
      </c>
      <c r="I161" s="25">
        <f t="shared" si="10"/>
        <v>1091.4399999999998</v>
      </c>
      <c r="J161" s="34">
        <f t="shared" si="11"/>
        <v>1308.5561418088773</v>
      </c>
      <c r="K161" s="35"/>
    </row>
    <row r="162" spans="1:12" ht="15.75" customHeight="1">
      <c r="A162" s="22" t="s">
        <v>463</v>
      </c>
      <c r="B162" s="22" t="s">
        <v>471</v>
      </c>
      <c r="D162" s="46" t="s">
        <v>472</v>
      </c>
      <c r="E162" s="22" t="s">
        <v>14</v>
      </c>
      <c r="F162" s="6" t="s">
        <v>470</v>
      </c>
      <c r="G162" s="22">
        <v>1</v>
      </c>
      <c r="H162" s="23">
        <v>11.99</v>
      </c>
      <c r="I162" s="25">
        <f t="shared" si="10"/>
        <v>671.44</v>
      </c>
      <c r="J162" s="34">
        <f t="shared" si="11"/>
        <v>805.0070877521005</v>
      </c>
      <c r="K162" s="35"/>
      <c r="L162" s="43" t="s">
        <v>190</v>
      </c>
    </row>
    <row r="163" spans="1:11" ht="15.75" customHeight="1">
      <c r="A163" s="22" t="s">
        <v>350</v>
      </c>
      <c r="B163" s="22" t="s">
        <v>473</v>
      </c>
      <c r="D163" s="46" t="s">
        <v>183</v>
      </c>
      <c r="E163" s="22" t="s">
        <v>12</v>
      </c>
      <c r="F163" s="6" t="s">
        <v>370</v>
      </c>
      <c r="G163" s="22">
        <v>1</v>
      </c>
      <c r="H163" s="23">
        <v>9.75</v>
      </c>
      <c r="I163" s="25">
        <f t="shared" si="10"/>
        <v>546</v>
      </c>
      <c r="J163" s="25"/>
      <c r="K163" s="35">
        <f>H163*$Q$152*$Q$154</f>
        <v>681.9137702738099</v>
      </c>
    </row>
    <row r="164" spans="1:11" ht="15.75" customHeight="1">
      <c r="A164" s="22" t="s">
        <v>463</v>
      </c>
      <c r="B164" s="22" t="s">
        <v>474</v>
      </c>
      <c r="D164" s="46" t="s">
        <v>324</v>
      </c>
      <c r="E164" s="22" t="s">
        <v>14</v>
      </c>
      <c r="F164" s="6" t="s">
        <v>184</v>
      </c>
      <c r="G164" s="22">
        <v>1</v>
      </c>
      <c r="H164" s="23">
        <v>13</v>
      </c>
      <c r="I164" s="25">
        <f t="shared" si="10"/>
        <v>728</v>
      </c>
      <c r="J164" s="34">
        <f t="shared" si="11"/>
        <v>872.8183603650798</v>
      </c>
      <c r="K164" s="35">
        <f>3892-3963</f>
        <v>-71</v>
      </c>
    </row>
    <row r="165" spans="1:11" ht="15.75" customHeight="1">
      <c r="A165" s="22" t="s">
        <v>329</v>
      </c>
      <c r="B165" s="22" t="s">
        <v>475</v>
      </c>
      <c r="D165" s="46" t="s">
        <v>476</v>
      </c>
      <c r="E165" s="22" t="s">
        <v>12</v>
      </c>
      <c r="F165" s="6" t="s">
        <v>184</v>
      </c>
      <c r="G165" s="22">
        <v>1</v>
      </c>
      <c r="H165" s="23">
        <v>19.5</v>
      </c>
      <c r="I165" s="25">
        <f t="shared" si="10"/>
        <v>1092</v>
      </c>
      <c r="J165" s="34">
        <f t="shared" si="11"/>
        <v>1309.2275405476198</v>
      </c>
      <c r="K165" s="35"/>
    </row>
    <row r="166" spans="1:12" ht="16.5" customHeight="1">
      <c r="A166" s="22" t="s">
        <v>329</v>
      </c>
      <c r="B166" s="22" t="s">
        <v>477</v>
      </c>
      <c r="D166" s="46" t="s">
        <v>478</v>
      </c>
      <c r="E166" s="22" t="s">
        <v>427</v>
      </c>
      <c r="F166" s="6" t="s">
        <v>184</v>
      </c>
      <c r="G166" s="22">
        <v>1</v>
      </c>
      <c r="H166" s="23">
        <v>28.5</v>
      </c>
      <c r="I166" s="25">
        <f t="shared" si="10"/>
        <v>1596</v>
      </c>
      <c r="J166" s="34">
        <f t="shared" si="11"/>
        <v>1913.486405415752</v>
      </c>
      <c r="K166" s="35">
        <f>8527-6300-2890</f>
        <v>-663</v>
      </c>
      <c r="L166" s="57" t="s">
        <v>824</v>
      </c>
    </row>
    <row r="167" spans="1:11" ht="15.75" customHeight="1">
      <c r="A167" s="22" t="s">
        <v>350</v>
      </c>
      <c r="B167" s="22" t="s">
        <v>479</v>
      </c>
      <c r="D167" s="46" t="s">
        <v>480</v>
      </c>
      <c r="E167" s="22" t="s">
        <v>12</v>
      </c>
      <c r="F167" s="6" t="s">
        <v>481</v>
      </c>
      <c r="G167" s="22">
        <v>1</v>
      </c>
      <c r="H167" s="23">
        <v>6.74</v>
      </c>
      <c r="I167" s="25">
        <f t="shared" si="10"/>
        <v>377.44</v>
      </c>
      <c r="J167" s="25"/>
      <c r="K167" s="35">
        <f>H167*$Q$152*$Q$154</f>
        <v>471.3947499123568</v>
      </c>
    </row>
    <row r="168" spans="1:11" ht="15.75" customHeight="1">
      <c r="A168" s="22" t="s">
        <v>350</v>
      </c>
      <c r="B168" s="22" t="s">
        <v>482</v>
      </c>
      <c r="D168" s="46" t="s">
        <v>483</v>
      </c>
      <c r="E168" s="22" t="s">
        <v>12</v>
      </c>
      <c r="F168" s="6" t="s">
        <v>481</v>
      </c>
      <c r="G168" s="22">
        <v>1</v>
      </c>
      <c r="H168" s="23">
        <v>7.49</v>
      </c>
      <c r="I168" s="25">
        <f t="shared" si="10"/>
        <v>419.44</v>
      </c>
      <c r="J168" s="25"/>
      <c r="K168" s="35">
        <f>H168*$Q$152*$Q$154</f>
        <v>523.8496553180345</v>
      </c>
    </row>
    <row r="169" spans="1:11" ht="15.75" customHeight="1">
      <c r="A169" s="22" t="s">
        <v>450</v>
      </c>
      <c r="B169" s="22" t="s">
        <v>484</v>
      </c>
      <c r="D169" s="46" t="s">
        <v>303</v>
      </c>
      <c r="E169" s="22" t="s">
        <v>12</v>
      </c>
      <c r="F169" s="6" t="s">
        <v>304</v>
      </c>
      <c r="G169" s="22">
        <v>1</v>
      </c>
      <c r="H169" s="23">
        <v>8.24</v>
      </c>
      <c r="I169" s="25">
        <f t="shared" si="10"/>
        <v>461.44</v>
      </c>
      <c r="J169" s="34">
        <f t="shared" si="11"/>
        <v>553.2325607237121</v>
      </c>
      <c r="K169" s="35"/>
    </row>
    <row r="170" spans="1:11" ht="15.75" customHeight="1">
      <c r="A170" s="22" t="s">
        <v>450</v>
      </c>
      <c r="B170" s="22" t="s">
        <v>485</v>
      </c>
      <c r="D170" s="46" t="s">
        <v>486</v>
      </c>
      <c r="E170" s="22" t="s">
        <v>14</v>
      </c>
      <c r="F170" s="6" t="s">
        <v>487</v>
      </c>
      <c r="G170" s="22">
        <v>1</v>
      </c>
      <c r="H170" s="23">
        <v>8.24</v>
      </c>
      <c r="I170" s="25">
        <f t="shared" si="10"/>
        <v>461.44</v>
      </c>
      <c r="J170" s="34">
        <f t="shared" si="11"/>
        <v>553.2325607237121</v>
      </c>
      <c r="K170" s="35">
        <f>1106-1092</f>
        <v>14</v>
      </c>
    </row>
    <row r="171" spans="1:11" ht="15.75" customHeight="1">
      <c r="A171" s="22" t="s">
        <v>488</v>
      </c>
      <c r="B171" s="22" t="s">
        <v>489</v>
      </c>
      <c r="D171" s="46" t="s">
        <v>490</v>
      </c>
      <c r="E171" s="6" t="s">
        <v>20</v>
      </c>
      <c r="F171" s="6" t="s">
        <v>491</v>
      </c>
      <c r="G171" s="22">
        <v>1</v>
      </c>
      <c r="H171" s="23">
        <v>17.99</v>
      </c>
      <c r="I171" s="25">
        <f t="shared" si="10"/>
        <v>1007.4399999999999</v>
      </c>
      <c r="J171" s="25"/>
      <c r="K171" s="35">
        <f>H171*$Q$152*$Q$154</f>
        <v>1258.218330997522</v>
      </c>
    </row>
    <row r="172" spans="1:11" ht="15.75" customHeight="1">
      <c r="A172" s="22" t="s">
        <v>488</v>
      </c>
      <c r="B172" s="22" t="s">
        <v>489</v>
      </c>
      <c r="D172" s="46" t="s">
        <v>492</v>
      </c>
      <c r="E172" s="22" t="s">
        <v>13</v>
      </c>
      <c r="F172" s="6" t="s">
        <v>491</v>
      </c>
      <c r="G172" s="22">
        <v>1</v>
      </c>
      <c r="H172" s="23">
        <v>10.5</v>
      </c>
      <c r="I172" s="25">
        <f t="shared" si="10"/>
        <v>588</v>
      </c>
      <c r="J172" s="34">
        <f t="shared" si="11"/>
        <v>704.9686756794874</v>
      </c>
      <c r="K172" s="35">
        <f>J172-1000</f>
        <v>-295.03132432051257</v>
      </c>
    </row>
    <row r="173" spans="1:12" ht="15.75" customHeight="1">
      <c r="A173" s="22" t="s">
        <v>493</v>
      </c>
      <c r="B173" s="22" t="s">
        <v>494</v>
      </c>
      <c r="D173" s="46" t="s">
        <v>495</v>
      </c>
      <c r="E173" s="6" t="s">
        <v>496</v>
      </c>
      <c r="F173" s="6" t="s">
        <v>497</v>
      </c>
      <c r="G173" s="22">
        <v>1</v>
      </c>
      <c r="H173" s="23">
        <v>31</v>
      </c>
      <c r="I173" s="25">
        <f t="shared" si="10"/>
        <v>1736</v>
      </c>
      <c r="J173" s="34">
        <f t="shared" si="11"/>
        <v>2081.336090101344</v>
      </c>
      <c r="K173" s="35"/>
      <c r="L173" s="43" t="s">
        <v>498</v>
      </c>
    </row>
    <row r="174" spans="1:12" ht="15.75" customHeight="1">
      <c r="A174" s="22" t="s">
        <v>493</v>
      </c>
      <c r="B174" s="22" t="s">
        <v>494</v>
      </c>
      <c r="D174" s="46" t="s">
        <v>499</v>
      </c>
      <c r="E174" s="22" t="s">
        <v>14</v>
      </c>
      <c r="F174" s="6" t="s">
        <v>497</v>
      </c>
      <c r="G174" s="22">
        <v>1</v>
      </c>
      <c r="H174" s="23">
        <v>16</v>
      </c>
      <c r="I174" s="25">
        <f t="shared" si="10"/>
        <v>896</v>
      </c>
      <c r="J174" s="34">
        <f t="shared" si="11"/>
        <v>1074.2379819877906</v>
      </c>
      <c r="K174" s="35">
        <f>3156-3200</f>
        <v>-44</v>
      </c>
      <c r="L174" s="43" t="s">
        <v>190</v>
      </c>
    </row>
    <row r="175" spans="1:11" ht="15.75" customHeight="1">
      <c r="A175" s="22" t="s">
        <v>500</v>
      </c>
      <c r="B175" s="22" t="s">
        <v>501</v>
      </c>
      <c r="D175" s="46" t="s">
        <v>502</v>
      </c>
      <c r="E175" s="22" t="s">
        <v>12</v>
      </c>
      <c r="F175" s="6" t="s">
        <v>503</v>
      </c>
      <c r="G175" s="22">
        <v>1</v>
      </c>
      <c r="H175" s="23">
        <v>18.75</v>
      </c>
      <c r="I175" s="25">
        <f t="shared" si="10"/>
        <v>1050</v>
      </c>
      <c r="J175" s="25"/>
      <c r="K175" s="35">
        <f>H175*$Q$152*$Q$154</f>
        <v>1311.372635141942</v>
      </c>
    </row>
    <row r="176" spans="1:11" ht="15.75" customHeight="1">
      <c r="A176" s="22" t="s">
        <v>500</v>
      </c>
      <c r="B176" s="22" t="s">
        <v>501</v>
      </c>
      <c r="D176" s="46" t="s">
        <v>504</v>
      </c>
      <c r="E176" s="22" t="s">
        <v>12</v>
      </c>
      <c r="F176" s="6" t="s">
        <v>503</v>
      </c>
      <c r="G176" s="22">
        <v>1</v>
      </c>
      <c r="H176" s="23">
        <v>10.5</v>
      </c>
      <c r="I176" s="25">
        <f t="shared" si="10"/>
        <v>588</v>
      </c>
      <c r="J176" s="25"/>
      <c r="K176" s="35">
        <f>H176*$Q$152*$Q$154</f>
        <v>734.3686756794875</v>
      </c>
    </row>
    <row r="177" spans="1:11" ht="15.75" customHeight="1">
      <c r="A177" s="20" t="s">
        <v>454</v>
      </c>
      <c r="B177" s="20" t="s">
        <v>505</v>
      </c>
      <c r="C177" s="20"/>
      <c r="D177" s="44" t="s">
        <v>458</v>
      </c>
      <c r="E177" s="20" t="s">
        <v>7</v>
      </c>
      <c r="F177" s="44" t="s">
        <v>506</v>
      </c>
      <c r="G177" s="20">
        <v>1</v>
      </c>
      <c r="H177" s="31">
        <v>6.74</v>
      </c>
      <c r="I177" s="25">
        <f t="shared" si="10"/>
        <v>377.44</v>
      </c>
      <c r="J177" s="25"/>
      <c r="K177" s="35">
        <f>H177*$Q$152*$Q$154</f>
        <v>471.3947499123568</v>
      </c>
    </row>
    <row r="178" spans="1:17" ht="15.75" customHeight="1">
      <c r="A178" s="20" t="s">
        <v>454</v>
      </c>
      <c r="B178" s="20" t="s">
        <v>505</v>
      </c>
      <c r="C178" s="20"/>
      <c r="D178" s="44" t="s">
        <v>507</v>
      </c>
      <c r="E178" s="20" t="s">
        <v>7</v>
      </c>
      <c r="F178" s="45" t="s">
        <v>508</v>
      </c>
      <c r="G178" s="20">
        <v>1</v>
      </c>
      <c r="H178" s="31">
        <v>10.49</v>
      </c>
      <c r="I178" s="25">
        <f t="shared" si="10"/>
        <v>587.44</v>
      </c>
      <c r="J178" s="25"/>
      <c r="K178" s="35">
        <f>H178*$Q$152*$Q$154</f>
        <v>733.6692769407452</v>
      </c>
      <c r="L178" s="38"/>
      <c r="M178" s="38"/>
      <c r="N178" s="38"/>
      <c r="O178" s="38"/>
      <c r="P178" s="38"/>
      <c r="Q178" s="38"/>
    </row>
    <row r="179" spans="1:17" s="38" customFormat="1" ht="15.75" customHeight="1">
      <c r="A179" s="20" t="s">
        <v>371</v>
      </c>
      <c r="B179" s="20" t="s">
        <v>95</v>
      </c>
      <c r="C179" s="20"/>
      <c r="D179" s="44" t="s">
        <v>53</v>
      </c>
      <c r="E179" s="20" t="s">
        <v>14</v>
      </c>
      <c r="F179" s="44" t="s">
        <v>232</v>
      </c>
      <c r="G179" s="20">
        <v>1</v>
      </c>
      <c r="H179" s="31">
        <v>3.99</v>
      </c>
      <c r="I179" s="25">
        <f t="shared" si="10"/>
        <v>223.44</v>
      </c>
      <c r="J179" s="34">
        <f t="shared" si="11"/>
        <v>267.8880967582053</v>
      </c>
      <c r="K179" s="35"/>
      <c r="L179" s="8"/>
      <c r="M179" s="8"/>
      <c r="N179" s="8"/>
      <c r="O179" s="8"/>
      <c r="P179" s="8"/>
      <c r="Q179" s="8"/>
    </row>
    <row r="180" spans="1:11" ht="15.75" customHeight="1">
      <c r="A180" s="20" t="s">
        <v>350</v>
      </c>
      <c r="B180" s="20" t="s">
        <v>420</v>
      </c>
      <c r="C180" s="20"/>
      <c r="D180" s="44" t="s">
        <v>421</v>
      </c>
      <c r="E180" s="20" t="s">
        <v>12</v>
      </c>
      <c r="F180" s="44" t="s">
        <v>422</v>
      </c>
      <c r="G180" s="20">
        <v>1</v>
      </c>
      <c r="H180" s="31">
        <v>3.99</v>
      </c>
      <c r="I180" s="25">
        <f t="shared" si="10"/>
        <v>223.44</v>
      </c>
      <c r="J180" s="25"/>
      <c r="K180" s="35">
        <f>H180*$Q$152*$Q$154</f>
        <v>279.0600967582053</v>
      </c>
    </row>
    <row r="181" spans="1:6" ht="15.75" customHeight="1" thickBot="1">
      <c r="A181" s="26" t="s">
        <v>521</v>
      </c>
      <c r="D181" s="46"/>
      <c r="F181" s="27" t="s">
        <v>591</v>
      </c>
    </row>
    <row r="182" spans="1:17" ht="15.75" customHeight="1">
      <c r="A182" s="22" t="s">
        <v>522</v>
      </c>
      <c r="B182" s="22" t="s">
        <v>523</v>
      </c>
      <c r="D182" s="46" t="s">
        <v>524</v>
      </c>
      <c r="E182" s="22" t="s">
        <v>20</v>
      </c>
      <c r="F182" s="6" t="s">
        <v>525</v>
      </c>
      <c r="G182" s="22">
        <v>1</v>
      </c>
      <c r="H182" s="23">
        <v>18.74</v>
      </c>
      <c r="I182" s="25">
        <f>H182*$Q$188</f>
        <v>1049.4399999999998</v>
      </c>
      <c r="J182" s="25"/>
      <c r="K182" s="35">
        <f>H182*$Q$186*$Q$188</f>
        <v>1347.5949487603305</v>
      </c>
      <c r="P182" s="16" t="s">
        <v>19</v>
      </c>
      <c r="Q182" s="13">
        <f>SUM(H182:H215)</f>
        <v>347.2700000000001</v>
      </c>
    </row>
    <row r="183" spans="1:17" ht="15.75" customHeight="1">
      <c r="A183" s="22" t="s">
        <v>522</v>
      </c>
      <c r="B183" s="22" t="s">
        <v>526</v>
      </c>
      <c r="D183" s="46" t="s">
        <v>183</v>
      </c>
      <c r="E183" s="22" t="s">
        <v>14</v>
      </c>
      <c r="F183" s="6" t="s">
        <v>370</v>
      </c>
      <c r="G183" s="22">
        <v>1</v>
      </c>
      <c r="H183" s="23">
        <v>9.75</v>
      </c>
      <c r="I183" s="25">
        <f aca="true" t="shared" si="12" ref="I183:I215">H183*$Q$188</f>
        <v>546</v>
      </c>
      <c r="J183" s="25"/>
      <c r="K183" s="35">
        <f aca="true" t="shared" si="13" ref="K183:K211">H183*$Q$186*$Q$188</f>
        <v>701.123305785124</v>
      </c>
      <c r="P183" s="17" t="s">
        <v>15</v>
      </c>
      <c r="Q183" s="9">
        <v>56.99</v>
      </c>
    </row>
    <row r="184" spans="1:17" ht="15.75" customHeight="1">
      <c r="A184" s="22" t="s">
        <v>259</v>
      </c>
      <c r="B184" s="22" t="s">
        <v>527</v>
      </c>
      <c r="D184" s="46" t="s">
        <v>398</v>
      </c>
      <c r="E184" s="22" t="s">
        <v>7</v>
      </c>
      <c r="F184" s="6" t="s">
        <v>399</v>
      </c>
      <c r="G184" s="22">
        <v>1</v>
      </c>
      <c r="H184" s="23">
        <v>5.4</v>
      </c>
      <c r="I184" s="25">
        <f t="shared" si="12"/>
        <v>302.40000000000003</v>
      </c>
      <c r="J184" s="25"/>
      <c r="K184" s="35">
        <f t="shared" si="13"/>
        <v>388.3144462809918</v>
      </c>
      <c r="L184" s="43" t="s">
        <v>528</v>
      </c>
      <c r="P184" s="18" t="s">
        <v>111</v>
      </c>
      <c r="Q184" s="56">
        <f>Q183/Q182</f>
        <v>0.16410861865407317</v>
      </c>
    </row>
    <row r="185" spans="1:17" ht="15.75" customHeight="1">
      <c r="A185" s="22" t="s">
        <v>259</v>
      </c>
      <c r="B185" s="22" t="s">
        <v>529</v>
      </c>
      <c r="D185" s="46" t="s">
        <v>402</v>
      </c>
      <c r="E185" s="22" t="s">
        <v>7</v>
      </c>
      <c r="F185" s="6" t="s">
        <v>403</v>
      </c>
      <c r="G185" s="22">
        <v>1</v>
      </c>
      <c r="H185" s="23">
        <v>5.4</v>
      </c>
      <c r="I185" s="25">
        <f t="shared" si="12"/>
        <v>302.40000000000003</v>
      </c>
      <c r="J185" s="25"/>
      <c r="K185" s="35">
        <f t="shared" si="13"/>
        <v>388.3144462809918</v>
      </c>
      <c r="P185" s="17" t="s">
        <v>16</v>
      </c>
      <c r="Q185" s="10">
        <f>1+Q183/Q182+0.07</f>
        <v>1.2341086186540733</v>
      </c>
    </row>
    <row r="186" spans="1:17" ht="15.75" customHeight="1">
      <c r="A186" s="22" t="s">
        <v>259</v>
      </c>
      <c r="B186" s="22" t="s">
        <v>530</v>
      </c>
      <c r="D186" s="46" t="s">
        <v>398</v>
      </c>
      <c r="E186" s="22" t="s">
        <v>7</v>
      </c>
      <c r="F186" s="6" t="s">
        <v>404</v>
      </c>
      <c r="G186" s="22">
        <v>1</v>
      </c>
      <c r="H186" s="23">
        <v>5.4</v>
      </c>
      <c r="I186" s="25">
        <f t="shared" si="12"/>
        <v>302.40000000000003</v>
      </c>
      <c r="J186" s="25"/>
      <c r="K186" s="35">
        <f t="shared" si="13"/>
        <v>388.3144462809918</v>
      </c>
      <c r="L186" s="43" t="s">
        <v>528</v>
      </c>
      <c r="P186" s="17" t="s">
        <v>16</v>
      </c>
      <c r="Q186" s="10">
        <f>1+Q183/Q182+0.12</f>
        <v>1.284108618654073</v>
      </c>
    </row>
    <row r="187" spans="1:17" ht="15.75" customHeight="1">
      <c r="A187" s="22" t="s">
        <v>116</v>
      </c>
      <c r="B187" s="22" t="s">
        <v>407</v>
      </c>
      <c r="D187" s="46" t="s">
        <v>398</v>
      </c>
      <c r="E187" s="22" t="s">
        <v>7</v>
      </c>
      <c r="F187" s="6" t="s">
        <v>404</v>
      </c>
      <c r="G187" s="22">
        <v>1</v>
      </c>
      <c r="H187" s="23">
        <v>5.4</v>
      </c>
      <c r="I187" s="25">
        <f t="shared" si="12"/>
        <v>302.40000000000003</v>
      </c>
      <c r="J187" s="34">
        <f>H187*$Q$185*$Q$188</f>
        <v>373.19444628099177</v>
      </c>
      <c r="K187" s="35"/>
      <c r="L187" s="43" t="s">
        <v>528</v>
      </c>
      <c r="P187" s="18"/>
      <c r="Q187" s="10"/>
    </row>
    <row r="188" spans="1:17" ht="16.5" customHeight="1" thickBot="1">
      <c r="A188" s="22" t="s">
        <v>116</v>
      </c>
      <c r="B188" s="22" t="s">
        <v>405</v>
      </c>
      <c r="D188" s="46" t="s">
        <v>400</v>
      </c>
      <c r="E188" s="22" t="s">
        <v>7</v>
      </c>
      <c r="F188" s="6" t="s">
        <v>406</v>
      </c>
      <c r="G188" s="22">
        <v>1</v>
      </c>
      <c r="H188" s="23">
        <v>5.4</v>
      </c>
      <c r="I188" s="25">
        <f t="shared" si="12"/>
        <v>302.40000000000003</v>
      </c>
      <c r="J188" s="34">
        <f>H188*$Q$185*$Q$188</f>
        <v>373.19444628099177</v>
      </c>
      <c r="K188" s="35"/>
      <c r="P188" s="33" t="s">
        <v>732</v>
      </c>
      <c r="Q188" s="12">
        <v>56</v>
      </c>
    </row>
    <row r="189" spans="1:11" ht="15.75" customHeight="1">
      <c r="A189" s="22" t="s">
        <v>116</v>
      </c>
      <c r="B189" s="22" t="s">
        <v>408</v>
      </c>
      <c r="D189" s="46" t="s">
        <v>409</v>
      </c>
      <c r="E189" s="22" t="s">
        <v>7</v>
      </c>
      <c r="F189" s="6" t="s">
        <v>410</v>
      </c>
      <c r="G189" s="22">
        <v>1</v>
      </c>
      <c r="H189" s="23">
        <v>5.4</v>
      </c>
      <c r="I189" s="25">
        <f t="shared" si="12"/>
        <v>302.40000000000003</v>
      </c>
      <c r="J189" s="34">
        <f>H189*$Q$185*$Q$188</f>
        <v>373.19444628099177</v>
      </c>
      <c r="K189" s="35">
        <f>1120-1145</f>
        <v>-25</v>
      </c>
    </row>
    <row r="190" spans="1:12" ht="15.75" customHeight="1">
      <c r="A190" s="22" t="s">
        <v>371</v>
      </c>
      <c r="B190" s="22" t="s">
        <v>413</v>
      </c>
      <c r="D190" s="46" t="s">
        <v>414</v>
      </c>
      <c r="E190" s="22" t="s">
        <v>14</v>
      </c>
      <c r="F190" s="6" t="s">
        <v>184</v>
      </c>
      <c r="G190" s="22">
        <v>1</v>
      </c>
      <c r="H190" s="23">
        <v>3.99</v>
      </c>
      <c r="I190" s="25">
        <f t="shared" si="12"/>
        <v>223.44</v>
      </c>
      <c r="J190" s="34">
        <f>H190*$Q$185*$Q$188</f>
        <v>275.7492297520661</v>
      </c>
      <c r="K190" s="35">
        <f>2260-2894</f>
        <v>-634</v>
      </c>
      <c r="L190" s="8" t="s">
        <v>1246</v>
      </c>
    </row>
    <row r="191" spans="1:17" ht="15.75" customHeight="1">
      <c r="A191" s="20" t="s">
        <v>531</v>
      </c>
      <c r="B191" s="20" t="s">
        <v>532</v>
      </c>
      <c r="C191" s="20"/>
      <c r="D191" s="46" t="s">
        <v>533</v>
      </c>
      <c r="E191" s="20"/>
      <c r="F191" s="6" t="s">
        <v>534</v>
      </c>
      <c r="G191" s="22">
        <v>1</v>
      </c>
      <c r="H191" s="31">
        <v>5</v>
      </c>
      <c r="I191" s="25">
        <f t="shared" si="12"/>
        <v>280</v>
      </c>
      <c r="J191" s="25"/>
      <c r="K191" s="35">
        <f t="shared" si="13"/>
        <v>359.5504132231405</v>
      </c>
      <c r="L191" s="38"/>
      <c r="M191" s="38"/>
      <c r="N191" s="38"/>
      <c r="O191" s="38"/>
      <c r="P191" s="38"/>
      <c r="Q191" s="38"/>
    </row>
    <row r="192" spans="1:17" ht="15.75" customHeight="1">
      <c r="A192" s="20" t="s">
        <v>531</v>
      </c>
      <c r="B192" s="20" t="s">
        <v>535</v>
      </c>
      <c r="C192" s="20"/>
      <c r="D192" s="46" t="s">
        <v>536</v>
      </c>
      <c r="E192" s="20"/>
      <c r="F192" s="6" t="s">
        <v>537</v>
      </c>
      <c r="G192" s="22">
        <v>1</v>
      </c>
      <c r="H192" s="31">
        <v>5</v>
      </c>
      <c r="I192" s="25">
        <f t="shared" si="12"/>
        <v>280</v>
      </c>
      <c r="J192" s="25"/>
      <c r="K192" s="35">
        <f t="shared" si="13"/>
        <v>359.5504132231405</v>
      </c>
      <c r="L192" s="38"/>
      <c r="M192" s="38"/>
      <c r="N192" s="38"/>
      <c r="O192" s="38"/>
      <c r="P192" s="38"/>
      <c r="Q192" s="38"/>
    </row>
    <row r="193" spans="1:17" ht="15.75" customHeight="1">
      <c r="A193" s="22" t="s">
        <v>653</v>
      </c>
      <c r="B193" s="20" t="s">
        <v>532</v>
      </c>
      <c r="C193" s="20"/>
      <c r="D193" s="46" t="s">
        <v>533</v>
      </c>
      <c r="E193" s="20"/>
      <c r="F193" s="6" t="s">
        <v>534</v>
      </c>
      <c r="G193" s="22">
        <v>1</v>
      </c>
      <c r="H193" s="31">
        <v>5</v>
      </c>
      <c r="I193" s="25">
        <f t="shared" si="12"/>
        <v>280</v>
      </c>
      <c r="J193" s="25"/>
      <c r="K193" s="35">
        <f t="shared" si="13"/>
        <v>359.5504132231405</v>
      </c>
      <c r="L193" s="38"/>
      <c r="M193" s="38"/>
      <c r="N193" s="38"/>
      <c r="O193" s="38"/>
      <c r="P193" s="38"/>
      <c r="Q193" s="38"/>
    </row>
    <row r="194" spans="1:17" ht="15.75" customHeight="1">
      <c r="A194" s="22" t="s">
        <v>454</v>
      </c>
      <c r="B194" s="20" t="s">
        <v>535</v>
      </c>
      <c r="C194" s="20"/>
      <c r="D194" s="46" t="s">
        <v>536</v>
      </c>
      <c r="E194" s="20"/>
      <c r="F194" s="6" t="s">
        <v>537</v>
      </c>
      <c r="G194" s="22">
        <v>1</v>
      </c>
      <c r="H194" s="31">
        <v>5</v>
      </c>
      <c r="I194" s="25">
        <f t="shared" si="12"/>
        <v>280</v>
      </c>
      <c r="J194" s="25"/>
      <c r="K194" s="35">
        <f t="shared" si="13"/>
        <v>359.5504132231405</v>
      </c>
      <c r="L194" s="38"/>
      <c r="M194" s="38"/>
      <c r="N194" s="38"/>
      <c r="O194" s="38"/>
      <c r="P194" s="38"/>
      <c r="Q194" s="38"/>
    </row>
    <row r="195" spans="1:17" ht="15.75" customHeight="1">
      <c r="A195" s="20" t="s">
        <v>155</v>
      </c>
      <c r="B195" s="20" t="s">
        <v>539</v>
      </c>
      <c r="C195" s="20"/>
      <c r="D195" s="46" t="s">
        <v>540</v>
      </c>
      <c r="E195" s="20"/>
      <c r="F195" s="6" t="s">
        <v>541</v>
      </c>
      <c r="G195" s="22">
        <v>1</v>
      </c>
      <c r="H195" s="31">
        <v>5</v>
      </c>
      <c r="I195" s="25">
        <f t="shared" si="12"/>
        <v>280</v>
      </c>
      <c r="J195" s="25"/>
      <c r="K195" s="35">
        <f t="shared" si="13"/>
        <v>359.5504132231405</v>
      </c>
      <c r="L195" s="38"/>
      <c r="M195" s="38"/>
      <c r="N195" s="38"/>
      <c r="O195" s="38"/>
      <c r="P195" s="38"/>
      <c r="Q195" s="38"/>
    </row>
    <row r="196" spans="1:17" ht="15.75" customHeight="1">
      <c r="A196" s="20" t="s">
        <v>155</v>
      </c>
      <c r="B196" s="20" t="s">
        <v>542</v>
      </c>
      <c r="C196" s="20"/>
      <c r="D196" s="46" t="s">
        <v>543</v>
      </c>
      <c r="E196" s="20"/>
      <c r="F196" s="6" t="s">
        <v>544</v>
      </c>
      <c r="G196" s="22">
        <v>1</v>
      </c>
      <c r="H196" s="31">
        <v>5</v>
      </c>
      <c r="I196" s="25">
        <f t="shared" si="12"/>
        <v>280</v>
      </c>
      <c r="J196" s="25"/>
      <c r="K196" s="35">
        <f t="shared" si="13"/>
        <v>359.5504132231405</v>
      </c>
      <c r="L196" s="38"/>
      <c r="M196" s="38"/>
      <c r="N196" s="38"/>
      <c r="O196" s="38"/>
      <c r="P196" s="38"/>
      <c r="Q196" s="38"/>
    </row>
    <row r="197" spans="1:17" ht="15.75" customHeight="1">
      <c r="A197" s="22" t="s">
        <v>952</v>
      </c>
      <c r="B197" s="20" t="s">
        <v>539</v>
      </c>
      <c r="C197" s="20"/>
      <c r="D197" s="46" t="s">
        <v>540</v>
      </c>
      <c r="E197" s="20"/>
      <c r="F197" s="6" t="s">
        <v>541</v>
      </c>
      <c r="G197" s="22">
        <v>1</v>
      </c>
      <c r="H197" s="31">
        <v>5</v>
      </c>
      <c r="I197" s="25">
        <f t="shared" si="12"/>
        <v>280</v>
      </c>
      <c r="J197" s="25"/>
      <c r="K197" s="35">
        <f t="shared" si="13"/>
        <v>359.5504132231405</v>
      </c>
      <c r="L197" s="38"/>
      <c r="M197" s="38"/>
      <c r="N197" s="38"/>
      <c r="O197" s="38"/>
      <c r="P197" s="38"/>
      <c r="Q197" s="38"/>
    </row>
    <row r="198" spans="1:11" ht="15.75" customHeight="1">
      <c r="A198" s="22" t="s">
        <v>545</v>
      </c>
      <c r="B198" s="22" t="s">
        <v>546</v>
      </c>
      <c r="D198" s="46" t="s">
        <v>547</v>
      </c>
      <c r="E198" s="22" t="s">
        <v>548</v>
      </c>
      <c r="F198" s="6" t="s">
        <v>549</v>
      </c>
      <c r="G198" s="22">
        <v>1</v>
      </c>
      <c r="H198" s="23">
        <v>27</v>
      </c>
      <c r="I198" s="25">
        <f t="shared" si="12"/>
        <v>1512</v>
      </c>
      <c r="J198" s="34">
        <f>H198*$Q$185*$Q$188</f>
        <v>1865.9722314049586</v>
      </c>
      <c r="K198" s="35"/>
    </row>
    <row r="199" spans="1:11" ht="15.75" customHeight="1">
      <c r="A199" s="22" t="s">
        <v>545</v>
      </c>
      <c r="B199" s="22" t="s">
        <v>550</v>
      </c>
      <c r="D199" s="46" t="s">
        <v>551</v>
      </c>
      <c r="E199" s="22" t="s">
        <v>12</v>
      </c>
      <c r="F199" s="6" t="s">
        <v>549</v>
      </c>
      <c r="G199" s="22">
        <v>1</v>
      </c>
      <c r="H199" s="23">
        <v>11.99</v>
      </c>
      <c r="I199" s="25">
        <f t="shared" si="12"/>
        <v>671.44</v>
      </c>
      <c r="J199" s="34">
        <f>H199*$Q$185*$Q$188</f>
        <v>828.629890909091</v>
      </c>
      <c r="K199" s="35">
        <f>2695-2750</f>
        <v>-55</v>
      </c>
    </row>
    <row r="200" spans="1:12" ht="15.75" customHeight="1">
      <c r="A200" s="22" t="s">
        <v>292</v>
      </c>
      <c r="B200" s="22" t="s">
        <v>552</v>
      </c>
      <c r="D200" s="46" t="s">
        <v>553</v>
      </c>
      <c r="E200" s="6" t="s">
        <v>554</v>
      </c>
      <c r="F200" s="6" t="s">
        <v>29</v>
      </c>
      <c r="G200" s="22">
        <v>1</v>
      </c>
      <c r="H200" s="23">
        <v>24.75</v>
      </c>
      <c r="I200" s="25">
        <f t="shared" si="12"/>
        <v>1386</v>
      </c>
      <c r="J200" s="25"/>
      <c r="K200" s="35">
        <f t="shared" si="13"/>
        <v>1779.7745454545454</v>
      </c>
      <c r="L200" s="43" t="s">
        <v>555</v>
      </c>
    </row>
    <row r="201" spans="1:11" ht="30" customHeight="1">
      <c r="A201" s="22" t="s">
        <v>91</v>
      </c>
      <c r="B201" s="22" t="s">
        <v>556</v>
      </c>
      <c r="D201" s="46" t="s">
        <v>557</v>
      </c>
      <c r="E201" s="6" t="s">
        <v>273</v>
      </c>
      <c r="F201" s="6" t="s">
        <v>558</v>
      </c>
      <c r="G201" s="22">
        <v>1</v>
      </c>
      <c r="H201" s="23">
        <v>24.74</v>
      </c>
      <c r="I201" s="25">
        <f t="shared" si="12"/>
        <v>1385.4399999999998</v>
      </c>
      <c r="J201" s="25"/>
      <c r="K201" s="35">
        <f t="shared" si="13"/>
        <v>1779.055444628099</v>
      </c>
    </row>
    <row r="202" spans="1:11" ht="15.75" customHeight="1">
      <c r="A202" s="22" t="s">
        <v>91</v>
      </c>
      <c r="B202" s="22" t="s">
        <v>559</v>
      </c>
      <c r="D202" s="46" t="s">
        <v>560</v>
      </c>
      <c r="E202" s="22" t="s">
        <v>12</v>
      </c>
      <c r="F202" s="6" t="s">
        <v>561</v>
      </c>
      <c r="G202" s="22">
        <v>1</v>
      </c>
      <c r="H202" s="23">
        <v>6.74</v>
      </c>
      <c r="I202" s="25">
        <f t="shared" si="12"/>
        <v>377.44</v>
      </c>
      <c r="J202" s="25"/>
      <c r="K202" s="35">
        <f t="shared" si="13"/>
        <v>484.67395702479337</v>
      </c>
    </row>
    <row r="203" spans="1:11" ht="15.75" customHeight="1">
      <c r="A203" s="22" t="s">
        <v>107</v>
      </c>
      <c r="B203" s="22" t="s">
        <v>562</v>
      </c>
      <c r="D203" s="46" t="s">
        <v>563</v>
      </c>
      <c r="E203" s="22" t="s">
        <v>27</v>
      </c>
      <c r="F203" s="6" t="s">
        <v>434</v>
      </c>
      <c r="G203" s="22">
        <v>1</v>
      </c>
      <c r="H203" s="23">
        <v>39.99</v>
      </c>
      <c r="I203" s="25">
        <f t="shared" si="12"/>
        <v>2239.44</v>
      </c>
      <c r="J203" s="34">
        <f>H203*$Q$185*$Q$188</f>
        <v>2763.712204958678</v>
      </c>
      <c r="K203" s="35">
        <f>J203-2930</f>
        <v>-166.28779504132217</v>
      </c>
    </row>
    <row r="204" spans="1:11" ht="15.75" customHeight="1">
      <c r="A204" s="22" t="s">
        <v>564</v>
      </c>
      <c r="B204" s="22" t="s">
        <v>565</v>
      </c>
      <c r="D204" s="46" t="s">
        <v>566</v>
      </c>
      <c r="E204" s="22" t="s">
        <v>12</v>
      </c>
      <c r="F204" s="6" t="s">
        <v>567</v>
      </c>
      <c r="G204" s="22">
        <v>1</v>
      </c>
      <c r="H204" s="23">
        <v>3.99</v>
      </c>
      <c r="I204" s="25">
        <f t="shared" si="12"/>
        <v>223.44</v>
      </c>
      <c r="J204" s="25"/>
      <c r="K204" s="35">
        <f t="shared" si="13"/>
        <v>286.9212297520661</v>
      </c>
    </row>
    <row r="205" spans="1:11" ht="15.75" customHeight="1">
      <c r="A205" s="22" t="s">
        <v>564</v>
      </c>
      <c r="B205" s="22" t="s">
        <v>565</v>
      </c>
      <c r="D205" s="46" t="s">
        <v>566</v>
      </c>
      <c r="E205" s="22" t="s">
        <v>12</v>
      </c>
      <c r="F205" s="6" t="s">
        <v>232</v>
      </c>
      <c r="G205" s="22">
        <v>1</v>
      </c>
      <c r="H205" s="23">
        <v>3.99</v>
      </c>
      <c r="I205" s="25">
        <f t="shared" si="12"/>
        <v>223.44</v>
      </c>
      <c r="J205" s="25"/>
      <c r="K205" s="35">
        <f t="shared" si="13"/>
        <v>286.9212297520661</v>
      </c>
    </row>
    <row r="206" spans="1:11" ht="15.75" customHeight="1">
      <c r="A206" s="22" t="s">
        <v>564</v>
      </c>
      <c r="B206" s="22" t="s">
        <v>565</v>
      </c>
      <c r="D206" s="46" t="s">
        <v>566</v>
      </c>
      <c r="E206" s="22" t="s">
        <v>12</v>
      </c>
      <c r="F206" s="6" t="s">
        <v>568</v>
      </c>
      <c r="G206" s="22">
        <v>1</v>
      </c>
      <c r="H206" s="23">
        <v>3.99</v>
      </c>
      <c r="I206" s="25">
        <f t="shared" si="12"/>
        <v>223.44</v>
      </c>
      <c r="J206" s="25"/>
      <c r="K206" s="35">
        <f t="shared" si="13"/>
        <v>286.9212297520661</v>
      </c>
    </row>
    <row r="207" spans="1:11" ht="15.75">
      <c r="A207" s="22" t="s">
        <v>569</v>
      </c>
      <c r="B207" s="22" t="s">
        <v>570</v>
      </c>
      <c r="D207" s="46" t="s">
        <v>571</v>
      </c>
      <c r="E207" s="22" t="s">
        <v>12</v>
      </c>
      <c r="F207" s="6" t="s">
        <v>572</v>
      </c>
      <c r="G207" s="22">
        <v>1</v>
      </c>
      <c r="H207" s="23">
        <v>14.5</v>
      </c>
      <c r="I207" s="25">
        <f t="shared" si="12"/>
        <v>812</v>
      </c>
      <c r="J207" s="25"/>
      <c r="K207" s="59"/>
    </row>
    <row r="208" spans="1:12" ht="15.75">
      <c r="A208" s="22" t="s">
        <v>569</v>
      </c>
      <c r="B208" s="22" t="s">
        <v>573</v>
      </c>
      <c r="D208" s="46" t="s">
        <v>574</v>
      </c>
      <c r="E208" s="22" t="s">
        <v>12</v>
      </c>
      <c r="F208" s="6" t="s">
        <v>18</v>
      </c>
      <c r="G208" s="22">
        <v>1</v>
      </c>
      <c r="H208" s="23">
        <v>15.75</v>
      </c>
      <c r="I208" s="25">
        <f t="shared" si="12"/>
        <v>882</v>
      </c>
      <c r="J208" s="25"/>
      <c r="K208" s="35">
        <f>2091-2128</f>
        <v>-37</v>
      </c>
      <c r="L208" s="43" t="s">
        <v>575</v>
      </c>
    </row>
    <row r="209" spans="1:11" ht="15.75" customHeight="1">
      <c r="A209" s="22" t="s">
        <v>576</v>
      </c>
      <c r="B209" s="22" t="s">
        <v>577</v>
      </c>
      <c r="D209" s="46" t="s">
        <v>256</v>
      </c>
      <c r="E209" s="6" t="s">
        <v>257</v>
      </c>
      <c r="F209" s="6" t="s">
        <v>578</v>
      </c>
      <c r="G209" s="22">
        <v>1</v>
      </c>
      <c r="H209" s="23">
        <v>7.49</v>
      </c>
      <c r="I209" s="25">
        <f t="shared" si="12"/>
        <v>419.44</v>
      </c>
      <c r="J209" s="34">
        <f>H209*$Q$185*$Q$188</f>
        <v>517.6345190082645</v>
      </c>
      <c r="K209" s="35">
        <f>J209-520</f>
        <v>-2.365480991735467</v>
      </c>
    </row>
    <row r="210" spans="1:11" ht="15.75" customHeight="1">
      <c r="A210" s="22" t="s">
        <v>223</v>
      </c>
      <c r="B210" s="22" t="s">
        <v>579</v>
      </c>
      <c r="D210" s="46" t="s">
        <v>580</v>
      </c>
      <c r="E210" s="22" t="s">
        <v>13</v>
      </c>
      <c r="F210" s="6" t="s">
        <v>581</v>
      </c>
      <c r="G210" s="22">
        <v>1</v>
      </c>
      <c r="H210" s="23">
        <v>18.75</v>
      </c>
      <c r="I210" s="25">
        <f t="shared" si="12"/>
        <v>1050</v>
      </c>
      <c r="J210" s="25"/>
      <c r="K210" s="35">
        <f t="shared" si="13"/>
        <v>1348.314049586777</v>
      </c>
    </row>
    <row r="211" spans="1:11" ht="15.75" customHeight="1">
      <c r="A211" s="22" t="s">
        <v>223</v>
      </c>
      <c r="B211" s="22" t="s">
        <v>582</v>
      </c>
      <c r="D211" s="46" t="s">
        <v>583</v>
      </c>
      <c r="E211" s="22" t="s">
        <v>13</v>
      </c>
      <c r="F211" s="6" t="s">
        <v>581</v>
      </c>
      <c r="G211" s="22">
        <v>1</v>
      </c>
      <c r="H211" s="23">
        <v>26.25</v>
      </c>
      <c r="I211" s="25">
        <f t="shared" si="12"/>
        <v>1470</v>
      </c>
      <c r="J211" s="25"/>
      <c r="K211" s="35">
        <f t="shared" si="13"/>
        <v>1887.6396694214873</v>
      </c>
    </row>
    <row r="212" spans="1:11" ht="15.75" customHeight="1">
      <c r="A212" s="22" t="s">
        <v>350</v>
      </c>
      <c r="B212" s="22" t="s">
        <v>584</v>
      </c>
      <c r="D212" s="46" t="s">
        <v>585</v>
      </c>
      <c r="E212" s="22" t="s">
        <v>12</v>
      </c>
      <c r="F212" s="6" t="s">
        <v>586</v>
      </c>
      <c r="G212" s="22">
        <v>1</v>
      </c>
      <c r="H212" s="23">
        <v>5.24</v>
      </c>
      <c r="I212" s="25">
        <f t="shared" si="12"/>
        <v>293.44</v>
      </c>
      <c r="J212" s="25"/>
      <c r="K212" s="35">
        <f>H212*$Q$186*$Q$188</f>
        <v>376.8088330578512</v>
      </c>
    </row>
    <row r="213" spans="1:11" ht="15.75" customHeight="1">
      <c r="A213" s="22" t="s">
        <v>809</v>
      </c>
      <c r="B213" s="22" t="s">
        <v>584</v>
      </c>
      <c r="D213" s="46" t="s">
        <v>585</v>
      </c>
      <c r="E213" s="22" t="s">
        <v>7</v>
      </c>
      <c r="F213" s="6" t="s">
        <v>587</v>
      </c>
      <c r="G213" s="22">
        <v>1</v>
      </c>
      <c r="H213" s="23">
        <v>5.24</v>
      </c>
      <c r="I213" s="25">
        <f t="shared" si="12"/>
        <v>293.44</v>
      </c>
      <c r="J213" s="25"/>
      <c r="K213" s="35">
        <f>H213*$Q$186*$Q$188</f>
        <v>376.8088330578512</v>
      </c>
    </row>
    <row r="214" spans="1:11" ht="15.75" customHeight="1">
      <c r="A214" s="22" t="s">
        <v>538</v>
      </c>
      <c r="B214" s="22" t="s">
        <v>588</v>
      </c>
      <c r="D214" s="46" t="s">
        <v>589</v>
      </c>
      <c r="F214" s="6" t="s">
        <v>590</v>
      </c>
      <c r="G214" s="22">
        <v>1</v>
      </c>
      <c r="H214" s="23">
        <v>3</v>
      </c>
      <c r="I214" s="25">
        <f t="shared" si="12"/>
        <v>168</v>
      </c>
      <c r="J214" s="25"/>
      <c r="K214" s="35">
        <f>H214*$Q$186*$Q$188</f>
        <v>215.73024793388427</v>
      </c>
    </row>
    <row r="215" spans="1:11" ht="15.75" customHeight="1">
      <c r="A215" s="22" t="s">
        <v>538</v>
      </c>
      <c r="B215" s="22" t="s">
        <v>565</v>
      </c>
      <c r="D215" s="46" t="s">
        <v>566</v>
      </c>
      <c r="E215" s="22" t="s">
        <v>12</v>
      </c>
      <c r="F215" s="6" t="s">
        <v>567</v>
      </c>
      <c r="G215" s="22">
        <v>1</v>
      </c>
      <c r="H215" s="23">
        <v>3.99</v>
      </c>
      <c r="I215" s="25">
        <f t="shared" si="12"/>
        <v>223.44</v>
      </c>
      <c r="J215" s="25"/>
      <c r="K215" s="35">
        <f>H215*$Q$186*$Q$188</f>
        <v>286.9212297520661</v>
      </c>
    </row>
    <row r="216" ht="15" customHeight="1">
      <c r="A216" s="22">
        <v>1</v>
      </c>
    </row>
    <row r="217" spans="1:10" ht="15.75" customHeight="1">
      <c r="A217" s="30" t="s">
        <v>371</v>
      </c>
      <c r="B217" s="30" t="s">
        <v>415</v>
      </c>
      <c r="C217" s="30"/>
      <c r="D217" s="43" t="s">
        <v>416</v>
      </c>
      <c r="E217" s="30" t="s">
        <v>14</v>
      </c>
      <c r="F217" s="43" t="s">
        <v>417</v>
      </c>
      <c r="G217" s="30">
        <v>1</v>
      </c>
      <c r="H217" s="28">
        <v>3.99</v>
      </c>
      <c r="I217" s="28" t="s">
        <v>205</v>
      </c>
      <c r="J217" s="30"/>
    </row>
    <row r="218" spans="1:10" ht="15.75" customHeight="1">
      <c r="A218" s="30" t="s">
        <v>371</v>
      </c>
      <c r="B218" s="30" t="s">
        <v>418</v>
      </c>
      <c r="C218" s="30"/>
      <c r="D218" s="43" t="s">
        <v>419</v>
      </c>
      <c r="E218" s="30" t="s">
        <v>14</v>
      </c>
      <c r="F218" s="43" t="s">
        <v>175</v>
      </c>
      <c r="G218" s="30">
        <v>1</v>
      </c>
      <c r="H218" s="28">
        <v>3.99</v>
      </c>
      <c r="I218" s="28" t="s">
        <v>205</v>
      </c>
      <c r="J218" s="30"/>
    </row>
    <row r="219" spans="1:10" ht="15.75" customHeight="1">
      <c r="A219" s="30" t="s">
        <v>244</v>
      </c>
      <c r="B219" s="30" t="s">
        <v>290</v>
      </c>
      <c r="C219" s="30"/>
      <c r="D219" s="43" t="s">
        <v>423</v>
      </c>
      <c r="E219" s="30" t="s">
        <v>14</v>
      </c>
      <c r="F219" s="43" t="s">
        <v>424</v>
      </c>
      <c r="G219" s="30">
        <v>1</v>
      </c>
      <c r="H219" s="28">
        <v>3.99</v>
      </c>
      <c r="I219" s="28" t="s">
        <v>205</v>
      </c>
      <c r="J219" s="30"/>
    </row>
    <row r="220" spans="1:10" ht="15.75" customHeight="1">
      <c r="A220" s="30" t="s">
        <v>297</v>
      </c>
      <c r="B220" s="60" t="s">
        <v>425</v>
      </c>
      <c r="C220" s="30"/>
      <c r="D220" s="43" t="s">
        <v>426</v>
      </c>
      <c r="E220" s="30" t="s">
        <v>12</v>
      </c>
      <c r="F220" s="30" t="s">
        <v>18</v>
      </c>
      <c r="G220" s="30">
        <v>1</v>
      </c>
      <c r="H220" s="28">
        <v>3.99</v>
      </c>
      <c r="I220" s="28" t="s">
        <v>205</v>
      </c>
      <c r="J220" s="30"/>
    </row>
    <row r="221" spans="1:10" ht="15.75" customHeight="1">
      <c r="A221" s="30" t="s">
        <v>213</v>
      </c>
      <c r="B221" s="30" t="s">
        <v>95</v>
      </c>
      <c r="C221" s="30"/>
      <c r="D221" s="43" t="s">
        <v>53</v>
      </c>
      <c r="E221" s="30" t="s">
        <v>12</v>
      </c>
      <c r="F221" s="60" t="s">
        <v>218</v>
      </c>
      <c r="G221" s="30">
        <v>1</v>
      </c>
      <c r="H221" s="28">
        <v>3.99</v>
      </c>
      <c r="I221" s="28" t="s">
        <v>205</v>
      </c>
      <c r="J221" s="30"/>
    </row>
    <row r="222" spans="1:10" ht="15.75" customHeight="1">
      <c r="A222" s="30" t="s">
        <v>244</v>
      </c>
      <c r="B222" s="30" t="s">
        <v>291</v>
      </c>
      <c r="C222" s="30"/>
      <c r="D222" s="43" t="s">
        <v>411</v>
      </c>
      <c r="E222" s="30" t="s">
        <v>14</v>
      </c>
      <c r="F222" s="43" t="s">
        <v>412</v>
      </c>
      <c r="G222" s="30">
        <v>1</v>
      </c>
      <c r="H222" s="28">
        <v>3.99</v>
      </c>
      <c r="I222" s="28" t="s">
        <v>205</v>
      </c>
      <c r="J222" s="30"/>
    </row>
    <row r="223" spans="1:10" ht="15.75" customHeight="1">
      <c r="A223" s="30" t="s">
        <v>259</v>
      </c>
      <c r="B223" s="30" t="s">
        <v>592</v>
      </c>
      <c r="C223" s="30"/>
      <c r="D223" s="43" t="s">
        <v>400</v>
      </c>
      <c r="E223" s="30" t="s">
        <v>7</v>
      </c>
      <c r="F223" s="43" t="s">
        <v>401</v>
      </c>
      <c r="G223" s="30">
        <v>1</v>
      </c>
      <c r="H223" s="28">
        <v>5.4</v>
      </c>
      <c r="I223" s="28" t="s">
        <v>205</v>
      </c>
      <c r="J223" s="30"/>
    </row>
    <row r="224" spans="1:10" ht="45" customHeight="1">
      <c r="A224" s="30" t="s">
        <v>329</v>
      </c>
      <c r="B224" s="30" t="s">
        <v>518</v>
      </c>
      <c r="C224" s="30"/>
      <c r="D224" s="43" t="s">
        <v>519</v>
      </c>
      <c r="E224" s="30" t="s">
        <v>427</v>
      </c>
      <c r="F224" s="61" t="s">
        <v>520</v>
      </c>
      <c r="G224" s="30">
        <v>1</v>
      </c>
      <c r="H224" s="28">
        <v>11</v>
      </c>
      <c r="I224" s="28" t="s">
        <v>205</v>
      </c>
      <c r="J224" s="30"/>
    </row>
    <row r="225" spans="1:10" ht="15.75" customHeight="1">
      <c r="A225" s="30" t="s">
        <v>510</v>
      </c>
      <c r="B225" s="30" t="s">
        <v>511</v>
      </c>
      <c r="C225" s="30"/>
      <c r="D225" s="43" t="s">
        <v>512</v>
      </c>
      <c r="E225" s="30" t="s">
        <v>513</v>
      </c>
      <c r="F225" s="43" t="s">
        <v>514</v>
      </c>
      <c r="G225" s="30">
        <v>1</v>
      </c>
      <c r="H225" s="28">
        <v>49</v>
      </c>
      <c r="I225" s="28" t="s">
        <v>205</v>
      </c>
      <c r="J225" s="30"/>
    </row>
    <row r="226" spans="1:10" ht="15.75" customHeight="1">
      <c r="A226" s="38" t="s">
        <v>115</v>
      </c>
      <c r="B226" s="30" t="s">
        <v>395</v>
      </c>
      <c r="C226" s="30"/>
      <c r="D226" s="43" t="s">
        <v>396</v>
      </c>
      <c r="E226" s="60" t="s">
        <v>193</v>
      </c>
      <c r="F226" s="43" t="s">
        <v>397</v>
      </c>
      <c r="G226" s="30">
        <v>1</v>
      </c>
      <c r="H226" s="28">
        <v>27.99</v>
      </c>
      <c r="I226" s="28" t="s">
        <v>205</v>
      </c>
      <c r="J226" s="30"/>
    </row>
    <row r="227" spans="1:10" ht="15.75" customHeight="1">
      <c r="A227" s="30" t="s">
        <v>98</v>
      </c>
      <c r="B227" s="30" t="s">
        <v>208</v>
      </c>
      <c r="C227" s="30"/>
      <c r="D227" s="43" t="s">
        <v>209</v>
      </c>
      <c r="E227" s="30" t="s">
        <v>7</v>
      </c>
      <c r="F227" s="43" t="s">
        <v>210</v>
      </c>
      <c r="G227" s="30">
        <v>1</v>
      </c>
      <c r="H227" s="28">
        <v>3.99</v>
      </c>
      <c r="I227" s="28" t="s">
        <v>205</v>
      </c>
      <c r="J227" s="30"/>
    </row>
    <row r="228" spans="1:10" ht="30" customHeight="1">
      <c r="A228" s="30" t="s">
        <v>329</v>
      </c>
      <c r="B228" s="30" t="s">
        <v>515</v>
      </c>
      <c r="C228" s="30"/>
      <c r="D228" s="43" t="s">
        <v>516</v>
      </c>
      <c r="E228" s="30" t="s">
        <v>273</v>
      </c>
      <c r="F228" s="43" t="s">
        <v>517</v>
      </c>
      <c r="G228" s="30">
        <v>1</v>
      </c>
      <c r="H228" s="28">
        <v>48</v>
      </c>
      <c r="I228" s="28" t="s">
        <v>205</v>
      </c>
      <c r="J228" s="30"/>
    </row>
    <row r="229" spans="1:10" ht="15" customHeight="1">
      <c r="A229" s="30" t="s">
        <v>83</v>
      </c>
      <c r="B229" s="30" t="s">
        <v>312</v>
      </c>
      <c r="C229" s="30"/>
      <c r="D229" s="30"/>
      <c r="E229" s="30"/>
      <c r="F229" s="30"/>
      <c r="G229" s="30">
        <v>1</v>
      </c>
      <c r="H229" s="28">
        <v>5.99</v>
      </c>
      <c r="I229" s="28" t="s">
        <v>205</v>
      </c>
      <c r="J229" s="30"/>
    </row>
    <row r="230" ht="15" customHeight="1">
      <c r="A230" s="22">
        <v>1</v>
      </c>
    </row>
    <row r="231" ht="15" customHeight="1">
      <c r="A231" s="22">
        <v>1</v>
      </c>
    </row>
    <row r="232" ht="15" customHeight="1">
      <c r="A232" s="22">
        <v>1</v>
      </c>
    </row>
    <row r="233" ht="15" customHeight="1">
      <c r="A233" s="22">
        <v>1</v>
      </c>
    </row>
    <row r="234" ht="15" customHeight="1">
      <c r="A234" s="22">
        <v>1</v>
      </c>
    </row>
    <row r="235" ht="15" customHeight="1">
      <c r="A235" s="22">
        <v>1</v>
      </c>
    </row>
    <row r="236" ht="15" customHeight="1">
      <c r="A236" s="22">
        <v>1</v>
      </c>
    </row>
    <row r="237" ht="15" customHeight="1">
      <c r="A237" s="22">
        <v>1</v>
      </c>
    </row>
    <row r="238" spans="1:6" ht="15.75" customHeight="1" thickBot="1">
      <c r="A238" s="26" t="s">
        <v>593</v>
      </c>
      <c r="F238" s="27" t="s">
        <v>731</v>
      </c>
    </row>
    <row r="239" spans="1:17" ht="15.75" customHeight="1">
      <c r="A239" s="22" t="s">
        <v>594</v>
      </c>
      <c r="B239" s="22" t="s">
        <v>595</v>
      </c>
      <c r="E239" s="22" t="s">
        <v>12</v>
      </c>
      <c r="F239" s="6" t="s">
        <v>596</v>
      </c>
      <c r="G239" s="22">
        <v>1</v>
      </c>
      <c r="H239" s="23">
        <v>9.74</v>
      </c>
      <c r="I239" s="25">
        <f aca="true" t="shared" si="14" ref="I239:I267">H239*$Q$245</f>
        <v>535.7</v>
      </c>
      <c r="J239" s="34">
        <f aca="true" t="shared" si="15" ref="J239:J267">H239*$Q$242*$Q$245</f>
        <v>641.8760104579878</v>
      </c>
      <c r="K239" s="35"/>
      <c r="P239" s="16" t="s">
        <v>19</v>
      </c>
      <c r="Q239" s="13">
        <f>SUM(H239:H267)</f>
        <v>499.14000000000004</v>
      </c>
    </row>
    <row r="240" spans="1:17" ht="15.75" customHeight="1">
      <c r="A240" s="22" t="s">
        <v>594</v>
      </c>
      <c r="B240" s="22" t="s">
        <v>595</v>
      </c>
      <c r="E240" s="22" t="s">
        <v>163</v>
      </c>
      <c r="F240" s="6" t="s">
        <v>596</v>
      </c>
      <c r="G240" s="22">
        <v>1</v>
      </c>
      <c r="H240" s="23">
        <v>27</v>
      </c>
      <c r="I240" s="25">
        <f t="shared" si="14"/>
        <v>1485</v>
      </c>
      <c r="J240" s="34">
        <f t="shared" si="15"/>
        <v>1779.327749729535</v>
      </c>
      <c r="K240" s="35"/>
      <c r="P240" s="17" t="s">
        <v>15</v>
      </c>
      <c r="Q240" s="9">
        <v>63.99</v>
      </c>
    </row>
    <row r="241" spans="1:17" ht="15.75" customHeight="1">
      <c r="A241" s="22" t="s">
        <v>597</v>
      </c>
      <c r="B241" s="22" t="s">
        <v>224</v>
      </c>
      <c r="E241" s="22" t="s">
        <v>7</v>
      </c>
      <c r="F241" s="6" t="s">
        <v>598</v>
      </c>
      <c r="G241" s="22">
        <v>1</v>
      </c>
      <c r="H241" s="23">
        <v>7.49</v>
      </c>
      <c r="I241" s="25">
        <f t="shared" si="14"/>
        <v>411.95</v>
      </c>
      <c r="J241" s="34">
        <f t="shared" si="15"/>
        <v>493.5986979805266</v>
      </c>
      <c r="K241" s="35"/>
      <c r="P241" s="18" t="s">
        <v>111</v>
      </c>
      <c r="Q241" s="56">
        <f>Q240/Q239</f>
        <v>0.1282005048683736</v>
      </c>
    </row>
    <row r="242" spans="1:17" ht="15.75" customHeight="1">
      <c r="A242" s="22" t="s">
        <v>599</v>
      </c>
      <c r="B242" s="22" t="s">
        <v>600</v>
      </c>
      <c r="E242" s="22" t="s">
        <v>554</v>
      </c>
      <c r="F242" s="6" t="s">
        <v>601</v>
      </c>
      <c r="G242" s="22">
        <v>1</v>
      </c>
      <c r="H242" s="23">
        <v>29.99</v>
      </c>
      <c r="I242" s="25">
        <f t="shared" si="14"/>
        <v>1649.4499999999998</v>
      </c>
      <c r="J242" s="25"/>
      <c r="K242" s="35">
        <f>H242*$Q$243*$Q$245</f>
        <v>2058.844322755139</v>
      </c>
      <c r="P242" s="17" t="s">
        <v>16</v>
      </c>
      <c r="Q242" s="10">
        <f>1+Q240/Q239+0.07</f>
        <v>1.1982005048683737</v>
      </c>
    </row>
    <row r="243" spans="1:17" ht="15.75" customHeight="1">
      <c r="A243" s="22" t="s">
        <v>602</v>
      </c>
      <c r="B243" s="22" t="s">
        <v>603</v>
      </c>
      <c r="E243" s="22" t="s">
        <v>12</v>
      </c>
      <c r="F243" s="6" t="s">
        <v>596</v>
      </c>
      <c r="G243" s="22">
        <v>1</v>
      </c>
      <c r="H243" s="23">
        <v>9.74</v>
      </c>
      <c r="I243" s="25">
        <f t="shared" si="14"/>
        <v>535.7</v>
      </c>
      <c r="J243" s="34">
        <f t="shared" si="15"/>
        <v>641.8760104579878</v>
      </c>
      <c r="K243" s="35"/>
      <c r="P243" s="17" t="s">
        <v>16</v>
      </c>
      <c r="Q243" s="10">
        <f>1+Q240/Q239+0.12</f>
        <v>1.2482005048683735</v>
      </c>
    </row>
    <row r="244" spans="1:17" ht="15.75" customHeight="1">
      <c r="A244" s="22" t="s">
        <v>602</v>
      </c>
      <c r="B244" s="22" t="s">
        <v>604</v>
      </c>
      <c r="E244" s="22" t="s">
        <v>12</v>
      </c>
      <c r="F244" s="6" t="s">
        <v>596</v>
      </c>
      <c r="G244" s="22">
        <v>1</v>
      </c>
      <c r="H244" s="23">
        <v>11.24</v>
      </c>
      <c r="I244" s="25">
        <f t="shared" si="14"/>
        <v>618.2</v>
      </c>
      <c r="J244" s="34">
        <f t="shared" si="15"/>
        <v>740.7275521096286</v>
      </c>
      <c r="K244" s="35">
        <f>1383-1484</f>
        <v>-101</v>
      </c>
      <c r="P244" s="18"/>
      <c r="Q244" s="10"/>
    </row>
    <row r="245" spans="1:17" ht="16.5" customHeight="1" thickBot="1">
      <c r="A245" s="22" t="s">
        <v>93</v>
      </c>
      <c r="B245" s="22" t="s">
        <v>605</v>
      </c>
      <c r="E245" s="22" t="s">
        <v>134</v>
      </c>
      <c r="F245" s="6" t="s">
        <v>606</v>
      </c>
      <c r="G245" s="22">
        <v>1</v>
      </c>
      <c r="H245" s="23">
        <v>9.99</v>
      </c>
      <c r="I245" s="25">
        <f t="shared" si="14"/>
        <v>549.45</v>
      </c>
      <c r="J245" s="34">
        <f t="shared" si="15"/>
        <v>658.351267399928</v>
      </c>
      <c r="K245" s="35"/>
      <c r="P245" s="33" t="s">
        <v>732</v>
      </c>
      <c r="Q245" s="12">
        <v>55</v>
      </c>
    </row>
    <row r="246" spans="1:11" ht="15.75" customHeight="1">
      <c r="A246" s="22" t="s">
        <v>576</v>
      </c>
      <c r="B246" s="22" t="s">
        <v>607</v>
      </c>
      <c r="E246" s="22" t="s">
        <v>11</v>
      </c>
      <c r="F246" s="6" t="s">
        <v>608</v>
      </c>
      <c r="G246" s="22">
        <v>1</v>
      </c>
      <c r="H246" s="23">
        <v>9.99</v>
      </c>
      <c r="I246" s="25">
        <f t="shared" si="14"/>
        <v>549.45</v>
      </c>
      <c r="J246" s="34">
        <f t="shared" si="15"/>
        <v>658.351267399928</v>
      </c>
      <c r="K246" s="35"/>
    </row>
    <row r="247" spans="1:11" ht="15.75" customHeight="1">
      <c r="A247" s="22" t="s">
        <v>609</v>
      </c>
      <c r="B247" s="22" t="s">
        <v>610</v>
      </c>
      <c r="E247" s="22" t="s">
        <v>12</v>
      </c>
      <c r="F247" s="6" t="s">
        <v>611</v>
      </c>
      <c r="G247" s="22">
        <v>1</v>
      </c>
      <c r="H247" s="23">
        <v>17.25</v>
      </c>
      <c r="I247" s="25">
        <f t="shared" si="14"/>
        <v>948.75</v>
      </c>
      <c r="J247" s="25"/>
      <c r="K247" s="35">
        <f>H247*$Q$243*$Q$245</f>
        <v>1184.2302289938693</v>
      </c>
    </row>
    <row r="248" spans="1:11" ht="15.75" customHeight="1">
      <c r="A248" s="22" t="s">
        <v>609</v>
      </c>
      <c r="B248" s="22" t="s">
        <v>610</v>
      </c>
      <c r="E248" s="22" t="s">
        <v>13</v>
      </c>
      <c r="F248" s="6" t="s">
        <v>611</v>
      </c>
      <c r="G248" s="22">
        <v>1</v>
      </c>
      <c r="H248" s="23">
        <v>17.25</v>
      </c>
      <c r="I248" s="25">
        <f t="shared" si="14"/>
        <v>948.75</v>
      </c>
      <c r="J248" s="25"/>
      <c r="K248" s="35">
        <f>H248*$Q$243*$Q$245</f>
        <v>1184.2302289938693</v>
      </c>
    </row>
    <row r="249" spans="1:11" ht="15.75" customHeight="1">
      <c r="A249" s="22" t="s">
        <v>609</v>
      </c>
      <c r="B249" s="22" t="s">
        <v>610</v>
      </c>
      <c r="E249" s="22" t="s">
        <v>12</v>
      </c>
      <c r="F249" s="6" t="s">
        <v>611</v>
      </c>
      <c r="G249" s="22">
        <v>1</v>
      </c>
      <c r="H249" s="23">
        <v>27</v>
      </c>
      <c r="I249" s="25">
        <f t="shared" si="14"/>
        <v>1485</v>
      </c>
      <c r="J249" s="25"/>
      <c r="K249" s="35">
        <f>H249*$Q$243*$Q$245</f>
        <v>1853.5777497295348</v>
      </c>
    </row>
    <row r="250" spans="1:11" ht="15.75" customHeight="1">
      <c r="A250" s="22" t="s">
        <v>609</v>
      </c>
      <c r="B250" s="22" t="s">
        <v>610</v>
      </c>
      <c r="E250" s="22" t="s">
        <v>14</v>
      </c>
      <c r="F250" s="6" t="s">
        <v>611</v>
      </c>
      <c r="G250" s="22">
        <v>1</v>
      </c>
      <c r="H250" s="23">
        <v>27</v>
      </c>
      <c r="I250" s="25">
        <f t="shared" si="14"/>
        <v>1485</v>
      </c>
      <c r="J250" s="25"/>
      <c r="K250" s="35">
        <f>H250*$Q$243*$Q$245</f>
        <v>1853.5777497295348</v>
      </c>
    </row>
    <row r="251" spans="1:11" ht="15.75" customHeight="1">
      <c r="A251" s="22" t="s">
        <v>594</v>
      </c>
      <c r="B251" s="22" t="s">
        <v>612</v>
      </c>
      <c r="E251" s="22" t="s">
        <v>134</v>
      </c>
      <c r="F251" s="6" t="s">
        <v>613</v>
      </c>
      <c r="G251" s="22">
        <v>1</v>
      </c>
      <c r="H251" s="23">
        <v>24.95</v>
      </c>
      <c r="I251" s="25">
        <f t="shared" si="14"/>
        <v>1372.25</v>
      </c>
      <c r="J251" s="34">
        <f t="shared" si="15"/>
        <v>1644.2306428056256</v>
      </c>
      <c r="K251" s="35"/>
    </row>
    <row r="252" spans="1:11" ht="15.75" customHeight="1">
      <c r="A252" s="22" t="s">
        <v>594</v>
      </c>
      <c r="B252" s="22" t="s">
        <v>614</v>
      </c>
      <c r="E252" s="22" t="s">
        <v>12</v>
      </c>
      <c r="F252" s="6" t="s">
        <v>29</v>
      </c>
      <c r="G252" s="22">
        <v>1</v>
      </c>
      <c r="H252" s="23">
        <v>9.75</v>
      </c>
      <c r="I252" s="25">
        <f t="shared" si="14"/>
        <v>536.25</v>
      </c>
      <c r="J252" s="34">
        <f t="shared" si="15"/>
        <v>642.5350207356654</v>
      </c>
      <c r="K252" s="35"/>
    </row>
    <row r="253" spans="1:11" ht="15.75" customHeight="1">
      <c r="A253" s="22" t="s">
        <v>594</v>
      </c>
      <c r="B253" s="22" t="s">
        <v>615</v>
      </c>
      <c r="E253" s="22" t="s">
        <v>163</v>
      </c>
      <c r="F253" s="6" t="s">
        <v>29</v>
      </c>
      <c r="G253" s="22">
        <v>1</v>
      </c>
      <c r="H253" s="23">
        <v>22.12</v>
      </c>
      <c r="I253" s="25">
        <f t="shared" si="14"/>
        <v>1216.6000000000001</v>
      </c>
      <c r="J253" s="34">
        <f t="shared" si="15"/>
        <v>1457.7307342228635</v>
      </c>
      <c r="K253" s="35"/>
    </row>
    <row r="254" spans="1:11" ht="15.75" customHeight="1">
      <c r="A254" s="22" t="s">
        <v>594</v>
      </c>
      <c r="B254" s="22" t="s">
        <v>616</v>
      </c>
      <c r="E254" s="22" t="s">
        <v>12</v>
      </c>
      <c r="F254" s="6" t="s">
        <v>617</v>
      </c>
      <c r="G254" s="22">
        <v>1</v>
      </c>
      <c r="H254" s="23">
        <v>16.87</v>
      </c>
      <c r="I254" s="25">
        <f t="shared" si="14"/>
        <v>927.85</v>
      </c>
      <c r="J254" s="34">
        <f t="shared" si="15"/>
        <v>1111.7503384421207</v>
      </c>
      <c r="K254" s="35"/>
    </row>
    <row r="255" spans="1:11" ht="15.75" customHeight="1">
      <c r="A255" s="22" t="s">
        <v>594</v>
      </c>
      <c r="B255" s="22" t="s">
        <v>618</v>
      </c>
      <c r="E255" s="22" t="s">
        <v>163</v>
      </c>
      <c r="F255" s="6" t="s">
        <v>617</v>
      </c>
      <c r="G255" s="22">
        <v>1</v>
      </c>
      <c r="H255" s="23">
        <v>28.87</v>
      </c>
      <c r="I255" s="25">
        <f t="shared" si="14"/>
        <v>1587.8500000000001</v>
      </c>
      <c r="J255" s="34">
        <f t="shared" si="15"/>
        <v>1902.5626716552474</v>
      </c>
      <c r="K255" s="35"/>
    </row>
    <row r="256" spans="1:11" ht="15.75" customHeight="1">
      <c r="A256" s="22" t="s">
        <v>594</v>
      </c>
      <c r="B256" s="22" t="s">
        <v>619</v>
      </c>
      <c r="E256" s="22" t="s">
        <v>12</v>
      </c>
      <c r="F256" s="6" t="s">
        <v>620</v>
      </c>
      <c r="G256" s="22">
        <v>1</v>
      </c>
      <c r="H256" s="23">
        <v>11.99</v>
      </c>
      <c r="I256" s="25">
        <f t="shared" si="14"/>
        <v>659.45</v>
      </c>
      <c r="J256" s="34">
        <f t="shared" si="15"/>
        <v>790.1533229354491</v>
      </c>
      <c r="K256" s="35"/>
    </row>
    <row r="257" spans="1:11" ht="15.75" customHeight="1">
      <c r="A257" s="22" t="s">
        <v>594</v>
      </c>
      <c r="B257" s="22" t="s">
        <v>621</v>
      </c>
      <c r="E257" s="22" t="s">
        <v>12</v>
      </c>
      <c r="F257" s="6" t="s">
        <v>620</v>
      </c>
      <c r="G257" s="22">
        <v>1</v>
      </c>
      <c r="H257" s="23">
        <v>18.74</v>
      </c>
      <c r="I257" s="25">
        <f t="shared" si="14"/>
        <v>1030.6999999999998</v>
      </c>
      <c r="J257" s="34">
        <f t="shared" si="15"/>
        <v>1234.9852603678326</v>
      </c>
      <c r="K257" s="35"/>
    </row>
    <row r="258" spans="1:11" ht="15.75" customHeight="1">
      <c r="A258" s="22" t="s">
        <v>115</v>
      </c>
      <c r="B258" s="22" t="s">
        <v>622</v>
      </c>
      <c r="E258" s="22" t="s">
        <v>273</v>
      </c>
      <c r="F258" s="6" t="s">
        <v>623</v>
      </c>
      <c r="G258" s="22">
        <v>1</v>
      </c>
      <c r="H258" s="23">
        <v>26</v>
      </c>
      <c r="I258" s="25">
        <f t="shared" si="14"/>
        <v>1430</v>
      </c>
      <c r="J258" s="25"/>
      <c r="K258" s="35">
        <f>H258*$Q$243*$Q$245</f>
        <v>1784.9267219617739</v>
      </c>
    </row>
    <row r="259" spans="1:11" ht="30" customHeight="1">
      <c r="A259" s="22" t="s">
        <v>624</v>
      </c>
      <c r="B259" s="22" t="s">
        <v>625</v>
      </c>
      <c r="E259" s="22" t="s">
        <v>163</v>
      </c>
      <c r="F259" s="6" t="s">
        <v>626</v>
      </c>
      <c r="G259" s="22">
        <v>1</v>
      </c>
      <c r="H259" s="23">
        <v>19.99</v>
      </c>
      <c r="I259" s="25">
        <f t="shared" si="14"/>
        <v>1099.4499999999998</v>
      </c>
      <c r="J259" s="25"/>
      <c r="K259" s="35">
        <f>H259*$Q$243*$Q$245</f>
        <v>1372.3340450775331</v>
      </c>
    </row>
    <row r="260" spans="1:11" ht="15.75" customHeight="1">
      <c r="A260" s="22" t="s">
        <v>93</v>
      </c>
      <c r="B260" s="22" t="s">
        <v>627</v>
      </c>
      <c r="E260" s="22" t="s">
        <v>14</v>
      </c>
      <c r="F260" s="6" t="s">
        <v>628</v>
      </c>
      <c r="G260" s="22">
        <v>1</v>
      </c>
      <c r="H260" s="23">
        <v>13.87</v>
      </c>
      <c r="I260" s="25">
        <f t="shared" si="14"/>
        <v>762.8499999999999</v>
      </c>
      <c r="J260" s="34">
        <f t="shared" si="15"/>
        <v>914.0472551388388</v>
      </c>
      <c r="K260" s="35"/>
    </row>
    <row r="261" spans="1:11" ht="15.75" customHeight="1">
      <c r="A261" s="22" t="s">
        <v>629</v>
      </c>
      <c r="B261" s="22" t="s">
        <v>630</v>
      </c>
      <c r="E261" s="22" t="s">
        <v>12</v>
      </c>
      <c r="F261" s="6" t="s">
        <v>18</v>
      </c>
      <c r="G261" s="22">
        <v>1</v>
      </c>
      <c r="H261" s="23">
        <v>19.12</v>
      </c>
      <c r="I261" s="25">
        <f t="shared" si="14"/>
        <v>1051.6000000000001</v>
      </c>
      <c r="J261" s="25"/>
      <c r="K261" s="35">
        <f>H261*$Q$243*$Q$245</f>
        <v>1312.6076509195816</v>
      </c>
    </row>
    <row r="262" spans="1:11" ht="15.75" customHeight="1">
      <c r="A262" s="22" t="s">
        <v>631</v>
      </c>
      <c r="B262" s="22" t="s">
        <v>632</v>
      </c>
      <c r="E262" s="22" t="s">
        <v>12</v>
      </c>
      <c r="F262" s="6" t="s">
        <v>18</v>
      </c>
      <c r="G262" s="22">
        <v>1</v>
      </c>
      <c r="H262" s="23">
        <v>22.49</v>
      </c>
      <c r="I262" s="25">
        <f t="shared" si="14"/>
        <v>1236.9499999999998</v>
      </c>
      <c r="J262" s="34">
        <f t="shared" si="15"/>
        <v>1482.114114496935</v>
      </c>
      <c r="K262" s="35"/>
    </row>
    <row r="263" spans="1:11" ht="15.75" customHeight="1">
      <c r="A263" s="22" t="s">
        <v>633</v>
      </c>
      <c r="B263" s="22" t="s">
        <v>607</v>
      </c>
      <c r="E263" s="22" t="s">
        <v>466</v>
      </c>
      <c r="F263" s="6" t="s">
        <v>608</v>
      </c>
      <c r="G263" s="22">
        <v>1</v>
      </c>
      <c r="H263" s="23">
        <v>11.99</v>
      </c>
      <c r="I263" s="25">
        <f t="shared" si="14"/>
        <v>659.45</v>
      </c>
      <c r="J263" s="34">
        <f t="shared" si="15"/>
        <v>790.1533229354491</v>
      </c>
      <c r="K263" s="35"/>
    </row>
    <row r="264" spans="1:11" ht="15.75" customHeight="1">
      <c r="A264" s="22" t="s">
        <v>463</v>
      </c>
      <c r="B264" s="22" t="s">
        <v>607</v>
      </c>
      <c r="E264" s="22" t="s">
        <v>466</v>
      </c>
      <c r="F264" s="6" t="s">
        <v>443</v>
      </c>
      <c r="G264" s="22">
        <v>1</v>
      </c>
      <c r="H264" s="23">
        <v>11.99</v>
      </c>
      <c r="I264" s="25">
        <f t="shared" si="14"/>
        <v>659.45</v>
      </c>
      <c r="J264" s="34">
        <f t="shared" si="15"/>
        <v>790.1533229354491</v>
      </c>
      <c r="K264" s="35"/>
    </row>
    <row r="265" spans="1:11" ht="15.75" customHeight="1">
      <c r="A265" s="22" t="s">
        <v>634</v>
      </c>
      <c r="B265" s="22" t="s">
        <v>635</v>
      </c>
      <c r="E265" s="22" t="s">
        <v>12</v>
      </c>
      <c r="F265" s="6" t="s">
        <v>636</v>
      </c>
      <c r="G265" s="22">
        <v>1</v>
      </c>
      <c r="H265" s="23">
        <v>18.74</v>
      </c>
      <c r="I265" s="25">
        <f t="shared" si="14"/>
        <v>1030.6999999999998</v>
      </c>
      <c r="J265" s="25"/>
      <c r="K265" s="35">
        <f>H265*$Q$243*$Q$245</f>
        <v>1286.5202603678326</v>
      </c>
    </row>
    <row r="266" spans="1:11" ht="15.75" customHeight="1">
      <c r="A266" s="22" t="s">
        <v>633</v>
      </c>
      <c r="B266" s="22" t="s">
        <v>637</v>
      </c>
      <c r="E266" s="22" t="s">
        <v>12</v>
      </c>
      <c r="F266" s="6" t="s">
        <v>268</v>
      </c>
      <c r="G266" s="22">
        <v>1</v>
      </c>
      <c r="H266" s="23">
        <v>5.99</v>
      </c>
      <c r="I266" s="25">
        <f t="shared" si="14"/>
        <v>329.45</v>
      </c>
      <c r="J266" s="34">
        <f t="shared" si="15"/>
        <v>394.7471563288857</v>
      </c>
      <c r="K266" s="35"/>
    </row>
    <row r="267" spans="1:11" ht="15.75" customHeight="1">
      <c r="A267" s="22" t="s">
        <v>633</v>
      </c>
      <c r="B267" s="22" t="s">
        <v>637</v>
      </c>
      <c r="E267" s="22" t="s">
        <v>466</v>
      </c>
      <c r="F267" s="6" t="s">
        <v>268</v>
      </c>
      <c r="G267" s="22">
        <v>1</v>
      </c>
      <c r="H267" s="23">
        <v>11.99</v>
      </c>
      <c r="I267" s="25">
        <f t="shared" si="14"/>
        <v>659.45</v>
      </c>
      <c r="J267" s="34">
        <f t="shared" si="15"/>
        <v>790.1533229354491</v>
      </c>
      <c r="K267" s="35"/>
    </row>
    <row r="268" spans="1:11" ht="15.75" customHeight="1" thickBot="1">
      <c r="A268" s="26" t="s">
        <v>593</v>
      </c>
      <c r="F268" s="27" t="s">
        <v>731</v>
      </c>
      <c r="K268" s="59"/>
    </row>
    <row r="269" spans="1:17" ht="15.75" customHeight="1">
      <c r="A269" s="22" t="s">
        <v>594</v>
      </c>
      <c r="B269" s="62" t="s">
        <v>638</v>
      </c>
      <c r="C269" s="48"/>
      <c r="D269" s="46" t="s">
        <v>639</v>
      </c>
      <c r="E269" s="22" t="s">
        <v>14</v>
      </c>
      <c r="F269" s="6" t="s">
        <v>640</v>
      </c>
      <c r="G269" s="22">
        <v>1</v>
      </c>
      <c r="H269" s="23">
        <v>9.74</v>
      </c>
      <c r="I269" s="25">
        <f aca="true" t="shared" si="16" ref="I269:I299">H269*$Q$275</f>
        <v>545.44</v>
      </c>
      <c r="J269" s="34">
        <f aca="true" t="shared" si="17" ref="J269:J299">H269*$Q$272*$Q$275</f>
        <v>690.158914268088</v>
      </c>
      <c r="K269" s="35"/>
      <c r="P269" s="16" t="s">
        <v>19</v>
      </c>
      <c r="Q269" s="13">
        <f>SUM(H269:H299)</f>
        <v>291.77000000000015</v>
      </c>
    </row>
    <row r="270" spans="1:17" ht="15.75" customHeight="1">
      <c r="A270" s="22" t="s">
        <v>594</v>
      </c>
      <c r="B270" s="21" t="s">
        <v>641</v>
      </c>
      <c r="C270" s="48"/>
      <c r="D270" s="46" t="s">
        <v>642</v>
      </c>
      <c r="E270" s="22" t="s">
        <v>14</v>
      </c>
      <c r="F270" s="6" t="s">
        <v>640</v>
      </c>
      <c r="G270" s="22">
        <v>1</v>
      </c>
      <c r="H270" s="23">
        <v>7.49</v>
      </c>
      <c r="I270" s="25">
        <f t="shared" si="16"/>
        <v>419.44</v>
      </c>
      <c r="J270" s="34">
        <f t="shared" si="17"/>
        <v>530.7279535798746</v>
      </c>
      <c r="K270" s="35"/>
      <c r="P270" s="17" t="s">
        <v>15</v>
      </c>
      <c r="Q270" s="9">
        <v>56.99</v>
      </c>
    </row>
    <row r="271" spans="1:17" ht="15.75" customHeight="1">
      <c r="A271" s="22" t="s">
        <v>643</v>
      </c>
      <c r="B271" s="22" t="s">
        <v>644</v>
      </c>
      <c r="C271" s="48"/>
      <c r="D271" s="46" t="s">
        <v>645</v>
      </c>
      <c r="E271" s="22" t="s">
        <v>14</v>
      </c>
      <c r="F271" s="6" t="s">
        <v>646</v>
      </c>
      <c r="G271" s="22">
        <v>1</v>
      </c>
      <c r="H271" s="23">
        <v>8.99</v>
      </c>
      <c r="I271" s="25">
        <f t="shared" si="16"/>
        <v>503.44</v>
      </c>
      <c r="J271" s="34">
        <f t="shared" si="17"/>
        <v>637.0152607053501</v>
      </c>
      <c r="K271" s="35"/>
      <c r="P271" s="18" t="s">
        <v>111</v>
      </c>
      <c r="Q271" s="56">
        <f>Q270/Q269</f>
        <v>0.19532508482708974</v>
      </c>
    </row>
    <row r="272" spans="1:17" ht="15.75" customHeight="1">
      <c r="A272" s="22" t="s">
        <v>643</v>
      </c>
      <c r="B272" s="22" t="s">
        <v>647</v>
      </c>
      <c r="C272" s="48"/>
      <c r="D272" s="46" t="s">
        <v>648</v>
      </c>
      <c r="E272" s="22" t="s">
        <v>14</v>
      </c>
      <c r="F272" s="6" t="s">
        <v>649</v>
      </c>
      <c r="G272" s="22">
        <v>1</v>
      </c>
      <c r="H272" s="23">
        <v>6.74</v>
      </c>
      <c r="I272" s="25">
        <f t="shared" si="16"/>
        <v>377.44</v>
      </c>
      <c r="J272" s="34">
        <f t="shared" si="17"/>
        <v>477.5843000171368</v>
      </c>
      <c r="K272" s="35">
        <f>1115-1158</f>
        <v>-43</v>
      </c>
      <c r="P272" s="17" t="s">
        <v>16</v>
      </c>
      <c r="Q272" s="10">
        <f>1+Q270/Q269+0.07</f>
        <v>1.2653250848270898</v>
      </c>
    </row>
    <row r="273" spans="1:17" ht="15.75" customHeight="1">
      <c r="A273" s="22" t="s">
        <v>576</v>
      </c>
      <c r="B273" s="21" t="s">
        <v>650</v>
      </c>
      <c r="D273" s="46" t="s">
        <v>560</v>
      </c>
      <c r="E273" s="22" t="s">
        <v>13</v>
      </c>
      <c r="F273" s="6" t="s">
        <v>651</v>
      </c>
      <c r="G273" s="22">
        <v>1</v>
      </c>
      <c r="H273" s="23">
        <v>6.74</v>
      </c>
      <c r="I273" s="25">
        <f t="shared" si="16"/>
        <v>377.44</v>
      </c>
      <c r="J273" s="34">
        <f t="shared" si="17"/>
        <v>477.5843000171368</v>
      </c>
      <c r="K273" s="35">
        <f>1136-1201</f>
        <v>-65</v>
      </c>
      <c r="P273" s="17" t="s">
        <v>16</v>
      </c>
      <c r="Q273" s="10">
        <f>1+Q270/Q269+0.12</f>
        <v>1.3153250848270899</v>
      </c>
    </row>
    <row r="274" spans="1:17" ht="15.75" customHeight="1">
      <c r="A274" s="22" t="s">
        <v>125</v>
      </c>
      <c r="B274" s="22" t="s">
        <v>652</v>
      </c>
      <c r="C274" s="48"/>
      <c r="D274" s="46" t="s">
        <v>330</v>
      </c>
      <c r="E274" s="22" t="s">
        <v>12</v>
      </c>
      <c r="F274" s="6" t="s">
        <v>331</v>
      </c>
      <c r="G274" s="22">
        <v>1</v>
      </c>
      <c r="H274" s="23">
        <v>21.37</v>
      </c>
      <c r="I274" s="25">
        <f t="shared" si="16"/>
        <v>1196.72</v>
      </c>
      <c r="J274" s="34">
        <f t="shared" si="17"/>
        <v>1514.239835514275</v>
      </c>
      <c r="K274" s="35"/>
      <c r="P274" s="18"/>
      <c r="Q274" s="10"/>
    </row>
    <row r="275" spans="1:17" ht="16.5" customHeight="1" thickBot="1">
      <c r="A275" s="22" t="s">
        <v>125</v>
      </c>
      <c r="B275" s="22" t="s">
        <v>652</v>
      </c>
      <c r="C275" s="48"/>
      <c r="D275" s="46" t="s">
        <v>332</v>
      </c>
      <c r="E275" s="22" t="s">
        <v>14</v>
      </c>
      <c r="F275" s="6" t="s">
        <v>331</v>
      </c>
      <c r="G275" s="22">
        <v>1</v>
      </c>
      <c r="H275" s="23">
        <v>13.5</v>
      </c>
      <c r="I275" s="25">
        <f t="shared" si="16"/>
        <v>756</v>
      </c>
      <c r="J275" s="34">
        <f t="shared" si="17"/>
        <v>956.5857641292798</v>
      </c>
      <c r="K275" s="35">
        <f>2471-2491</f>
        <v>-20</v>
      </c>
      <c r="P275" s="33" t="s">
        <v>732</v>
      </c>
      <c r="Q275" s="12">
        <v>56</v>
      </c>
    </row>
    <row r="276" spans="1:11" ht="15.75" customHeight="1">
      <c r="A276" s="22" t="s">
        <v>653</v>
      </c>
      <c r="B276" s="22" t="s">
        <v>654</v>
      </c>
      <c r="D276" s="46" t="s">
        <v>655</v>
      </c>
      <c r="E276" s="22" t="s">
        <v>12</v>
      </c>
      <c r="F276" s="6" t="s">
        <v>656</v>
      </c>
      <c r="G276" s="22">
        <v>1</v>
      </c>
      <c r="H276" s="23">
        <v>24.99</v>
      </c>
      <c r="I276" s="25">
        <f t="shared" si="16"/>
        <v>1399.4399999999998</v>
      </c>
      <c r="J276" s="25"/>
      <c r="K276" s="35">
        <f>H276*$Q$273*$Q$275</f>
        <v>1840.7185367104225</v>
      </c>
    </row>
    <row r="277" spans="1:11" ht="30" customHeight="1">
      <c r="A277" s="22" t="s">
        <v>463</v>
      </c>
      <c r="B277" s="22" t="s">
        <v>657</v>
      </c>
      <c r="D277" s="46" t="s">
        <v>658</v>
      </c>
      <c r="E277" s="6" t="s">
        <v>466</v>
      </c>
      <c r="F277" s="6" t="s">
        <v>659</v>
      </c>
      <c r="G277" s="22">
        <v>1</v>
      </c>
      <c r="H277" s="23">
        <v>20.99</v>
      </c>
      <c r="I277" s="25">
        <f t="shared" si="16"/>
        <v>1175.4399999999998</v>
      </c>
      <c r="J277" s="34">
        <f t="shared" si="17"/>
        <v>1487.3137177091544</v>
      </c>
      <c r="K277" s="35"/>
    </row>
    <row r="278" spans="1:11" ht="30" customHeight="1">
      <c r="A278" s="22" t="s">
        <v>463</v>
      </c>
      <c r="B278" s="22" t="s">
        <v>660</v>
      </c>
      <c r="D278" s="46" t="s">
        <v>661</v>
      </c>
      <c r="E278" s="22" t="s">
        <v>14</v>
      </c>
      <c r="F278" s="6" t="s">
        <v>662</v>
      </c>
      <c r="G278" s="22">
        <v>1</v>
      </c>
      <c r="H278" s="23">
        <v>8.24</v>
      </c>
      <c r="I278" s="25">
        <f t="shared" si="16"/>
        <v>461.44</v>
      </c>
      <c r="J278" s="34">
        <f t="shared" si="17"/>
        <v>583.8716071426123</v>
      </c>
      <c r="K278" s="35"/>
    </row>
    <row r="279" spans="1:11" ht="15.75" customHeight="1">
      <c r="A279" s="22" t="s">
        <v>93</v>
      </c>
      <c r="B279" s="22" t="s">
        <v>663</v>
      </c>
      <c r="D279" s="46" t="s">
        <v>664</v>
      </c>
      <c r="E279" s="22" t="s">
        <v>7</v>
      </c>
      <c r="F279" s="6" t="s">
        <v>665</v>
      </c>
      <c r="G279" s="22">
        <v>1</v>
      </c>
      <c r="H279" s="23">
        <v>9.99</v>
      </c>
      <c r="I279" s="25">
        <f t="shared" si="16"/>
        <v>559.44</v>
      </c>
      <c r="J279" s="34">
        <f t="shared" si="17"/>
        <v>707.8734654556672</v>
      </c>
      <c r="K279" s="35">
        <f>2280-2000</f>
        <v>280</v>
      </c>
    </row>
    <row r="280" spans="1:11" ht="15.75" customHeight="1">
      <c r="A280" s="22" t="s">
        <v>666</v>
      </c>
      <c r="B280" s="22" t="s">
        <v>667</v>
      </c>
      <c r="D280" s="46" t="s">
        <v>668</v>
      </c>
      <c r="E280" s="22" t="s">
        <v>12</v>
      </c>
      <c r="F280" s="6" t="s">
        <v>434</v>
      </c>
      <c r="G280" s="22">
        <v>1</v>
      </c>
      <c r="H280" s="23">
        <v>29.99</v>
      </c>
      <c r="I280" s="25">
        <f t="shared" si="16"/>
        <v>1679.4399999999998</v>
      </c>
      <c r="J280" s="25"/>
      <c r="K280" s="35">
        <f>H280*$Q$273*$Q$275</f>
        <v>2209.009560462008</v>
      </c>
    </row>
    <row r="281" spans="1:11" ht="15.75" customHeight="1">
      <c r="A281" s="22" t="s">
        <v>669</v>
      </c>
      <c r="B281" s="22" t="s">
        <v>670</v>
      </c>
      <c r="D281" s="46" t="s">
        <v>178</v>
      </c>
      <c r="E281" s="22" t="s">
        <v>12</v>
      </c>
      <c r="F281" s="6" t="s">
        <v>29</v>
      </c>
      <c r="G281" s="22">
        <v>1</v>
      </c>
      <c r="H281" s="23">
        <v>11.24</v>
      </c>
      <c r="I281" s="25">
        <f t="shared" si="16"/>
        <v>629.44</v>
      </c>
      <c r="J281" s="34">
        <f t="shared" si="17"/>
        <v>796.4462213935634</v>
      </c>
      <c r="K281" s="35"/>
    </row>
    <row r="282" spans="1:11" ht="15.75" customHeight="1">
      <c r="A282" s="22" t="s">
        <v>669</v>
      </c>
      <c r="B282" s="22" t="s">
        <v>671</v>
      </c>
      <c r="D282" s="46" t="s">
        <v>234</v>
      </c>
      <c r="E282" s="22" t="s">
        <v>7</v>
      </c>
      <c r="F282" s="6" t="s">
        <v>29</v>
      </c>
      <c r="G282" s="22">
        <v>1</v>
      </c>
      <c r="H282" s="23">
        <v>7.49</v>
      </c>
      <c r="I282" s="25">
        <f t="shared" si="16"/>
        <v>419.44</v>
      </c>
      <c r="J282" s="34">
        <f t="shared" si="17"/>
        <v>530.7279535798746</v>
      </c>
      <c r="K282" s="35"/>
    </row>
    <row r="283" spans="1:11" ht="15.75" customHeight="1">
      <c r="A283" s="22" t="s">
        <v>669</v>
      </c>
      <c r="B283" s="22" t="s">
        <v>672</v>
      </c>
      <c r="D283" s="46" t="s">
        <v>400</v>
      </c>
      <c r="E283" s="22" t="s">
        <v>7</v>
      </c>
      <c r="F283" s="6" t="s">
        <v>673</v>
      </c>
      <c r="G283" s="22">
        <v>1</v>
      </c>
      <c r="H283" s="23">
        <v>5.4</v>
      </c>
      <c r="I283" s="25">
        <f t="shared" si="16"/>
        <v>302.40000000000003</v>
      </c>
      <c r="J283" s="34">
        <f t="shared" si="17"/>
        <v>382.634305651712</v>
      </c>
      <c r="K283" s="35"/>
    </row>
    <row r="284" spans="1:11" ht="15.75" customHeight="1">
      <c r="A284" s="22" t="s">
        <v>669</v>
      </c>
      <c r="D284" s="46" t="s">
        <v>409</v>
      </c>
      <c r="E284" s="22" t="s">
        <v>7</v>
      </c>
      <c r="F284" s="6" t="s">
        <v>674</v>
      </c>
      <c r="G284" s="22">
        <v>1</v>
      </c>
      <c r="H284" s="23">
        <v>5.4</v>
      </c>
      <c r="I284" s="25">
        <f t="shared" si="16"/>
        <v>302.40000000000003</v>
      </c>
      <c r="J284" s="34">
        <f t="shared" si="17"/>
        <v>382.634305651712</v>
      </c>
      <c r="K284" s="35"/>
    </row>
    <row r="285" spans="1:11" ht="15.75" customHeight="1">
      <c r="A285" s="22" t="s">
        <v>669</v>
      </c>
      <c r="D285" s="46" t="s">
        <v>675</v>
      </c>
      <c r="E285" s="22" t="s">
        <v>7</v>
      </c>
      <c r="F285" s="6" t="s">
        <v>676</v>
      </c>
      <c r="G285" s="22">
        <v>1</v>
      </c>
      <c r="H285" s="23">
        <v>5.4</v>
      </c>
      <c r="I285" s="25">
        <f t="shared" si="16"/>
        <v>302.40000000000003</v>
      </c>
      <c r="J285" s="34">
        <f t="shared" si="17"/>
        <v>382.634305651712</v>
      </c>
      <c r="K285" s="35">
        <f>2475-2476</f>
        <v>-1</v>
      </c>
    </row>
    <row r="286" spans="1:11" ht="30" customHeight="1">
      <c r="A286" s="22" t="s">
        <v>677</v>
      </c>
      <c r="D286" s="46" t="s">
        <v>678</v>
      </c>
      <c r="E286" s="22" t="s">
        <v>7</v>
      </c>
      <c r="F286" s="6" t="s">
        <v>679</v>
      </c>
      <c r="G286" s="22">
        <v>1</v>
      </c>
      <c r="H286" s="23">
        <v>5.4</v>
      </c>
      <c r="I286" s="25">
        <f t="shared" si="16"/>
        <v>302.40000000000003</v>
      </c>
      <c r="J286" s="25"/>
      <c r="K286" s="35">
        <f>H286*$Q$273*$Q$275</f>
        <v>397.754305651712</v>
      </c>
    </row>
    <row r="287" spans="1:11" ht="15.75" customHeight="1">
      <c r="A287" s="22" t="s">
        <v>677</v>
      </c>
      <c r="B287" s="22" t="s">
        <v>680</v>
      </c>
      <c r="D287" s="46" t="s">
        <v>681</v>
      </c>
      <c r="E287" s="22" t="s">
        <v>7</v>
      </c>
      <c r="F287" s="6" t="s">
        <v>682</v>
      </c>
      <c r="G287" s="22">
        <v>1</v>
      </c>
      <c r="H287" s="23">
        <v>5.4</v>
      </c>
      <c r="I287" s="25">
        <f t="shared" si="16"/>
        <v>302.40000000000003</v>
      </c>
      <c r="J287" s="25"/>
      <c r="K287" s="35">
        <f>H287*$Q$273*$Q$275</f>
        <v>397.754305651712</v>
      </c>
    </row>
    <row r="288" spans="1:11" ht="15.75" customHeight="1">
      <c r="A288" s="8" t="s">
        <v>683</v>
      </c>
      <c r="B288" s="22" t="s">
        <v>684</v>
      </c>
      <c r="D288" s="46" t="s">
        <v>685</v>
      </c>
      <c r="E288" s="22" t="s">
        <v>12</v>
      </c>
      <c r="F288" s="6" t="s">
        <v>686</v>
      </c>
      <c r="G288" s="22">
        <v>1</v>
      </c>
      <c r="H288" s="23">
        <v>5.4</v>
      </c>
      <c r="I288" s="25">
        <f t="shared" si="16"/>
        <v>302.40000000000003</v>
      </c>
      <c r="J288" s="34">
        <f t="shared" si="17"/>
        <v>382.634305651712</v>
      </c>
      <c r="K288" s="35"/>
    </row>
    <row r="289" spans="1:11" ht="15.75" customHeight="1">
      <c r="A289" s="8" t="s">
        <v>683</v>
      </c>
      <c r="D289" s="46" t="s">
        <v>687</v>
      </c>
      <c r="E289" s="22" t="s">
        <v>12</v>
      </c>
      <c r="F289" s="6" t="s">
        <v>688</v>
      </c>
      <c r="G289" s="22">
        <v>1</v>
      </c>
      <c r="H289" s="23">
        <v>5.4</v>
      </c>
      <c r="I289" s="25">
        <f t="shared" si="16"/>
        <v>302.40000000000003</v>
      </c>
      <c r="J289" s="34">
        <f t="shared" si="17"/>
        <v>382.634305651712</v>
      </c>
      <c r="K289" s="35"/>
    </row>
    <row r="290" spans="1:11" ht="15.75" customHeight="1">
      <c r="A290" s="8" t="s">
        <v>683</v>
      </c>
      <c r="D290" s="46" t="s">
        <v>689</v>
      </c>
      <c r="E290" s="22" t="s">
        <v>12</v>
      </c>
      <c r="F290" s="6" t="s">
        <v>690</v>
      </c>
      <c r="G290" s="22">
        <v>1</v>
      </c>
      <c r="H290" s="23">
        <v>5.4</v>
      </c>
      <c r="I290" s="25">
        <f t="shared" si="16"/>
        <v>302.40000000000003</v>
      </c>
      <c r="J290" s="34">
        <f t="shared" si="17"/>
        <v>382.634305651712</v>
      </c>
      <c r="K290" s="35"/>
    </row>
    <row r="291" spans="1:11" ht="30" customHeight="1">
      <c r="A291" s="8" t="s">
        <v>683</v>
      </c>
      <c r="D291" s="46" t="s">
        <v>691</v>
      </c>
      <c r="E291" s="22" t="s">
        <v>12</v>
      </c>
      <c r="F291" s="6" t="s">
        <v>692</v>
      </c>
      <c r="G291" s="22">
        <v>1</v>
      </c>
      <c r="H291" s="23">
        <v>5.4</v>
      </c>
      <c r="I291" s="25">
        <f t="shared" si="16"/>
        <v>302.40000000000003</v>
      </c>
      <c r="J291" s="34">
        <f t="shared" si="17"/>
        <v>382.634305651712</v>
      </c>
      <c r="K291" s="35">
        <f>1531-1805</f>
        <v>-274</v>
      </c>
    </row>
    <row r="292" spans="1:11" ht="15.75" customHeight="1">
      <c r="A292" s="22" t="s">
        <v>594</v>
      </c>
      <c r="B292" s="22" t="s">
        <v>693</v>
      </c>
      <c r="D292" s="46" t="s">
        <v>694</v>
      </c>
      <c r="E292" s="22" t="s">
        <v>163</v>
      </c>
      <c r="F292" s="6" t="s">
        <v>456</v>
      </c>
      <c r="G292" s="22">
        <v>1</v>
      </c>
      <c r="H292" s="23">
        <v>19.49</v>
      </c>
      <c r="I292" s="25">
        <f t="shared" si="16"/>
        <v>1091.4399999999998</v>
      </c>
      <c r="J292" s="34">
        <f t="shared" si="17"/>
        <v>1381.0264105836789</v>
      </c>
      <c r="K292" s="35"/>
    </row>
    <row r="293" spans="1:11" ht="15.75" customHeight="1">
      <c r="A293" s="22" t="s">
        <v>115</v>
      </c>
      <c r="B293" s="22" t="s">
        <v>165</v>
      </c>
      <c r="D293" s="46" t="s">
        <v>166</v>
      </c>
      <c r="E293" s="22" t="s">
        <v>7</v>
      </c>
      <c r="F293" s="6" t="s">
        <v>695</v>
      </c>
      <c r="G293" s="22">
        <v>1</v>
      </c>
      <c r="H293" s="23">
        <v>3.99</v>
      </c>
      <c r="I293" s="25">
        <f t="shared" si="16"/>
        <v>223.44</v>
      </c>
      <c r="J293" s="25"/>
      <c r="K293" s="35">
        <f>H293*$Q$273*$Q$275</f>
        <v>293.89623695376497</v>
      </c>
    </row>
    <row r="294" spans="1:11" ht="15.75" customHeight="1">
      <c r="A294" s="22" t="s">
        <v>115</v>
      </c>
      <c r="B294" s="22" t="s">
        <v>165</v>
      </c>
      <c r="D294" s="46" t="s">
        <v>166</v>
      </c>
      <c r="E294" s="22" t="s">
        <v>7</v>
      </c>
      <c r="F294" s="6" t="s">
        <v>696</v>
      </c>
      <c r="G294" s="22">
        <v>1</v>
      </c>
      <c r="H294" s="23">
        <v>3.99</v>
      </c>
      <c r="I294" s="25">
        <f t="shared" si="16"/>
        <v>223.44</v>
      </c>
      <c r="J294" s="25"/>
      <c r="K294" s="35">
        <f>H294*$Q$273*$Q$275</f>
        <v>293.89623695376497</v>
      </c>
    </row>
    <row r="295" spans="1:11" ht="15.75" customHeight="1">
      <c r="A295" s="22" t="s">
        <v>147</v>
      </c>
      <c r="B295" s="22" t="s">
        <v>697</v>
      </c>
      <c r="D295" s="46" t="s">
        <v>698</v>
      </c>
      <c r="F295" s="6" t="s">
        <v>699</v>
      </c>
      <c r="G295" s="22">
        <v>1</v>
      </c>
      <c r="H295" s="23">
        <v>6.99</v>
      </c>
      <c r="I295" s="25">
        <f t="shared" si="16"/>
        <v>391.44</v>
      </c>
      <c r="J295" s="34">
        <f t="shared" si="17"/>
        <v>495.2988512047161</v>
      </c>
      <c r="K295" s="35">
        <f>J295-495</f>
        <v>0.2988512047160725</v>
      </c>
    </row>
    <row r="296" spans="1:11" ht="15.75" customHeight="1">
      <c r="A296" s="22" t="s">
        <v>251</v>
      </c>
      <c r="B296" s="22" t="s">
        <v>607</v>
      </c>
      <c r="D296" s="46" t="s">
        <v>700</v>
      </c>
      <c r="E296" s="6" t="s">
        <v>257</v>
      </c>
      <c r="F296" s="6" t="s">
        <v>608</v>
      </c>
      <c r="G296" s="22">
        <v>1</v>
      </c>
      <c r="H296" s="23">
        <v>9.99</v>
      </c>
      <c r="I296" s="25">
        <f t="shared" si="16"/>
        <v>559.44</v>
      </c>
      <c r="J296" s="25"/>
      <c r="K296" s="35">
        <f>H296*$Q$273*$Q$275</f>
        <v>735.8454654556672</v>
      </c>
    </row>
    <row r="297" spans="1:11" ht="30" customHeight="1">
      <c r="A297" s="22" t="s">
        <v>633</v>
      </c>
      <c r="B297" s="22" t="s">
        <v>701</v>
      </c>
      <c r="D297" s="46" t="s">
        <v>53</v>
      </c>
      <c r="E297" s="22" t="s">
        <v>12</v>
      </c>
      <c r="F297" s="6" t="s">
        <v>702</v>
      </c>
      <c r="G297" s="22">
        <v>1</v>
      </c>
      <c r="H297" s="23">
        <v>2.99</v>
      </c>
      <c r="I297" s="25">
        <f t="shared" si="16"/>
        <v>167.44</v>
      </c>
      <c r="J297" s="34">
        <f t="shared" si="17"/>
        <v>211.86603220344793</v>
      </c>
      <c r="K297" s="35"/>
    </row>
    <row r="298" spans="1:11" ht="30" customHeight="1">
      <c r="A298" s="22" t="s">
        <v>703</v>
      </c>
      <c r="B298" s="22" t="s">
        <v>701</v>
      </c>
      <c r="D298" s="46" t="s">
        <v>53</v>
      </c>
      <c r="E298" s="22" t="s">
        <v>12</v>
      </c>
      <c r="F298" s="6" t="s">
        <v>702</v>
      </c>
      <c r="G298" s="22">
        <v>1</v>
      </c>
      <c r="H298" s="23">
        <v>2.99</v>
      </c>
      <c r="I298" s="25">
        <f t="shared" si="16"/>
        <v>167.44</v>
      </c>
      <c r="J298" s="25"/>
      <c r="K298" s="35">
        <f>H298*$Q$273*$Q$275</f>
        <v>220.23803220344794</v>
      </c>
    </row>
    <row r="299" spans="1:11" s="7" customFormat="1" ht="15.75" customHeight="1">
      <c r="A299" s="20" t="s">
        <v>594</v>
      </c>
      <c r="B299" s="20" t="s">
        <v>693</v>
      </c>
      <c r="C299" s="45"/>
      <c r="D299" s="44" t="s">
        <v>704</v>
      </c>
      <c r="E299" s="20" t="s">
        <v>12</v>
      </c>
      <c r="F299" s="44" t="s">
        <v>456</v>
      </c>
      <c r="G299" s="20">
        <v>1</v>
      </c>
      <c r="H299" s="31">
        <v>5.24</v>
      </c>
      <c r="I299" s="25">
        <f t="shared" si="16"/>
        <v>293.44</v>
      </c>
      <c r="J299" s="34">
        <f t="shared" si="17"/>
        <v>371.29699289166126</v>
      </c>
      <c r="K299" s="35">
        <f>14178-14400</f>
        <v>-222</v>
      </c>
    </row>
    <row r="300" spans="1:11" ht="15.75">
      <c r="A300" s="22">
        <v>1</v>
      </c>
      <c r="D300" s="46"/>
      <c r="F300" s="27"/>
      <c r="K300" s="59"/>
    </row>
    <row r="301" spans="1:6" ht="15.75">
      <c r="A301" s="22">
        <v>1</v>
      </c>
      <c r="C301" s="14"/>
      <c r="D301" s="46"/>
      <c r="F301" s="6"/>
    </row>
    <row r="302" spans="1:6" ht="16.5" thickBot="1">
      <c r="A302" s="26" t="s">
        <v>734</v>
      </c>
      <c r="D302" s="46"/>
      <c r="F302" s="27" t="s">
        <v>784</v>
      </c>
    </row>
    <row r="303" spans="1:17" ht="15.75">
      <c r="A303" s="22" t="s">
        <v>147</v>
      </c>
      <c r="B303" s="22" t="s">
        <v>735</v>
      </c>
      <c r="D303" s="46" t="s">
        <v>736</v>
      </c>
      <c r="E303" s="22" t="s">
        <v>14</v>
      </c>
      <c r="F303" s="6" t="s">
        <v>737</v>
      </c>
      <c r="H303" s="23">
        <v>20</v>
      </c>
      <c r="I303" s="25">
        <f aca="true" t="shared" si="18" ref="I303:I340">H303*$Q$309</f>
        <v>1120</v>
      </c>
      <c r="J303" s="34">
        <f>H303*$Q$306*$Q$309</f>
        <v>1380.8722698684962</v>
      </c>
      <c r="K303" s="35"/>
      <c r="P303" s="16" t="s">
        <v>19</v>
      </c>
      <c r="Q303" s="13">
        <f>SUM(H303:H340)</f>
        <v>349.80000000000024</v>
      </c>
    </row>
    <row r="304" spans="1:17" ht="15.75">
      <c r="A304" s="22" t="s">
        <v>147</v>
      </c>
      <c r="B304" s="22" t="s">
        <v>738</v>
      </c>
      <c r="D304" s="46" t="s">
        <v>739</v>
      </c>
      <c r="E304" s="22" t="s">
        <v>14</v>
      </c>
      <c r="F304" s="6" t="s">
        <v>740</v>
      </c>
      <c r="H304" s="23">
        <v>19.5</v>
      </c>
      <c r="I304" s="25">
        <f t="shared" si="18"/>
        <v>1092</v>
      </c>
      <c r="J304" s="34">
        <f>H304*$Q$306*$Q$309</f>
        <v>1346.3504631217838</v>
      </c>
      <c r="K304" s="35"/>
      <c r="P304" s="17" t="s">
        <v>15</v>
      </c>
      <c r="Q304" s="9">
        <v>56.99</v>
      </c>
    </row>
    <row r="305" spans="1:17" ht="15.75">
      <c r="A305" s="22" t="s">
        <v>147</v>
      </c>
      <c r="B305" s="22" t="s">
        <v>741</v>
      </c>
      <c r="D305" s="46" t="s">
        <v>742</v>
      </c>
      <c r="E305" s="22" t="s">
        <v>13</v>
      </c>
      <c r="F305" s="6" t="s">
        <v>743</v>
      </c>
      <c r="H305" s="23">
        <v>7.99</v>
      </c>
      <c r="I305" s="25">
        <f t="shared" si="18"/>
        <v>447.44</v>
      </c>
      <c r="J305" s="34">
        <f>H305*$Q$306*$Q$309</f>
        <v>551.6584718124642</v>
      </c>
      <c r="K305" s="35">
        <f>3279-3206</f>
        <v>73</v>
      </c>
      <c r="P305" s="18" t="s">
        <v>111</v>
      </c>
      <c r="Q305" s="56">
        <f>Q304/Q303</f>
        <v>0.162921669525443</v>
      </c>
    </row>
    <row r="306" spans="1:17" ht="15.75">
      <c r="A306" s="22" t="s">
        <v>597</v>
      </c>
      <c r="B306" s="22" t="s">
        <v>744</v>
      </c>
      <c r="D306" s="46" t="s">
        <v>745</v>
      </c>
      <c r="E306" s="22" t="s">
        <v>295</v>
      </c>
      <c r="F306" s="6" t="s">
        <v>18</v>
      </c>
      <c r="H306" s="23">
        <v>17.99</v>
      </c>
      <c r="I306" s="25">
        <f t="shared" si="18"/>
        <v>1007.4399999999999</v>
      </c>
      <c r="J306" s="34">
        <f>H306*$Q$306*$Q$309</f>
        <v>1242.094606746712</v>
      </c>
      <c r="K306" s="35">
        <f>1736-1000-706</f>
        <v>30</v>
      </c>
      <c r="P306" s="17" t="s">
        <v>16</v>
      </c>
      <c r="Q306" s="10">
        <f>1+Q304/Q303+0.07</f>
        <v>1.232921669525443</v>
      </c>
    </row>
    <row r="307" spans="1:17" ht="15.75">
      <c r="A307" s="22" t="s">
        <v>729</v>
      </c>
      <c r="B307" s="22" t="s">
        <v>746</v>
      </c>
      <c r="D307" s="46" t="s">
        <v>361</v>
      </c>
      <c r="E307" s="22" t="s">
        <v>7</v>
      </c>
      <c r="F307" s="6" t="s">
        <v>747</v>
      </c>
      <c r="H307" s="23">
        <v>24.5</v>
      </c>
      <c r="I307" s="25">
        <f t="shared" si="18"/>
        <v>1372</v>
      </c>
      <c r="J307" s="25"/>
      <c r="K307" s="35">
        <f aca="true" t="shared" si="19" ref="K307:K340">H307*$Q$307*$Q$309</f>
        <v>1760.168530588908</v>
      </c>
      <c r="P307" s="17" t="s">
        <v>16</v>
      </c>
      <c r="Q307" s="10">
        <f>1+Q304/Q303+0.12</f>
        <v>1.282921669525443</v>
      </c>
    </row>
    <row r="308" spans="1:17" ht="15.75">
      <c r="A308" s="22" t="s">
        <v>244</v>
      </c>
      <c r="B308" s="22" t="s">
        <v>748</v>
      </c>
      <c r="D308" s="46" t="s">
        <v>749</v>
      </c>
      <c r="E308" s="22" t="s">
        <v>11</v>
      </c>
      <c r="F308" s="6" t="s">
        <v>750</v>
      </c>
      <c r="H308" s="23">
        <v>23.6</v>
      </c>
      <c r="I308" s="25">
        <f t="shared" si="18"/>
        <v>1321.6000000000001</v>
      </c>
      <c r="J308" s="25"/>
      <c r="K308" s="35">
        <f t="shared" si="19"/>
        <v>1695.5092784448257</v>
      </c>
      <c r="L308" s="28" t="s">
        <v>751</v>
      </c>
      <c r="P308" s="18"/>
      <c r="Q308" s="10"/>
    </row>
    <row r="309" spans="1:17" ht="16.5" thickBot="1">
      <c r="A309" s="22" t="s">
        <v>752</v>
      </c>
      <c r="B309" s="22" t="s">
        <v>753</v>
      </c>
      <c r="D309" s="46" t="s">
        <v>754</v>
      </c>
      <c r="E309" s="6" t="s">
        <v>273</v>
      </c>
      <c r="F309" s="6" t="s">
        <v>755</v>
      </c>
      <c r="H309" s="23">
        <v>27</v>
      </c>
      <c r="I309" s="25">
        <f t="shared" si="18"/>
        <v>1512</v>
      </c>
      <c r="J309" s="34">
        <f>H309*$Q$306*$Q$309</f>
        <v>1864.1775643224698</v>
      </c>
      <c r="K309" s="35"/>
      <c r="P309" s="33" t="s">
        <v>732</v>
      </c>
      <c r="Q309" s="12">
        <v>56</v>
      </c>
    </row>
    <row r="310" spans="1:11" ht="15.75">
      <c r="A310" s="22" t="s">
        <v>752</v>
      </c>
      <c r="B310" s="22" t="s">
        <v>756</v>
      </c>
      <c r="D310" s="46" t="s">
        <v>757</v>
      </c>
      <c r="E310" s="22" t="s">
        <v>7</v>
      </c>
      <c r="F310" s="6" t="s">
        <v>758</v>
      </c>
      <c r="H310" s="23">
        <v>29.5</v>
      </c>
      <c r="I310" s="25">
        <f t="shared" si="18"/>
        <v>1652</v>
      </c>
      <c r="J310" s="34">
        <f>H310*$Q$306*$Q$309</f>
        <v>2036.786598056032</v>
      </c>
      <c r="K310" s="35"/>
    </row>
    <row r="311" spans="1:11" ht="15.75">
      <c r="A311" s="22" t="s">
        <v>759</v>
      </c>
      <c r="B311" s="22" t="s">
        <v>760</v>
      </c>
      <c r="D311" s="46" t="s">
        <v>761</v>
      </c>
      <c r="E311" s="22" t="s">
        <v>163</v>
      </c>
      <c r="F311" s="6" t="s">
        <v>762</v>
      </c>
      <c r="H311" s="23">
        <v>17</v>
      </c>
      <c r="I311" s="25">
        <f t="shared" si="18"/>
        <v>952</v>
      </c>
      <c r="J311" s="25"/>
      <c r="K311" s="35">
        <f t="shared" si="19"/>
        <v>1221.3414293882217</v>
      </c>
    </row>
    <row r="312" spans="1:11" ht="15.75">
      <c r="A312" s="22" t="s">
        <v>759</v>
      </c>
      <c r="B312" s="22" t="s">
        <v>760</v>
      </c>
      <c r="D312" s="46" t="s">
        <v>763</v>
      </c>
      <c r="E312" s="22" t="s">
        <v>12</v>
      </c>
      <c r="F312" s="6" t="s">
        <v>762</v>
      </c>
      <c r="H312" s="23">
        <v>12</v>
      </c>
      <c r="I312" s="25">
        <f t="shared" si="18"/>
        <v>672</v>
      </c>
      <c r="J312" s="25"/>
      <c r="K312" s="35">
        <f t="shared" si="19"/>
        <v>862.1233619210977</v>
      </c>
    </row>
    <row r="313" spans="1:11" ht="15.75">
      <c r="A313" s="22" t="s">
        <v>624</v>
      </c>
      <c r="B313" s="22" t="s">
        <v>764</v>
      </c>
      <c r="D313" s="46" t="s">
        <v>765</v>
      </c>
      <c r="E313" s="22" t="s">
        <v>766</v>
      </c>
      <c r="F313" s="6" t="s">
        <v>767</v>
      </c>
      <c r="H313" s="23">
        <v>29.99</v>
      </c>
      <c r="I313" s="25">
        <f t="shared" si="18"/>
        <v>1679.4399999999998</v>
      </c>
      <c r="J313" s="25"/>
      <c r="K313" s="35">
        <f t="shared" si="19"/>
        <v>2154.58996866781</v>
      </c>
    </row>
    <row r="314" spans="1:11" ht="15.75">
      <c r="A314" s="22" t="s">
        <v>251</v>
      </c>
      <c r="B314" s="48" t="s">
        <v>768</v>
      </c>
      <c r="D314" s="46" t="s">
        <v>53</v>
      </c>
      <c r="E314" s="22" t="s">
        <v>7</v>
      </c>
      <c r="F314" s="6" t="s">
        <v>769</v>
      </c>
      <c r="H314" s="23">
        <v>2.99</v>
      </c>
      <c r="I314" s="25">
        <f t="shared" si="18"/>
        <v>167.44</v>
      </c>
      <c r="J314" s="25"/>
      <c r="K314" s="35">
        <f t="shared" si="19"/>
        <v>214.8124043453402</v>
      </c>
    </row>
    <row r="315" spans="1:11" ht="15.75">
      <c r="A315" s="22" t="s">
        <v>538</v>
      </c>
      <c r="B315" s="48" t="s">
        <v>768</v>
      </c>
      <c r="D315" s="46" t="s">
        <v>53</v>
      </c>
      <c r="E315" s="22" t="s">
        <v>7</v>
      </c>
      <c r="F315" s="6" t="s">
        <v>769</v>
      </c>
      <c r="H315" s="23">
        <v>2.99</v>
      </c>
      <c r="I315" s="25">
        <f t="shared" si="18"/>
        <v>167.44</v>
      </c>
      <c r="J315" s="25"/>
      <c r="K315" s="35">
        <f t="shared" si="19"/>
        <v>214.8124043453402</v>
      </c>
    </row>
    <row r="316" spans="1:11" ht="15.75">
      <c r="A316" s="22" t="s">
        <v>251</v>
      </c>
      <c r="B316" s="48" t="s">
        <v>768</v>
      </c>
      <c r="D316" s="46" t="s">
        <v>53</v>
      </c>
      <c r="E316" s="22" t="s">
        <v>7</v>
      </c>
      <c r="F316" s="6" t="s">
        <v>770</v>
      </c>
      <c r="H316" s="23">
        <v>2.99</v>
      </c>
      <c r="I316" s="25">
        <f t="shared" si="18"/>
        <v>167.44</v>
      </c>
      <c r="J316" s="25"/>
      <c r="K316" s="35">
        <f t="shared" si="19"/>
        <v>214.8124043453402</v>
      </c>
    </row>
    <row r="317" spans="1:11" ht="15.75">
      <c r="A317" s="22" t="s">
        <v>538</v>
      </c>
      <c r="B317" s="48" t="s">
        <v>768</v>
      </c>
      <c r="D317" s="46" t="s">
        <v>53</v>
      </c>
      <c r="E317" s="22" t="s">
        <v>7</v>
      </c>
      <c r="F317" s="6" t="s">
        <v>770</v>
      </c>
      <c r="G317" s="22">
        <v>1</v>
      </c>
      <c r="H317" s="23">
        <v>2.99</v>
      </c>
      <c r="I317" s="25">
        <f t="shared" si="18"/>
        <v>167.44</v>
      </c>
      <c r="J317" s="25"/>
      <c r="K317" s="35">
        <f t="shared" si="19"/>
        <v>214.8124043453402</v>
      </c>
    </row>
    <row r="318" spans="1:11" ht="15.75">
      <c r="A318" s="22" t="s">
        <v>771</v>
      </c>
      <c r="B318" s="22" t="s">
        <v>772</v>
      </c>
      <c r="D318" s="46" t="s">
        <v>78</v>
      </c>
      <c r="E318" s="22" t="s">
        <v>12</v>
      </c>
      <c r="F318" s="6" t="s">
        <v>80</v>
      </c>
      <c r="G318" s="22">
        <v>1</v>
      </c>
      <c r="H318" s="23">
        <v>6.99</v>
      </c>
      <c r="I318" s="25">
        <f t="shared" si="18"/>
        <v>391.44</v>
      </c>
      <c r="J318" s="34">
        <f>H318*$Q$306*$Q$309</f>
        <v>482.6148583190394</v>
      </c>
      <c r="K318" s="35">
        <f>J318-480</f>
        <v>2.6148583190393992</v>
      </c>
    </row>
    <row r="319" spans="1:18" s="38" customFormat="1" ht="15.75">
      <c r="A319" s="22" t="s">
        <v>538</v>
      </c>
      <c r="B319" s="22" t="s">
        <v>772</v>
      </c>
      <c r="C319" s="22"/>
      <c r="D319" s="46" t="s">
        <v>78</v>
      </c>
      <c r="E319" s="22" t="s">
        <v>12</v>
      </c>
      <c r="F319" s="6" t="s">
        <v>80</v>
      </c>
      <c r="G319" s="22">
        <v>1</v>
      </c>
      <c r="H319" s="23">
        <v>6.99</v>
      </c>
      <c r="I319" s="25">
        <f t="shared" si="18"/>
        <v>391.44</v>
      </c>
      <c r="J319" s="25"/>
      <c r="K319" s="35">
        <f t="shared" si="19"/>
        <v>502.18685831903946</v>
      </c>
      <c r="L319" s="8"/>
      <c r="M319" s="8"/>
      <c r="N319" s="8"/>
      <c r="O319" s="8"/>
      <c r="P319" s="8"/>
      <c r="Q319" s="8"/>
      <c r="R319" s="8"/>
    </row>
    <row r="320" spans="1:18" s="38" customFormat="1" ht="15.75">
      <c r="A320" s="22" t="s">
        <v>773</v>
      </c>
      <c r="B320" s="22" t="s">
        <v>772</v>
      </c>
      <c r="C320" s="22"/>
      <c r="D320" s="46" t="s">
        <v>78</v>
      </c>
      <c r="E320" s="22" t="s">
        <v>12</v>
      </c>
      <c r="F320" s="6" t="s">
        <v>80</v>
      </c>
      <c r="G320" s="22">
        <v>1</v>
      </c>
      <c r="H320" s="23">
        <v>6.99</v>
      </c>
      <c r="I320" s="25">
        <f t="shared" si="18"/>
        <v>391.44</v>
      </c>
      <c r="J320" s="25"/>
      <c r="K320" s="35">
        <f t="shared" si="19"/>
        <v>502.18685831903946</v>
      </c>
      <c r="L320" s="8"/>
      <c r="M320" s="8"/>
      <c r="N320" s="8"/>
      <c r="O320" s="8"/>
      <c r="P320" s="8"/>
      <c r="Q320" s="8"/>
      <c r="R320" s="8"/>
    </row>
    <row r="321" spans="1:18" s="38" customFormat="1" ht="15.75">
      <c r="A321" s="22" t="s">
        <v>773</v>
      </c>
      <c r="B321" s="22" t="s">
        <v>772</v>
      </c>
      <c r="C321" s="22"/>
      <c r="D321" s="46" t="s">
        <v>78</v>
      </c>
      <c r="E321" s="22" t="s">
        <v>12</v>
      </c>
      <c r="F321" s="6" t="s">
        <v>774</v>
      </c>
      <c r="G321" s="22">
        <v>1</v>
      </c>
      <c r="H321" s="23">
        <v>6.99</v>
      </c>
      <c r="I321" s="25">
        <f t="shared" si="18"/>
        <v>391.44</v>
      </c>
      <c r="J321" s="25"/>
      <c r="K321" s="35">
        <f t="shared" si="19"/>
        <v>502.18685831903946</v>
      </c>
      <c r="L321" s="8"/>
      <c r="M321" s="8"/>
      <c r="N321" s="8"/>
      <c r="O321" s="8"/>
      <c r="P321" s="8"/>
      <c r="Q321" s="8"/>
      <c r="R321" s="8"/>
    </row>
    <row r="322" spans="1:18" s="38" customFormat="1" ht="15.75">
      <c r="A322" s="22" t="s">
        <v>538</v>
      </c>
      <c r="B322" s="22" t="s">
        <v>772</v>
      </c>
      <c r="C322" s="22"/>
      <c r="D322" s="46" t="s">
        <v>78</v>
      </c>
      <c r="E322" s="22" t="s">
        <v>12</v>
      </c>
      <c r="F322" s="6" t="s">
        <v>774</v>
      </c>
      <c r="G322" s="22">
        <v>1</v>
      </c>
      <c r="H322" s="23">
        <v>6.99</v>
      </c>
      <c r="I322" s="25">
        <f t="shared" si="18"/>
        <v>391.44</v>
      </c>
      <c r="J322" s="25"/>
      <c r="K322" s="35">
        <f t="shared" si="19"/>
        <v>502.18685831903946</v>
      </c>
      <c r="L322" s="8"/>
      <c r="M322" s="8"/>
      <c r="N322" s="8"/>
      <c r="O322" s="8"/>
      <c r="P322" s="8"/>
      <c r="Q322" s="8"/>
      <c r="R322" s="8"/>
    </row>
    <row r="323" spans="1:18" s="38" customFormat="1" ht="15.75">
      <c r="A323" s="22" t="s">
        <v>350</v>
      </c>
      <c r="B323" s="22" t="s">
        <v>775</v>
      </c>
      <c r="C323" s="22"/>
      <c r="D323" s="46" t="s">
        <v>776</v>
      </c>
      <c r="E323" s="22" t="s">
        <v>12</v>
      </c>
      <c r="F323" s="6" t="s">
        <v>777</v>
      </c>
      <c r="G323" s="22">
        <v>1</v>
      </c>
      <c r="H323" s="23">
        <v>3.99</v>
      </c>
      <c r="I323" s="25">
        <f t="shared" si="18"/>
        <v>223.44</v>
      </c>
      <c r="J323" s="25"/>
      <c r="K323" s="35">
        <f t="shared" si="19"/>
        <v>286.656017838765</v>
      </c>
      <c r="L323" s="8"/>
      <c r="M323" s="8"/>
      <c r="N323" s="8"/>
      <c r="O323" s="8"/>
      <c r="P323" s="8"/>
      <c r="Q323" s="8"/>
      <c r="R323" s="8"/>
    </row>
    <row r="324" spans="1:18" s="38" customFormat="1" ht="15.75">
      <c r="A324" s="22" t="s">
        <v>251</v>
      </c>
      <c r="B324" s="22" t="s">
        <v>95</v>
      </c>
      <c r="C324" s="22"/>
      <c r="D324" s="46" t="s">
        <v>53</v>
      </c>
      <c r="E324" s="22" t="s">
        <v>7</v>
      </c>
      <c r="F324" s="6" t="s">
        <v>706</v>
      </c>
      <c r="G324" s="22">
        <v>1</v>
      </c>
      <c r="H324" s="23">
        <v>2.99</v>
      </c>
      <c r="I324" s="25">
        <f t="shared" si="18"/>
        <v>167.44</v>
      </c>
      <c r="J324" s="25"/>
      <c r="K324" s="35">
        <f t="shared" si="19"/>
        <v>214.8124043453402</v>
      </c>
      <c r="L324" s="8"/>
      <c r="M324" s="8"/>
      <c r="N324" s="8"/>
      <c r="O324" s="8"/>
      <c r="P324" s="8"/>
      <c r="Q324" s="8"/>
      <c r="R324" s="8"/>
    </row>
    <row r="325" spans="1:18" s="38" customFormat="1" ht="15.75">
      <c r="A325" s="22" t="s">
        <v>538</v>
      </c>
      <c r="B325" s="22" t="s">
        <v>95</v>
      </c>
      <c r="C325" s="22"/>
      <c r="D325" s="46" t="s">
        <v>53</v>
      </c>
      <c r="E325" s="22" t="s">
        <v>7</v>
      </c>
      <c r="F325" s="6" t="s">
        <v>706</v>
      </c>
      <c r="G325" s="22">
        <v>1</v>
      </c>
      <c r="H325" s="23">
        <v>2.99</v>
      </c>
      <c r="I325" s="25">
        <f t="shared" si="18"/>
        <v>167.44</v>
      </c>
      <c r="J325" s="25"/>
      <c r="K325" s="35">
        <f t="shared" si="19"/>
        <v>214.8124043453402</v>
      </c>
      <c r="L325" s="8"/>
      <c r="M325" s="8"/>
      <c r="N325" s="8"/>
      <c r="O325" s="8"/>
      <c r="P325" s="8"/>
      <c r="Q325" s="8"/>
      <c r="R325" s="8"/>
    </row>
    <row r="326" spans="1:18" s="38" customFormat="1" ht="15.75">
      <c r="A326" s="22" t="s">
        <v>631</v>
      </c>
      <c r="B326" s="22" t="s">
        <v>415</v>
      </c>
      <c r="C326" s="22"/>
      <c r="D326" s="46" t="s">
        <v>707</v>
      </c>
      <c r="E326" s="22" t="s">
        <v>7</v>
      </c>
      <c r="F326" s="6" t="s">
        <v>708</v>
      </c>
      <c r="G326" s="22">
        <v>1</v>
      </c>
      <c r="H326" s="23">
        <v>3.99</v>
      </c>
      <c r="I326" s="25">
        <f t="shared" si="18"/>
        <v>223.44</v>
      </c>
      <c r="J326" s="34">
        <f>H326*$Q$306*$Q$309</f>
        <v>275.484017838765</v>
      </c>
      <c r="K326" s="35">
        <f>1758-2100</f>
        <v>-342</v>
      </c>
      <c r="L326" s="8"/>
      <c r="M326" s="8"/>
      <c r="N326" s="8"/>
      <c r="O326" s="8"/>
      <c r="P326" s="8"/>
      <c r="Q326" s="8"/>
      <c r="R326" s="8"/>
    </row>
    <row r="327" spans="1:18" s="38" customFormat="1" ht="15.75">
      <c r="A327" s="22" t="s">
        <v>715</v>
      </c>
      <c r="B327" s="22" t="s">
        <v>716</v>
      </c>
      <c r="C327" s="22"/>
      <c r="D327" s="46" t="s">
        <v>717</v>
      </c>
      <c r="E327" s="22" t="s">
        <v>12</v>
      </c>
      <c r="F327" s="6" t="s">
        <v>718</v>
      </c>
      <c r="G327" s="22">
        <v>1</v>
      </c>
      <c r="H327" s="23">
        <v>2.99</v>
      </c>
      <c r="I327" s="25">
        <f t="shared" si="18"/>
        <v>167.44</v>
      </c>
      <c r="J327" s="34">
        <f>H327*$Q$306*$Q$309</f>
        <v>206.4404043453402</v>
      </c>
      <c r="K327" s="35"/>
      <c r="L327" s="8"/>
      <c r="M327" s="8"/>
      <c r="N327" s="8"/>
      <c r="O327" s="8"/>
      <c r="P327" s="8"/>
      <c r="Q327" s="8"/>
      <c r="R327" s="8"/>
    </row>
    <row r="328" spans="1:18" s="38" customFormat="1" ht="15.75">
      <c r="A328" s="22" t="s">
        <v>538</v>
      </c>
      <c r="B328" s="22" t="s">
        <v>716</v>
      </c>
      <c r="C328" s="22"/>
      <c r="D328" s="46" t="s">
        <v>717</v>
      </c>
      <c r="E328" s="22" t="s">
        <v>12</v>
      </c>
      <c r="F328" s="6" t="s">
        <v>718</v>
      </c>
      <c r="G328" s="22">
        <v>1</v>
      </c>
      <c r="H328" s="23">
        <v>2.99</v>
      </c>
      <c r="I328" s="25">
        <f t="shared" si="18"/>
        <v>167.44</v>
      </c>
      <c r="J328" s="25"/>
      <c r="K328" s="35">
        <f t="shared" si="19"/>
        <v>214.8124043453402</v>
      </c>
      <c r="L328" s="8"/>
      <c r="M328" s="8"/>
      <c r="N328" s="8"/>
      <c r="O328" s="8"/>
      <c r="P328" s="8"/>
      <c r="Q328" s="8"/>
      <c r="R328" s="8"/>
    </row>
    <row r="329" spans="1:18" s="38" customFormat="1" ht="15.75">
      <c r="A329" s="22" t="s">
        <v>538</v>
      </c>
      <c r="B329" s="22" t="s">
        <v>716</v>
      </c>
      <c r="C329" s="22"/>
      <c r="D329" s="46" t="s">
        <v>717</v>
      </c>
      <c r="E329" s="22" t="s">
        <v>12</v>
      </c>
      <c r="F329" s="6" t="s">
        <v>718</v>
      </c>
      <c r="G329" s="22">
        <v>1</v>
      </c>
      <c r="H329" s="23">
        <v>2.99</v>
      </c>
      <c r="I329" s="25">
        <f t="shared" si="18"/>
        <v>167.44</v>
      </c>
      <c r="J329" s="25"/>
      <c r="K329" s="35">
        <f t="shared" si="19"/>
        <v>214.8124043453402</v>
      </c>
      <c r="L329" s="8"/>
      <c r="M329" s="8"/>
      <c r="N329" s="8"/>
      <c r="O329" s="8"/>
      <c r="P329" s="8"/>
      <c r="Q329" s="8"/>
      <c r="R329" s="8"/>
    </row>
    <row r="330" spans="1:11" ht="15.75">
      <c r="A330" s="36" t="s">
        <v>778</v>
      </c>
      <c r="D330" s="46" t="s">
        <v>726</v>
      </c>
      <c r="E330" s="22" t="s">
        <v>11</v>
      </c>
      <c r="F330" s="6" t="s">
        <v>779</v>
      </c>
      <c r="G330" s="22">
        <v>1</v>
      </c>
      <c r="H330" s="23">
        <v>9.99</v>
      </c>
      <c r="I330" s="25">
        <f t="shared" si="18"/>
        <v>559.44</v>
      </c>
      <c r="J330" s="25"/>
      <c r="K330" s="35">
        <f t="shared" si="19"/>
        <v>717.7176987993139</v>
      </c>
    </row>
    <row r="331" spans="1:11" ht="15.75">
      <c r="A331" s="22" t="s">
        <v>715</v>
      </c>
      <c r="B331" s="22" t="s">
        <v>709</v>
      </c>
      <c r="D331" s="46" t="s">
        <v>355</v>
      </c>
      <c r="E331" s="22" t="s">
        <v>12</v>
      </c>
      <c r="F331" s="6" t="s">
        <v>424</v>
      </c>
      <c r="G331" s="22">
        <v>1</v>
      </c>
      <c r="H331" s="23">
        <v>2.99</v>
      </c>
      <c r="I331" s="25">
        <f t="shared" si="18"/>
        <v>167.44</v>
      </c>
      <c r="J331" s="34">
        <f>H331*$Q$306*$Q$309</f>
        <v>206.4404043453402</v>
      </c>
      <c r="K331" s="35">
        <f>413-443</f>
        <v>-30</v>
      </c>
    </row>
    <row r="332" spans="1:11" ht="15.75">
      <c r="A332" s="22" t="s">
        <v>538</v>
      </c>
      <c r="B332" s="22" t="s">
        <v>709</v>
      </c>
      <c r="D332" s="46" t="s">
        <v>355</v>
      </c>
      <c r="E332" s="22" t="s">
        <v>12</v>
      </c>
      <c r="F332" s="6" t="s">
        <v>424</v>
      </c>
      <c r="G332" s="22">
        <v>1</v>
      </c>
      <c r="H332" s="23">
        <v>2.99</v>
      </c>
      <c r="I332" s="25">
        <f t="shared" si="18"/>
        <v>167.44</v>
      </c>
      <c r="J332" s="25"/>
      <c r="K332" s="35">
        <f t="shared" si="19"/>
        <v>214.8124043453402</v>
      </c>
    </row>
    <row r="333" spans="1:11" ht="15.75">
      <c r="A333" s="22" t="s">
        <v>251</v>
      </c>
      <c r="B333" s="22" t="s">
        <v>173</v>
      </c>
      <c r="D333" s="46" t="s">
        <v>174</v>
      </c>
      <c r="E333" s="22" t="s">
        <v>12</v>
      </c>
      <c r="F333" s="6" t="s">
        <v>175</v>
      </c>
      <c r="G333" s="22">
        <v>1</v>
      </c>
      <c r="H333" s="23">
        <v>3.99</v>
      </c>
      <c r="I333" s="25">
        <f t="shared" si="18"/>
        <v>223.44</v>
      </c>
      <c r="J333" s="25"/>
      <c r="K333" s="35">
        <f t="shared" si="19"/>
        <v>286.656017838765</v>
      </c>
    </row>
    <row r="334" spans="1:11" ht="15.75">
      <c r="A334" s="22" t="s">
        <v>703</v>
      </c>
      <c r="B334" s="22" t="s">
        <v>173</v>
      </c>
      <c r="D334" s="46" t="s">
        <v>174</v>
      </c>
      <c r="E334" s="22" t="s">
        <v>12</v>
      </c>
      <c r="F334" s="6" t="s">
        <v>175</v>
      </c>
      <c r="G334" s="22">
        <v>1</v>
      </c>
      <c r="H334" s="23">
        <v>3.99</v>
      </c>
      <c r="I334" s="25">
        <f t="shared" si="18"/>
        <v>223.44</v>
      </c>
      <c r="J334" s="25"/>
      <c r="K334" s="35">
        <f t="shared" si="19"/>
        <v>286.656017838765</v>
      </c>
    </row>
    <row r="335" spans="1:11" ht="15.75">
      <c r="A335" s="22" t="s">
        <v>633</v>
      </c>
      <c r="B335" s="22" t="s">
        <v>173</v>
      </c>
      <c r="D335" s="46" t="s">
        <v>174</v>
      </c>
      <c r="E335" s="22" t="s">
        <v>12</v>
      </c>
      <c r="F335" s="6" t="s">
        <v>175</v>
      </c>
      <c r="G335" s="22">
        <v>1</v>
      </c>
      <c r="H335" s="23">
        <v>3.99</v>
      </c>
      <c r="I335" s="25">
        <f t="shared" si="18"/>
        <v>223.44</v>
      </c>
      <c r="J335" s="34">
        <f>H335*$Q$306*$Q$309</f>
        <v>275.484017838765</v>
      </c>
      <c r="K335" s="35">
        <f>2462-3335</f>
        <v>-873</v>
      </c>
    </row>
    <row r="336" spans="1:11" ht="15.75">
      <c r="A336" s="22" t="s">
        <v>538</v>
      </c>
      <c r="B336" s="22" t="s">
        <v>173</v>
      </c>
      <c r="D336" s="46" t="s">
        <v>174</v>
      </c>
      <c r="E336" s="22" t="s">
        <v>12</v>
      </c>
      <c r="F336" s="6" t="s">
        <v>175</v>
      </c>
      <c r="G336" s="22">
        <v>1</v>
      </c>
      <c r="H336" s="23">
        <v>3.99</v>
      </c>
      <c r="I336" s="25">
        <f t="shared" si="18"/>
        <v>223.44</v>
      </c>
      <c r="J336" s="25"/>
      <c r="K336" s="35">
        <f t="shared" si="19"/>
        <v>286.656017838765</v>
      </c>
    </row>
    <row r="337" spans="1:11" ht="15.75">
      <c r="A337" s="22" t="s">
        <v>729</v>
      </c>
      <c r="B337" s="22" t="s">
        <v>173</v>
      </c>
      <c r="D337" s="46" t="s">
        <v>174</v>
      </c>
      <c r="E337" s="22" t="s">
        <v>7</v>
      </c>
      <c r="F337" s="6" t="s">
        <v>175</v>
      </c>
      <c r="G337" s="22">
        <v>1</v>
      </c>
      <c r="H337" s="23">
        <v>3.99</v>
      </c>
      <c r="I337" s="25">
        <f t="shared" si="18"/>
        <v>223.44</v>
      </c>
      <c r="J337" s="25"/>
      <c r="K337" s="35">
        <f t="shared" si="19"/>
        <v>286.656017838765</v>
      </c>
    </row>
    <row r="338" spans="1:11" ht="15.75">
      <c r="A338" s="22" t="s">
        <v>538</v>
      </c>
      <c r="B338" s="22" t="s">
        <v>780</v>
      </c>
      <c r="D338" s="46" t="s">
        <v>781</v>
      </c>
      <c r="E338" s="22" t="s">
        <v>7</v>
      </c>
      <c r="F338" s="6" t="s">
        <v>782</v>
      </c>
      <c r="G338" s="22">
        <v>1</v>
      </c>
      <c r="H338" s="23">
        <v>3.99</v>
      </c>
      <c r="I338" s="25">
        <f t="shared" si="18"/>
        <v>223.44</v>
      </c>
      <c r="J338" s="25"/>
      <c r="K338" s="35">
        <f t="shared" si="19"/>
        <v>286.656017838765</v>
      </c>
    </row>
    <row r="339" spans="1:11" ht="15.75">
      <c r="A339" s="22" t="s">
        <v>538</v>
      </c>
      <c r="B339" s="22" t="s">
        <v>780</v>
      </c>
      <c r="D339" s="46" t="s">
        <v>781</v>
      </c>
      <c r="E339" s="22" t="s">
        <v>7</v>
      </c>
      <c r="F339" s="6" t="s">
        <v>782</v>
      </c>
      <c r="G339" s="22">
        <v>1</v>
      </c>
      <c r="H339" s="23">
        <v>3.99</v>
      </c>
      <c r="I339" s="25">
        <f t="shared" si="18"/>
        <v>223.44</v>
      </c>
      <c r="J339" s="25"/>
      <c r="K339" s="35">
        <f t="shared" si="19"/>
        <v>286.656017838765</v>
      </c>
    </row>
    <row r="340" spans="1:11" ht="15.75">
      <c r="A340" s="22" t="s">
        <v>538</v>
      </c>
      <c r="B340" s="22" t="s">
        <v>772</v>
      </c>
      <c r="D340" s="46" t="s">
        <v>78</v>
      </c>
      <c r="E340" s="22" t="s">
        <v>7</v>
      </c>
      <c r="F340" s="6" t="s">
        <v>783</v>
      </c>
      <c r="G340" s="22">
        <v>1</v>
      </c>
      <c r="H340" s="23">
        <v>6.99</v>
      </c>
      <c r="I340" s="25">
        <f t="shared" si="18"/>
        <v>391.44</v>
      </c>
      <c r="J340" s="25"/>
      <c r="K340" s="35">
        <f t="shared" si="19"/>
        <v>502.18685831903946</v>
      </c>
    </row>
    <row r="341" ht="15">
      <c r="A341" s="22">
        <v>1</v>
      </c>
    </row>
    <row r="342" ht="15">
      <c r="A342" s="22">
        <v>1</v>
      </c>
    </row>
    <row r="343" spans="1:10" ht="15.75">
      <c r="A343" s="30" t="s">
        <v>703</v>
      </c>
      <c r="B343" s="30" t="s">
        <v>701</v>
      </c>
      <c r="C343" s="42"/>
      <c r="D343" s="43" t="s">
        <v>53</v>
      </c>
      <c r="E343" s="30" t="s">
        <v>12</v>
      </c>
      <c r="F343" s="43" t="s">
        <v>54</v>
      </c>
      <c r="G343" s="30">
        <v>1</v>
      </c>
      <c r="H343" s="28">
        <v>2.99</v>
      </c>
      <c r="I343" s="28" t="s">
        <v>205</v>
      </c>
      <c r="J343" s="30"/>
    </row>
    <row r="344" spans="1:10" ht="15.75">
      <c r="A344" s="30" t="s">
        <v>703</v>
      </c>
      <c r="B344" s="30" t="s">
        <v>701</v>
      </c>
      <c r="C344" s="42"/>
      <c r="D344" s="43" t="s">
        <v>53</v>
      </c>
      <c r="E344" s="30" t="s">
        <v>12</v>
      </c>
      <c r="F344" s="43" t="s">
        <v>705</v>
      </c>
      <c r="G344" s="30">
        <v>1</v>
      </c>
      <c r="H344" s="28">
        <v>2.99</v>
      </c>
      <c r="I344" s="28" t="s">
        <v>205</v>
      </c>
      <c r="J344" s="30"/>
    </row>
    <row r="345" spans="1:10" ht="15.75">
      <c r="A345" s="30" t="s">
        <v>631</v>
      </c>
      <c r="B345" s="30" t="s">
        <v>709</v>
      </c>
      <c r="C345" s="30"/>
      <c r="D345" s="43" t="s">
        <v>710</v>
      </c>
      <c r="E345" s="30" t="s">
        <v>7</v>
      </c>
      <c r="F345" s="43" t="s">
        <v>711</v>
      </c>
      <c r="G345" s="30">
        <v>1</v>
      </c>
      <c r="H345" s="28">
        <v>2.99</v>
      </c>
      <c r="I345" s="28" t="s">
        <v>205</v>
      </c>
      <c r="J345" s="30"/>
    </row>
    <row r="346" spans="1:10" ht="15.75">
      <c r="A346" s="30" t="s">
        <v>292</v>
      </c>
      <c r="B346" s="30" t="s">
        <v>712</v>
      </c>
      <c r="C346" s="30"/>
      <c r="D346" s="43" t="s">
        <v>713</v>
      </c>
      <c r="E346" s="30" t="s">
        <v>7</v>
      </c>
      <c r="F346" s="43" t="s">
        <v>714</v>
      </c>
      <c r="G346" s="30">
        <v>1</v>
      </c>
      <c r="H346" s="28">
        <v>2.99</v>
      </c>
      <c r="I346" s="28" t="s">
        <v>205</v>
      </c>
      <c r="J346" s="30"/>
    </row>
    <row r="347" spans="1:10" ht="15.75">
      <c r="A347" s="30" t="s">
        <v>142</v>
      </c>
      <c r="B347" s="30" t="s">
        <v>719</v>
      </c>
      <c r="C347" s="30"/>
      <c r="D347" s="43" t="s">
        <v>69</v>
      </c>
      <c r="E347" s="30" t="s">
        <v>7</v>
      </c>
      <c r="F347" s="43" t="s">
        <v>720</v>
      </c>
      <c r="G347" s="30">
        <v>1</v>
      </c>
      <c r="H347" s="28">
        <v>2.99</v>
      </c>
      <c r="I347" s="28" t="s">
        <v>205</v>
      </c>
      <c r="J347" s="30"/>
    </row>
    <row r="348" spans="1:10" ht="15.75">
      <c r="A348" s="30" t="s">
        <v>142</v>
      </c>
      <c r="B348" s="30" t="s">
        <v>719</v>
      </c>
      <c r="C348" s="30"/>
      <c r="D348" s="43" t="s">
        <v>69</v>
      </c>
      <c r="E348" s="30" t="s">
        <v>7</v>
      </c>
      <c r="F348" s="43" t="s">
        <v>422</v>
      </c>
      <c r="G348" s="30">
        <v>1</v>
      </c>
      <c r="H348" s="28">
        <v>2.99</v>
      </c>
      <c r="I348" s="28" t="s">
        <v>205</v>
      </c>
      <c r="J348" s="30"/>
    </row>
    <row r="349" spans="1:10" ht="15.75">
      <c r="A349" s="30" t="s">
        <v>463</v>
      </c>
      <c r="B349" s="30" t="s">
        <v>95</v>
      </c>
      <c r="C349" s="30"/>
      <c r="D349" s="43" t="s">
        <v>227</v>
      </c>
      <c r="E349" s="30" t="s">
        <v>14</v>
      </c>
      <c r="F349" s="43" t="s">
        <v>706</v>
      </c>
      <c r="G349" s="30">
        <v>1</v>
      </c>
      <c r="H349" s="28">
        <v>2.99</v>
      </c>
      <c r="I349" s="28" t="s">
        <v>205</v>
      </c>
      <c r="J349" s="30"/>
    </row>
    <row r="350" spans="1:10" ht="15.75">
      <c r="A350" s="30" t="s">
        <v>463</v>
      </c>
      <c r="B350" s="30" t="s">
        <v>721</v>
      </c>
      <c r="C350" s="30"/>
      <c r="D350" s="43" t="s">
        <v>722</v>
      </c>
      <c r="E350" s="30" t="s">
        <v>14</v>
      </c>
      <c r="F350" s="43" t="s">
        <v>714</v>
      </c>
      <c r="G350" s="30">
        <v>1</v>
      </c>
      <c r="H350" s="28">
        <v>2.99</v>
      </c>
      <c r="I350" s="28" t="s">
        <v>205</v>
      </c>
      <c r="J350" s="30"/>
    </row>
    <row r="351" spans="1:10" ht="15.75">
      <c r="A351" s="30" t="s">
        <v>463</v>
      </c>
      <c r="B351" s="30" t="s">
        <v>721</v>
      </c>
      <c r="C351" s="30"/>
      <c r="D351" s="43" t="s">
        <v>722</v>
      </c>
      <c r="E351" s="30" t="s">
        <v>14</v>
      </c>
      <c r="F351" s="43" t="s">
        <v>723</v>
      </c>
      <c r="G351" s="30">
        <v>1</v>
      </c>
      <c r="H351" s="28">
        <v>2.99</v>
      </c>
      <c r="I351" s="28" t="s">
        <v>205</v>
      </c>
      <c r="J351" s="30"/>
    </row>
    <row r="352" spans="1:10" ht="15.75">
      <c r="A352" s="30" t="s">
        <v>576</v>
      </c>
      <c r="B352" s="30" t="s">
        <v>721</v>
      </c>
      <c r="C352" s="30"/>
      <c r="D352" s="43" t="s">
        <v>713</v>
      </c>
      <c r="E352" s="30" t="s">
        <v>13</v>
      </c>
      <c r="F352" s="43" t="s">
        <v>724</v>
      </c>
      <c r="G352" s="30">
        <v>1</v>
      </c>
      <c r="H352" s="28">
        <v>2.99</v>
      </c>
      <c r="I352" s="28" t="s">
        <v>205</v>
      </c>
      <c r="J352" s="30"/>
    </row>
    <row r="353" spans="1:10" ht="15.75">
      <c r="A353" s="30" t="s">
        <v>463</v>
      </c>
      <c r="B353" s="30" t="s">
        <v>725</v>
      </c>
      <c r="C353" s="30"/>
      <c r="D353" s="43" t="s">
        <v>726</v>
      </c>
      <c r="E353" s="30" t="s">
        <v>466</v>
      </c>
      <c r="F353" s="60" t="s">
        <v>727</v>
      </c>
      <c r="G353" s="30">
        <v>1</v>
      </c>
      <c r="H353" s="28">
        <v>9.99</v>
      </c>
      <c r="I353" s="28" t="s">
        <v>205</v>
      </c>
      <c r="J353" s="30"/>
    </row>
    <row r="354" spans="1:10" ht="15">
      <c r="A354" s="30" t="s">
        <v>633</v>
      </c>
      <c r="B354" s="30" t="s">
        <v>728</v>
      </c>
      <c r="C354" s="30"/>
      <c r="D354" s="30"/>
      <c r="E354" s="30"/>
      <c r="F354" s="30"/>
      <c r="G354" s="30"/>
      <c r="H354" s="28"/>
      <c r="I354" s="28" t="s">
        <v>205</v>
      </c>
      <c r="J354" s="30"/>
    </row>
    <row r="355" spans="1:10" ht="15">
      <c r="A355" s="30" t="s">
        <v>633</v>
      </c>
      <c r="B355" s="30" t="s">
        <v>728</v>
      </c>
      <c r="C355" s="30"/>
      <c r="D355" s="30"/>
      <c r="E355" s="30"/>
      <c r="F355" s="30"/>
      <c r="G355" s="30"/>
      <c r="H355" s="28"/>
      <c r="I355" s="28" t="s">
        <v>205</v>
      </c>
      <c r="J355" s="30"/>
    </row>
    <row r="356" spans="1:10" ht="15">
      <c r="A356" s="30" t="s">
        <v>115</v>
      </c>
      <c r="B356" s="30" t="s">
        <v>730</v>
      </c>
      <c r="C356" s="30"/>
      <c r="D356" s="30"/>
      <c r="E356" s="30"/>
      <c r="F356" s="30"/>
      <c r="G356" s="30"/>
      <c r="H356" s="28"/>
      <c r="I356" s="28" t="s">
        <v>205</v>
      </c>
      <c r="J356" s="30"/>
    </row>
    <row r="357" spans="1:10" ht="15">
      <c r="A357" s="30" t="s">
        <v>251</v>
      </c>
      <c r="B357" s="30" t="s">
        <v>721</v>
      </c>
      <c r="C357" s="30"/>
      <c r="D357" s="30"/>
      <c r="E357" s="30"/>
      <c r="F357" s="30"/>
      <c r="G357" s="30"/>
      <c r="H357" s="28"/>
      <c r="I357" s="28" t="s">
        <v>205</v>
      </c>
      <c r="J357" s="30"/>
    </row>
    <row r="358" spans="1:10" ht="15">
      <c r="A358" s="30" t="s">
        <v>564</v>
      </c>
      <c r="B358" s="30" t="s">
        <v>565</v>
      </c>
      <c r="C358" s="30"/>
      <c r="D358" s="30"/>
      <c r="E358" s="30"/>
      <c r="F358" s="30"/>
      <c r="G358" s="30"/>
      <c r="H358" s="28"/>
      <c r="I358" s="28" t="s">
        <v>205</v>
      </c>
      <c r="J358" s="30"/>
    </row>
    <row r="359" spans="1:10" ht="15">
      <c r="A359" s="30" t="s">
        <v>564</v>
      </c>
      <c r="B359" s="30" t="s">
        <v>565</v>
      </c>
      <c r="C359" s="30"/>
      <c r="D359" s="30"/>
      <c r="E359" s="30"/>
      <c r="F359" s="30"/>
      <c r="G359" s="30"/>
      <c r="H359" s="28"/>
      <c r="I359" s="28" t="s">
        <v>205</v>
      </c>
      <c r="J359" s="30"/>
    </row>
    <row r="360" spans="1:6" ht="16.5" thickBot="1">
      <c r="A360" s="26" t="s">
        <v>823</v>
      </c>
      <c r="B360" s="8"/>
      <c r="C360" s="48"/>
      <c r="F360" s="27" t="s">
        <v>822</v>
      </c>
    </row>
    <row r="361" spans="1:17" ht="15.75">
      <c r="A361" s="63" t="s">
        <v>785</v>
      </c>
      <c r="B361" s="20" t="s">
        <v>786</v>
      </c>
      <c r="C361" s="20"/>
      <c r="D361" s="32" t="s">
        <v>787</v>
      </c>
      <c r="E361" s="20" t="s">
        <v>7</v>
      </c>
      <c r="F361" s="20" t="s">
        <v>788</v>
      </c>
      <c r="G361" s="20">
        <v>1</v>
      </c>
      <c r="H361" s="31">
        <v>28</v>
      </c>
      <c r="I361" s="25">
        <f>H361*$Q$367</f>
        <v>1624</v>
      </c>
      <c r="J361" s="25">
        <f>H361*$Q$364*$Q$367</f>
        <v>2011.2266099190165</v>
      </c>
      <c r="K361" s="25">
        <f>H361*$Q$365*$Q$367</f>
        <v>2092.4266099190163</v>
      </c>
      <c r="L361" s="38"/>
      <c r="M361" s="38"/>
      <c r="N361" s="38"/>
      <c r="O361" s="38"/>
      <c r="P361" s="16" t="s">
        <v>19</v>
      </c>
      <c r="Q361" s="13">
        <f>SUM(H361:H380)</f>
        <v>338.3400000000001</v>
      </c>
    </row>
    <row r="362" spans="1:17" ht="15.75">
      <c r="A362" s="7" t="s">
        <v>752</v>
      </c>
      <c r="B362" s="20" t="s">
        <v>789</v>
      </c>
      <c r="C362" s="20"/>
      <c r="D362" s="32" t="s">
        <v>790</v>
      </c>
      <c r="E362" s="47" t="s">
        <v>548</v>
      </c>
      <c r="F362" s="47" t="s">
        <v>791</v>
      </c>
      <c r="G362" s="20">
        <v>1</v>
      </c>
      <c r="H362" s="31">
        <v>19.99</v>
      </c>
      <c r="I362" s="25">
        <f aca="true" t="shared" si="20" ref="I362:I380">H362*$Q$367</f>
        <v>1159.4199999999998</v>
      </c>
      <c r="J362" s="25">
        <f aca="true" t="shared" si="21" ref="J362:J379">H362*$Q$364*$Q$367</f>
        <v>1435.872140438612</v>
      </c>
      <c r="K362" s="25">
        <f>J362-1999</f>
        <v>-563.127859561388</v>
      </c>
      <c r="L362" s="38"/>
      <c r="M362" s="38"/>
      <c r="N362" s="38"/>
      <c r="O362" s="38"/>
      <c r="P362" s="17" t="s">
        <v>15</v>
      </c>
      <c r="Q362" s="9">
        <v>56.99</v>
      </c>
    </row>
    <row r="363" spans="1:17" ht="15.75">
      <c r="A363" s="63" t="s">
        <v>778</v>
      </c>
      <c r="B363" s="20" t="s">
        <v>792</v>
      </c>
      <c r="C363" s="20"/>
      <c r="D363" s="32" t="s">
        <v>793</v>
      </c>
      <c r="E363" s="20" t="s">
        <v>13</v>
      </c>
      <c r="F363" s="32" t="s">
        <v>794</v>
      </c>
      <c r="G363" s="20">
        <v>1</v>
      </c>
      <c r="H363" s="31">
        <v>17.99</v>
      </c>
      <c r="I363" s="25">
        <f t="shared" si="20"/>
        <v>1043.4199999999998</v>
      </c>
      <c r="J363" s="25">
        <f t="shared" si="21"/>
        <v>1292.2130968729678</v>
      </c>
      <c r="K363" s="25">
        <f aca="true" t="shared" si="22" ref="K363:K379">H363*$Q$365*$Q$367</f>
        <v>1344.384096872968</v>
      </c>
      <c r="L363" s="38"/>
      <c r="M363" s="38"/>
      <c r="N363" s="38"/>
      <c r="O363" s="38"/>
      <c r="P363" s="18" t="s">
        <v>111</v>
      </c>
      <c r="Q363" s="56">
        <f>Q362/Q361</f>
        <v>0.16844003073831054</v>
      </c>
    </row>
    <row r="364" spans="1:17" ht="15.75">
      <c r="A364" s="63" t="s">
        <v>778</v>
      </c>
      <c r="B364" s="20" t="s">
        <v>792</v>
      </c>
      <c r="C364" s="20"/>
      <c r="D364" s="32" t="s">
        <v>795</v>
      </c>
      <c r="E364" s="20" t="s">
        <v>13</v>
      </c>
      <c r="F364" s="32" t="s">
        <v>794</v>
      </c>
      <c r="G364" s="20">
        <v>1</v>
      </c>
      <c r="H364" s="31">
        <v>12.99</v>
      </c>
      <c r="I364" s="25">
        <f t="shared" si="20"/>
        <v>753.42</v>
      </c>
      <c r="J364" s="25">
        <f t="shared" si="21"/>
        <v>933.065487958858</v>
      </c>
      <c r="K364" s="25">
        <f t="shared" si="22"/>
        <v>970.736487958858</v>
      </c>
      <c r="L364" s="38"/>
      <c r="M364" s="38"/>
      <c r="N364" s="38"/>
      <c r="O364" s="38"/>
      <c r="P364" s="17" t="s">
        <v>16</v>
      </c>
      <c r="Q364" s="10">
        <f>1+Q362/Q361+0.07</f>
        <v>1.2384400307383105</v>
      </c>
    </row>
    <row r="365" spans="1:17" ht="15.75">
      <c r="A365" s="37" t="s">
        <v>223</v>
      </c>
      <c r="B365" s="22" t="s">
        <v>796</v>
      </c>
      <c r="D365" s="55" t="s">
        <v>797</v>
      </c>
      <c r="E365" s="22" t="s">
        <v>134</v>
      </c>
      <c r="F365" s="24" t="s">
        <v>798</v>
      </c>
      <c r="G365" s="22">
        <v>1</v>
      </c>
      <c r="H365" s="23">
        <v>89.5</v>
      </c>
      <c r="I365" s="25">
        <f t="shared" si="20"/>
        <v>5191</v>
      </c>
      <c r="J365" s="25">
        <f t="shared" si="21"/>
        <v>6428.74219956257</v>
      </c>
      <c r="K365" s="25">
        <f t="shared" si="22"/>
        <v>6688.29219956257</v>
      </c>
      <c r="P365" s="17" t="s">
        <v>16</v>
      </c>
      <c r="Q365" s="10">
        <f>1+Q362/Q361+0.12</f>
        <v>1.2884400307383106</v>
      </c>
    </row>
    <row r="366" spans="1:17" ht="15.75">
      <c r="A366" s="37" t="s">
        <v>28</v>
      </c>
      <c r="B366" s="22" t="s">
        <v>799</v>
      </c>
      <c r="D366" s="55" t="s">
        <v>800</v>
      </c>
      <c r="E366" s="22" t="s">
        <v>12</v>
      </c>
      <c r="F366" s="24" t="s">
        <v>801</v>
      </c>
      <c r="G366" s="22">
        <v>1</v>
      </c>
      <c r="H366" s="23">
        <v>43.99</v>
      </c>
      <c r="I366" s="25">
        <f t="shared" si="20"/>
        <v>2551.42</v>
      </c>
      <c r="J366" s="25">
        <f t="shared" si="21"/>
        <v>3159.7806632263405</v>
      </c>
      <c r="K366" s="25">
        <f t="shared" si="22"/>
        <v>3287.3516632263404</v>
      </c>
      <c r="P366" s="18"/>
      <c r="Q366" s="10"/>
    </row>
    <row r="367" spans="1:17" ht="16.5" thickBot="1">
      <c r="A367" s="37" t="s">
        <v>602</v>
      </c>
      <c r="B367" s="22" t="s">
        <v>802</v>
      </c>
      <c r="D367" s="55" t="s">
        <v>803</v>
      </c>
      <c r="E367" s="22" t="s">
        <v>134</v>
      </c>
      <c r="G367" s="22">
        <v>1</v>
      </c>
      <c r="H367" s="23">
        <v>5</v>
      </c>
      <c r="I367" s="25">
        <f t="shared" si="20"/>
        <v>290</v>
      </c>
      <c r="J367" s="25">
        <f t="shared" si="21"/>
        <v>359.14760891411004</v>
      </c>
      <c r="K367" s="25">
        <f t="shared" si="22"/>
        <v>373.6476089141101</v>
      </c>
      <c r="P367" s="19" t="s">
        <v>17</v>
      </c>
      <c r="Q367" s="12">
        <v>58</v>
      </c>
    </row>
    <row r="368" spans="1:11" ht="15.75">
      <c r="A368" s="37" t="s">
        <v>804</v>
      </c>
      <c r="B368" s="22" t="s">
        <v>805</v>
      </c>
      <c r="D368" s="55" t="s">
        <v>806</v>
      </c>
      <c r="E368" s="22" t="s">
        <v>427</v>
      </c>
      <c r="F368" s="24" t="s">
        <v>807</v>
      </c>
      <c r="G368" s="22">
        <v>1</v>
      </c>
      <c r="H368" s="23">
        <v>9.99</v>
      </c>
      <c r="I368" s="25">
        <f t="shared" si="20"/>
        <v>579.42</v>
      </c>
      <c r="J368" s="25">
        <f t="shared" si="21"/>
        <v>717.5769226103919</v>
      </c>
      <c r="K368" s="25">
        <f t="shared" si="22"/>
        <v>746.547922610392</v>
      </c>
    </row>
    <row r="369" spans="1:11" ht="15.75">
      <c r="A369" s="37" t="s">
        <v>804</v>
      </c>
      <c r="B369" s="22" t="s">
        <v>805</v>
      </c>
      <c r="D369" s="55" t="s">
        <v>808</v>
      </c>
      <c r="E369" s="22" t="s">
        <v>427</v>
      </c>
      <c r="F369" s="24" t="s">
        <v>807</v>
      </c>
      <c r="G369" s="22">
        <v>1</v>
      </c>
      <c r="H369" s="23">
        <v>16.99</v>
      </c>
      <c r="I369" s="25">
        <f t="shared" si="20"/>
        <v>985.42</v>
      </c>
      <c r="J369" s="25">
        <f t="shared" si="21"/>
        <v>1220.3835750901458</v>
      </c>
      <c r="K369" s="25">
        <f t="shared" si="22"/>
        <v>1269.654575090146</v>
      </c>
    </row>
    <row r="370" spans="1:11" ht="15.75">
      <c r="A370" s="37" t="s">
        <v>715</v>
      </c>
      <c r="B370" s="22" t="s">
        <v>805</v>
      </c>
      <c r="D370" s="55" t="s">
        <v>806</v>
      </c>
      <c r="E370" s="22" t="s">
        <v>14</v>
      </c>
      <c r="F370" s="24" t="s">
        <v>807</v>
      </c>
      <c r="G370" s="22">
        <v>1</v>
      </c>
      <c r="H370" s="23">
        <v>9.99</v>
      </c>
      <c r="I370" s="25">
        <f t="shared" si="20"/>
        <v>579.42</v>
      </c>
      <c r="J370" s="25">
        <f t="shared" si="21"/>
        <v>717.5769226103919</v>
      </c>
      <c r="K370" s="25">
        <f t="shared" si="22"/>
        <v>746.547922610392</v>
      </c>
    </row>
    <row r="371" spans="1:11" ht="15.75">
      <c r="A371" s="37" t="s">
        <v>715</v>
      </c>
      <c r="B371" s="22" t="s">
        <v>805</v>
      </c>
      <c r="D371" s="55" t="s">
        <v>808</v>
      </c>
      <c r="E371" s="22" t="s">
        <v>13</v>
      </c>
      <c r="F371" s="24" t="s">
        <v>807</v>
      </c>
      <c r="G371" s="22">
        <v>1</v>
      </c>
      <c r="H371" s="23">
        <v>16.99</v>
      </c>
      <c r="I371" s="25">
        <f t="shared" si="20"/>
        <v>985.42</v>
      </c>
      <c r="J371" s="25">
        <f t="shared" si="21"/>
        <v>1220.3835750901458</v>
      </c>
      <c r="K371" s="25">
        <f t="shared" si="22"/>
        <v>1269.654575090146</v>
      </c>
    </row>
    <row r="372" spans="1:11" ht="15.75">
      <c r="A372" s="37" t="s">
        <v>809</v>
      </c>
      <c r="B372" s="22" t="s">
        <v>810</v>
      </c>
      <c r="D372" s="55" t="s">
        <v>707</v>
      </c>
      <c r="E372" s="22" t="s">
        <v>427</v>
      </c>
      <c r="F372" s="24" t="s">
        <v>708</v>
      </c>
      <c r="G372" s="22">
        <v>1</v>
      </c>
      <c r="H372" s="23">
        <v>3.99</v>
      </c>
      <c r="I372" s="25">
        <f t="shared" si="20"/>
        <v>231.42000000000002</v>
      </c>
      <c r="J372" s="25">
        <f t="shared" si="21"/>
        <v>286.59979191345985</v>
      </c>
      <c r="K372" s="25">
        <f t="shared" si="22"/>
        <v>298.1707919134599</v>
      </c>
    </row>
    <row r="373" spans="1:11" ht="15.75">
      <c r="A373" s="37" t="s">
        <v>804</v>
      </c>
      <c r="B373" s="22" t="s">
        <v>811</v>
      </c>
      <c r="D373" s="55" t="s">
        <v>458</v>
      </c>
      <c r="E373" s="22" t="s">
        <v>427</v>
      </c>
      <c r="F373" s="24" t="s">
        <v>179</v>
      </c>
      <c r="G373" s="22">
        <v>1</v>
      </c>
      <c r="H373" s="23">
        <v>8.99</v>
      </c>
      <c r="I373" s="25">
        <f t="shared" si="20"/>
        <v>521.42</v>
      </c>
      <c r="J373" s="25">
        <f t="shared" si="21"/>
        <v>645.7474008275699</v>
      </c>
      <c r="K373" s="25">
        <f t="shared" si="22"/>
        <v>671.8184008275699</v>
      </c>
    </row>
    <row r="374" spans="1:11" ht="15.75">
      <c r="A374" s="37" t="s">
        <v>804</v>
      </c>
      <c r="B374" s="22" t="s">
        <v>811</v>
      </c>
      <c r="D374" s="55" t="s">
        <v>812</v>
      </c>
      <c r="E374" s="22" t="s">
        <v>427</v>
      </c>
      <c r="F374" s="24" t="s">
        <v>179</v>
      </c>
      <c r="G374" s="22">
        <v>1</v>
      </c>
      <c r="H374" s="23">
        <v>9.99</v>
      </c>
      <c r="I374" s="25">
        <f t="shared" si="20"/>
        <v>579.42</v>
      </c>
      <c r="J374" s="25">
        <f t="shared" si="21"/>
        <v>717.5769226103919</v>
      </c>
      <c r="K374" s="25">
        <f t="shared" si="22"/>
        <v>746.547922610392</v>
      </c>
    </row>
    <row r="375" spans="1:11" ht="15.75">
      <c r="A375" s="37" t="s">
        <v>813</v>
      </c>
      <c r="B375" s="22" t="s">
        <v>814</v>
      </c>
      <c r="D375" s="55" t="s">
        <v>560</v>
      </c>
      <c r="E375" s="22" t="s">
        <v>427</v>
      </c>
      <c r="F375" s="24" t="s">
        <v>481</v>
      </c>
      <c r="G375" s="22">
        <v>1</v>
      </c>
      <c r="H375" s="23">
        <v>8.99</v>
      </c>
      <c r="I375" s="25">
        <f t="shared" si="20"/>
        <v>521.42</v>
      </c>
      <c r="J375" s="25">
        <f t="shared" si="21"/>
        <v>645.7474008275699</v>
      </c>
      <c r="K375" s="25">
        <f t="shared" si="22"/>
        <v>671.8184008275699</v>
      </c>
    </row>
    <row r="376" spans="1:11" ht="15.75">
      <c r="A376" s="37" t="s">
        <v>564</v>
      </c>
      <c r="B376" s="22" t="s">
        <v>815</v>
      </c>
      <c r="D376" s="55" t="s">
        <v>414</v>
      </c>
      <c r="E376" s="22" t="s">
        <v>12</v>
      </c>
      <c r="F376" s="24" t="s">
        <v>184</v>
      </c>
      <c r="G376" s="22">
        <v>1</v>
      </c>
      <c r="H376" s="23">
        <v>3.99</v>
      </c>
      <c r="I376" s="25">
        <f t="shared" si="20"/>
        <v>231.42000000000002</v>
      </c>
      <c r="J376" s="25">
        <f t="shared" si="21"/>
        <v>286.59979191345985</v>
      </c>
      <c r="K376" s="25">
        <f t="shared" si="22"/>
        <v>298.1707919134599</v>
      </c>
    </row>
    <row r="377" spans="1:11" ht="15.75">
      <c r="A377" s="37" t="s">
        <v>564</v>
      </c>
      <c r="B377" s="22" t="s">
        <v>816</v>
      </c>
      <c r="D377" s="55" t="s">
        <v>717</v>
      </c>
      <c r="E377" s="22" t="s">
        <v>12</v>
      </c>
      <c r="F377" s="24" t="s">
        <v>424</v>
      </c>
      <c r="G377" s="22">
        <v>1</v>
      </c>
      <c r="H377" s="23">
        <v>2.99</v>
      </c>
      <c r="I377" s="25">
        <f t="shared" si="20"/>
        <v>173.42000000000002</v>
      </c>
      <c r="J377" s="25">
        <f t="shared" si="21"/>
        <v>214.7702701306378</v>
      </c>
      <c r="K377" s="25">
        <f t="shared" si="22"/>
        <v>223.44127013063783</v>
      </c>
    </row>
    <row r="378" spans="1:11" ht="15.75">
      <c r="A378" s="37" t="s">
        <v>564</v>
      </c>
      <c r="B378" s="22" t="s">
        <v>816</v>
      </c>
      <c r="D378" s="55" t="s">
        <v>717</v>
      </c>
      <c r="E378" s="22" t="s">
        <v>12</v>
      </c>
      <c r="F378" s="24" t="s">
        <v>817</v>
      </c>
      <c r="G378" s="22">
        <v>1</v>
      </c>
      <c r="H378" s="23">
        <v>2.99</v>
      </c>
      <c r="I378" s="25">
        <f t="shared" si="20"/>
        <v>173.42000000000002</v>
      </c>
      <c r="J378" s="25">
        <f t="shared" si="21"/>
        <v>214.7702701306378</v>
      </c>
      <c r="K378" s="25">
        <f t="shared" si="22"/>
        <v>223.44127013063783</v>
      </c>
    </row>
    <row r="379" spans="1:11" ht="15.75">
      <c r="A379" s="63" t="s">
        <v>785</v>
      </c>
      <c r="B379" s="22" t="s">
        <v>818</v>
      </c>
      <c r="D379" s="55" t="s">
        <v>819</v>
      </c>
      <c r="E379" s="20" t="s">
        <v>7</v>
      </c>
      <c r="F379" s="20" t="s">
        <v>788</v>
      </c>
      <c r="G379" s="22">
        <v>1</v>
      </c>
      <c r="H379" s="23">
        <v>13</v>
      </c>
      <c r="I379" s="25">
        <f t="shared" si="20"/>
        <v>754</v>
      </c>
      <c r="J379" s="25">
        <f t="shared" si="21"/>
        <v>933.7837831766861</v>
      </c>
      <c r="K379" s="25">
        <f t="shared" si="22"/>
        <v>971.4837831766861</v>
      </c>
    </row>
    <row r="380" spans="1:11" ht="15.75">
      <c r="A380" s="63" t="s">
        <v>463</v>
      </c>
      <c r="B380" s="64" t="s">
        <v>820</v>
      </c>
      <c r="C380" s="20"/>
      <c r="D380" s="32" t="s">
        <v>821</v>
      </c>
      <c r="E380" s="32" t="s">
        <v>466</v>
      </c>
      <c r="F380" s="32" t="s">
        <v>608</v>
      </c>
      <c r="G380" s="22">
        <v>1</v>
      </c>
      <c r="H380" s="31">
        <v>11.99</v>
      </c>
      <c r="I380" s="25">
        <f t="shared" si="20"/>
        <v>695.42</v>
      </c>
      <c r="J380" s="25">
        <f>H380*$Q$364*$Q$367</f>
        <v>861.2359661760358</v>
      </c>
      <c r="K380" s="25">
        <f>J380-650</f>
        <v>211.23596617603584</v>
      </c>
    </row>
    <row r="381" spans="1:6" ht="15.75">
      <c r="A381" s="37">
        <v>1</v>
      </c>
      <c r="D381" s="55"/>
      <c r="E381" s="24"/>
      <c r="F381" s="24"/>
    </row>
    <row r="382" spans="1:6" ht="15.75">
      <c r="A382" s="37">
        <v>1</v>
      </c>
      <c r="D382" s="55"/>
      <c r="E382" s="24"/>
      <c r="F382" s="24"/>
    </row>
    <row r="383" spans="1:6" ht="15.75">
      <c r="A383" s="37">
        <v>1</v>
      </c>
      <c r="D383" s="55"/>
      <c r="E383" s="24"/>
      <c r="F383" s="24"/>
    </row>
    <row r="384" ht="15">
      <c r="A384" s="37">
        <v>1</v>
      </c>
    </row>
    <row r="385" ht="15">
      <c r="A385" s="37">
        <v>1</v>
      </c>
    </row>
    <row r="386" ht="15">
      <c r="A386" s="37">
        <v>1</v>
      </c>
    </row>
    <row r="387" ht="15">
      <c r="A387" s="22">
        <v>1</v>
      </c>
    </row>
    <row r="388" spans="1:6" ht="16.5" thickBot="1">
      <c r="A388" s="26" t="s">
        <v>825</v>
      </c>
      <c r="C388" s="14"/>
      <c r="D388" s="46"/>
      <c r="F388" s="27" t="s">
        <v>948</v>
      </c>
    </row>
    <row r="389" spans="1:17" ht="15.75">
      <c r="A389" s="22" t="s">
        <v>98</v>
      </c>
      <c r="B389" s="22" t="s">
        <v>826</v>
      </c>
      <c r="D389" s="46" t="s">
        <v>827</v>
      </c>
      <c r="E389" s="22" t="s">
        <v>163</v>
      </c>
      <c r="F389" s="6" t="s">
        <v>470</v>
      </c>
      <c r="G389" s="22">
        <v>1</v>
      </c>
      <c r="H389" s="23">
        <v>18.19</v>
      </c>
      <c r="I389" s="25">
        <f>H389*$Q$395</f>
        <v>1036.8300000000002</v>
      </c>
      <c r="J389" s="25">
        <f>H389*$Q$392*$Q$395</f>
        <v>1278.2770711640137</v>
      </c>
      <c r="K389" s="25">
        <f>H389*$Q$393*$Q$395</f>
        <v>1330.118571164014</v>
      </c>
      <c r="P389" s="16" t="s">
        <v>19</v>
      </c>
      <c r="Q389" s="13">
        <f>SUM(H389:H431)</f>
        <v>349.91</v>
      </c>
    </row>
    <row r="390" spans="1:17" ht="15.75">
      <c r="A390" s="22" t="s">
        <v>93</v>
      </c>
      <c r="B390" s="22" t="s">
        <v>828</v>
      </c>
      <c r="D390" s="46" t="s">
        <v>829</v>
      </c>
      <c r="E390" s="22" t="s">
        <v>7</v>
      </c>
      <c r="F390" s="6" t="s">
        <v>830</v>
      </c>
      <c r="G390" s="22">
        <v>1</v>
      </c>
      <c r="H390" s="23">
        <v>5.59</v>
      </c>
      <c r="I390" s="25">
        <f aca="true" t="shared" si="23" ref="I390:I431">H390*$Q$395</f>
        <v>318.63</v>
      </c>
      <c r="J390" s="25">
        <f aca="true" t="shared" si="24" ref="J390:J431">H390*$Q$392*$Q$395</f>
        <v>392.82951224886403</v>
      </c>
      <c r="K390" s="25">
        <f aca="true" t="shared" si="25" ref="K390:K431">H390*$Q$393*$Q$395</f>
        <v>408.76101224886406</v>
      </c>
      <c r="P390" s="17" t="s">
        <v>15</v>
      </c>
      <c r="Q390" s="9">
        <v>56.99</v>
      </c>
    </row>
    <row r="391" spans="1:17" ht="15.75">
      <c r="A391" s="36" t="s">
        <v>759</v>
      </c>
      <c r="B391" s="8" t="s">
        <v>831</v>
      </c>
      <c r="D391" s="46" t="s">
        <v>832</v>
      </c>
      <c r="E391" s="22" t="s">
        <v>7</v>
      </c>
      <c r="F391" s="6" t="s">
        <v>506</v>
      </c>
      <c r="G391" s="22">
        <v>1</v>
      </c>
      <c r="H391" s="23">
        <v>3.49</v>
      </c>
      <c r="I391" s="25">
        <f t="shared" si="23"/>
        <v>198.93</v>
      </c>
      <c r="J391" s="25">
        <f t="shared" si="24"/>
        <v>245.25491909633914</v>
      </c>
      <c r="K391" s="25">
        <f t="shared" si="25"/>
        <v>255.20141909633912</v>
      </c>
      <c r="P391" s="18" t="s">
        <v>111</v>
      </c>
      <c r="Q391" s="56">
        <f>Q390/Q389</f>
        <v>0.16287045240204623</v>
      </c>
    </row>
    <row r="392" spans="1:17" ht="15.75">
      <c r="A392" s="22" t="s">
        <v>244</v>
      </c>
      <c r="B392" s="22" t="s">
        <v>833</v>
      </c>
      <c r="D392" s="46" t="s">
        <v>834</v>
      </c>
      <c r="E392" s="22" t="s">
        <v>11</v>
      </c>
      <c r="F392" s="6" t="s">
        <v>467</v>
      </c>
      <c r="G392" s="22">
        <v>1</v>
      </c>
      <c r="H392" s="23">
        <v>10.49</v>
      </c>
      <c r="I392" s="25">
        <f t="shared" si="23"/>
        <v>597.9300000000001</v>
      </c>
      <c r="J392" s="25">
        <f t="shared" si="24"/>
        <v>737.1702296047556</v>
      </c>
      <c r="K392" s="25">
        <f t="shared" si="25"/>
        <v>767.0667296047557</v>
      </c>
      <c r="P392" s="17" t="s">
        <v>16</v>
      </c>
      <c r="Q392" s="10">
        <f>1+Q390/Q389+0.07</f>
        <v>1.2328704524020464</v>
      </c>
    </row>
    <row r="393" spans="1:17" ht="15.75">
      <c r="A393" s="22" t="s">
        <v>835</v>
      </c>
      <c r="B393" s="22" t="s">
        <v>836</v>
      </c>
      <c r="D393" s="46" t="s">
        <v>837</v>
      </c>
      <c r="F393" s="6" t="s">
        <v>838</v>
      </c>
      <c r="G393" s="22">
        <v>1</v>
      </c>
      <c r="H393" s="23">
        <v>4.99</v>
      </c>
      <c r="I393" s="25">
        <f t="shared" si="23"/>
        <v>284.43</v>
      </c>
      <c r="J393" s="25">
        <f t="shared" si="24"/>
        <v>350.66534277671406</v>
      </c>
      <c r="K393" s="25">
        <f t="shared" si="25"/>
        <v>364.8868427767141</v>
      </c>
      <c r="P393" s="17" t="s">
        <v>16</v>
      </c>
      <c r="Q393" s="10">
        <f>1+Q390/Q389+0.12</f>
        <v>1.2828704524020464</v>
      </c>
    </row>
    <row r="394" spans="1:17" ht="15.75">
      <c r="A394" s="22" t="s">
        <v>759</v>
      </c>
      <c r="B394" s="22" t="s">
        <v>839</v>
      </c>
      <c r="D394" s="46" t="s">
        <v>840</v>
      </c>
      <c r="E394" s="22" t="s">
        <v>12</v>
      </c>
      <c r="F394" s="6" t="s">
        <v>598</v>
      </c>
      <c r="G394" s="22">
        <v>1</v>
      </c>
      <c r="H394" s="23">
        <v>11.19</v>
      </c>
      <c r="I394" s="25">
        <f t="shared" si="23"/>
        <v>637.8299999999999</v>
      </c>
      <c r="J394" s="25">
        <f t="shared" si="24"/>
        <v>786.3617606555972</v>
      </c>
      <c r="K394" s="25">
        <f t="shared" si="25"/>
        <v>818.2532606555973</v>
      </c>
      <c r="P394" s="18"/>
      <c r="Q394" s="10"/>
    </row>
    <row r="395" spans="1:17" ht="16.5" thickBot="1">
      <c r="A395" s="22" t="s">
        <v>244</v>
      </c>
      <c r="B395" s="22" t="s">
        <v>841</v>
      </c>
      <c r="D395" s="46" t="s">
        <v>842</v>
      </c>
      <c r="E395" s="6" t="s">
        <v>843</v>
      </c>
      <c r="F395" s="6" t="s">
        <v>844</v>
      </c>
      <c r="G395" s="22">
        <v>1</v>
      </c>
      <c r="H395" s="23">
        <v>24.99</v>
      </c>
      <c r="I395" s="25">
        <f t="shared" si="23"/>
        <v>1424.4299999999998</v>
      </c>
      <c r="J395" s="25">
        <f t="shared" si="24"/>
        <v>1756.137658515047</v>
      </c>
      <c r="K395" s="25">
        <f t="shared" si="25"/>
        <v>1827.359158515047</v>
      </c>
      <c r="P395" s="19" t="s">
        <v>17</v>
      </c>
      <c r="Q395" s="12">
        <v>57</v>
      </c>
    </row>
    <row r="396" spans="1:12" ht="15.75">
      <c r="A396" s="22" t="s">
        <v>102</v>
      </c>
      <c r="B396" s="22" t="s">
        <v>845</v>
      </c>
      <c r="D396" s="46" t="s">
        <v>846</v>
      </c>
      <c r="E396" s="22" t="s">
        <v>21</v>
      </c>
      <c r="F396" s="6" t="s">
        <v>847</v>
      </c>
      <c r="G396" s="22">
        <v>1</v>
      </c>
      <c r="H396" s="23">
        <v>23.1</v>
      </c>
      <c r="I396" s="25">
        <f t="shared" si="23"/>
        <v>1316.7</v>
      </c>
      <c r="J396" s="25">
        <f t="shared" si="24"/>
        <v>1623.3205246777745</v>
      </c>
      <c r="K396" s="25">
        <f t="shared" si="25"/>
        <v>1689.1555246777746</v>
      </c>
      <c r="L396" s="43" t="s">
        <v>848</v>
      </c>
    </row>
    <row r="397" spans="1:11" ht="15.75">
      <c r="A397" s="22" t="s">
        <v>102</v>
      </c>
      <c r="B397" s="22" t="s">
        <v>849</v>
      </c>
      <c r="D397" s="46" t="s">
        <v>850</v>
      </c>
      <c r="E397" s="22" t="s">
        <v>21</v>
      </c>
      <c r="F397" s="6" t="s">
        <v>659</v>
      </c>
      <c r="G397" s="22">
        <v>1</v>
      </c>
      <c r="H397" s="23">
        <v>11.19</v>
      </c>
      <c r="I397" s="25">
        <f t="shared" si="23"/>
        <v>637.8299999999999</v>
      </c>
      <c r="J397" s="25">
        <f t="shared" si="24"/>
        <v>786.3617606555972</v>
      </c>
      <c r="K397" s="25">
        <f t="shared" si="25"/>
        <v>818.2532606555973</v>
      </c>
    </row>
    <row r="398" spans="1:11" ht="15.75">
      <c r="A398" s="22" t="s">
        <v>102</v>
      </c>
      <c r="B398" s="22" t="s">
        <v>849</v>
      </c>
      <c r="D398" s="46" t="s">
        <v>851</v>
      </c>
      <c r="E398" s="22" t="s">
        <v>7</v>
      </c>
      <c r="F398" s="6" t="s">
        <v>662</v>
      </c>
      <c r="G398" s="22">
        <v>1</v>
      </c>
      <c r="H398" s="23">
        <v>4.19</v>
      </c>
      <c r="I398" s="25">
        <f t="shared" si="23"/>
        <v>238.83</v>
      </c>
      <c r="J398" s="25">
        <f t="shared" si="24"/>
        <v>294.44645014718077</v>
      </c>
      <c r="K398" s="25">
        <f t="shared" si="25"/>
        <v>306.3879501471808</v>
      </c>
    </row>
    <row r="399" spans="1:11" ht="15.75">
      <c r="A399" s="22" t="s">
        <v>624</v>
      </c>
      <c r="B399" s="22" t="s">
        <v>852</v>
      </c>
      <c r="D399" s="46" t="s">
        <v>853</v>
      </c>
      <c r="E399" s="22" t="s">
        <v>12</v>
      </c>
      <c r="F399" s="6" t="s">
        <v>807</v>
      </c>
      <c r="G399" s="22">
        <v>1</v>
      </c>
      <c r="H399" s="23">
        <v>6.99</v>
      </c>
      <c r="I399" s="25">
        <f t="shared" si="23"/>
        <v>398.43</v>
      </c>
      <c r="J399" s="25">
        <f t="shared" si="24"/>
        <v>491.21257435054736</v>
      </c>
      <c r="K399" s="25">
        <f t="shared" si="25"/>
        <v>511.13407435054745</v>
      </c>
    </row>
    <row r="400" spans="1:11" ht="15.75">
      <c r="A400" s="22" t="s">
        <v>624</v>
      </c>
      <c r="B400" s="22" t="s">
        <v>852</v>
      </c>
      <c r="D400" s="46" t="s">
        <v>854</v>
      </c>
      <c r="E400" s="22" t="s">
        <v>12</v>
      </c>
      <c r="F400" s="6" t="s">
        <v>807</v>
      </c>
      <c r="G400" s="22">
        <v>1</v>
      </c>
      <c r="H400" s="23">
        <v>4.89</v>
      </c>
      <c r="I400" s="25">
        <f t="shared" si="23"/>
        <v>278.72999999999996</v>
      </c>
      <c r="J400" s="25">
        <f t="shared" si="24"/>
        <v>343.6379811980224</v>
      </c>
      <c r="K400" s="25">
        <f t="shared" si="25"/>
        <v>357.57448119802234</v>
      </c>
    </row>
    <row r="401" spans="1:11" ht="15.75">
      <c r="A401" s="22" t="s">
        <v>855</v>
      </c>
      <c r="B401" s="22" t="s">
        <v>856</v>
      </c>
      <c r="C401" s="14"/>
      <c r="D401" s="46" t="s">
        <v>832</v>
      </c>
      <c r="E401" s="6" t="s">
        <v>14</v>
      </c>
      <c r="F401" s="6" t="s">
        <v>857</v>
      </c>
      <c r="G401" s="22">
        <v>1</v>
      </c>
      <c r="H401" s="23">
        <v>3.49</v>
      </c>
      <c r="I401" s="25">
        <f t="shared" si="23"/>
        <v>198.93</v>
      </c>
      <c r="J401" s="25">
        <f t="shared" si="24"/>
        <v>245.25491909633914</v>
      </c>
      <c r="K401" s="25">
        <f t="shared" si="25"/>
        <v>255.20141909633912</v>
      </c>
    </row>
    <row r="402" spans="1:11" ht="15.75">
      <c r="A402" s="22" t="s">
        <v>855</v>
      </c>
      <c r="B402" s="8" t="s">
        <v>856</v>
      </c>
      <c r="D402" s="46" t="s">
        <v>832</v>
      </c>
      <c r="E402" s="22" t="s">
        <v>14</v>
      </c>
      <c r="F402" s="6" t="s">
        <v>508</v>
      </c>
      <c r="G402" s="22">
        <v>1</v>
      </c>
      <c r="H402" s="23">
        <v>3.49</v>
      </c>
      <c r="I402" s="25">
        <f t="shared" si="23"/>
        <v>198.93</v>
      </c>
      <c r="J402" s="25">
        <f t="shared" si="24"/>
        <v>245.25491909633914</v>
      </c>
      <c r="K402" s="25">
        <f t="shared" si="25"/>
        <v>255.20141909633912</v>
      </c>
    </row>
    <row r="403" spans="1:11" ht="15.75">
      <c r="A403" s="22" t="s">
        <v>629</v>
      </c>
      <c r="B403" s="22" t="s">
        <v>849</v>
      </c>
      <c r="D403" s="46" t="s">
        <v>850</v>
      </c>
      <c r="E403" s="22" t="s">
        <v>466</v>
      </c>
      <c r="F403" s="6" t="s">
        <v>659</v>
      </c>
      <c r="G403" s="22">
        <v>1</v>
      </c>
      <c r="H403" s="23">
        <v>11.19</v>
      </c>
      <c r="I403" s="25">
        <f t="shared" si="23"/>
        <v>637.8299999999999</v>
      </c>
      <c r="J403" s="25">
        <f t="shared" si="24"/>
        <v>786.3617606555972</v>
      </c>
      <c r="K403" s="25">
        <f t="shared" si="25"/>
        <v>818.2532606555973</v>
      </c>
    </row>
    <row r="404" spans="1:11" ht="15.75">
      <c r="A404" s="22" t="s">
        <v>629</v>
      </c>
      <c r="B404" s="22" t="s">
        <v>849</v>
      </c>
      <c r="D404" s="46" t="s">
        <v>851</v>
      </c>
      <c r="E404" s="22" t="s">
        <v>12</v>
      </c>
      <c r="F404" s="6" t="s">
        <v>662</v>
      </c>
      <c r="G404" s="22">
        <v>1</v>
      </c>
      <c r="H404" s="23">
        <v>4.19</v>
      </c>
      <c r="I404" s="25">
        <f t="shared" si="23"/>
        <v>238.83</v>
      </c>
      <c r="J404" s="25">
        <f t="shared" si="24"/>
        <v>294.44645014718077</v>
      </c>
      <c r="K404" s="25">
        <f t="shared" si="25"/>
        <v>306.3879501471808</v>
      </c>
    </row>
    <row r="405" spans="1:11" ht="15.75">
      <c r="A405" s="22" t="s">
        <v>292</v>
      </c>
      <c r="B405" s="22" t="s">
        <v>852</v>
      </c>
      <c r="D405" s="46" t="s">
        <v>853</v>
      </c>
      <c r="E405" s="22" t="s">
        <v>7</v>
      </c>
      <c r="F405" s="6" t="s">
        <v>807</v>
      </c>
      <c r="G405" s="22">
        <v>1</v>
      </c>
      <c r="H405" s="23">
        <v>6.99</v>
      </c>
      <c r="I405" s="25">
        <f t="shared" si="23"/>
        <v>398.43</v>
      </c>
      <c r="J405" s="25">
        <f t="shared" si="24"/>
        <v>491.21257435054736</v>
      </c>
      <c r="K405" s="25">
        <f t="shared" si="25"/>
        <v>511.13407435054745</v>
      </c>
    </row>
    <row r="406" spans="1:11" ht="15.75">
      <c r="A406" s="22" t="s">
        <v>292</v>
      </c>
      <c r="B406" s="22" t="s">
        <v>852</v>
      </c>
      <c r="D406" s="46" t="s">
        <v>854</v>
      </c>
      <c r="E406" s="22" t="s">
        <v>7</v>
      </c>
      <c r="F406" s="6" t="s">
        <v>807</v>
      </c>
      <c r="G406" s="22">
        <v>1</v>
      </c>
      <c r="H406" s="23">
        <v>4.89</v>
      </c>
      <c r="I406" s="25">
        <f t="shared" si="23"/>
        <v>278.72999999999996</v>
      </c>
      <c r="J406" s="25">
        <f t="shared" si="24"/>
        <v>343.6379811980224</v>
      </c>
      <c r="K406" s="25">
        <f t="shared" si="25"/>
        <v>357.57448119802234</v>
      </c>
    </row>
    <row r="407" spans="1:11" ht="15.75">
      <c r="A407" s="22" t="s">
        <v>858</v>
      </c>
      <c r="B407" s="22" t="s">
        <v>859</v>
      </c>
      <c r="C407" s="14"/>
      <c r="D407" s="46" t="s">
        <v>860</v>
      </c>
      <c r="E407" s="6" t="s">
        <v>20</v>
      </c>
      <c r="F407" s="6" t="s">
        <v>861</v>
      </c>
      <c r="G407" s="22">
        <v>1</v>
      </c>
      <c r="H407" s="23">
        <v>9.79</v>
      </c>
      <c r="I407" s="25">
        <f t="shared" si="23"/>
        <v>558.03</v>
      </c>
      <c r="J407" s="25">
        <f t="shared" si="24"/>
        <v>687.9786985539139</v>
      </c>
      <c r="K407" s="25">
        <f t="shared" si="25"/>
        <v>715.8801985539138</v>
      </c>
    </row>
    <row r="408" spans="1:11" ht="15.75">
      <c r="A408" s="22" t="s">
        <v>669</v>
      </c>
      <c r="B408" s="22" t="s">
        <v>862</v>
      </c>
      <c r="C408" s="14"/>
      <c r="D408" s="46" t="s">
        <v>863</v>
      </c>
      <c r="E408" s="6" t="s">
        <v>12</v>
      </c>
      <c r="F408" s="6" t="s">
        <v>864</v>
      </c>
      <c r="G408" s="22">
        <v>1</v>
      </c>
      <c r="H408" s="23">
        <v>13.99</v>
      </c>
      <c r="I408" s="25">
        <f t="shared" si="23"/>
        <v>797.4300000000001</v>
      </c>
      <c r="J408" s="25">
        <f t="shared" si="24"/>
        <v>983.1278848589639</v>
      </c>
      <c r="K408" s="25">
        <f t="shared" si="25"/>
        <v>1022.9993848589639</v>
      </c>
    </row>
    <row r="409" spans="1:11" ht="15.75">
      <c r="A409" s="22" t="s">
        <v>669</v>
      </c>
      <c r="B409" s="22" t="s">
        <v>865</v>
      </c>
      <c r="C409" s="14"/>
      <c r="D409" s="46" t="s">
        <v>866</v>
      </c>
      <c r="E409" s="6" t="s">
        <v>7</v>
      </c>
      <c r="F409" s="6" t="s">
        <v>864</v>
      </c>
      <c r="G409" s="22">
        <v>1</v>
      </c>
      <c r="H409" s="23">
        <v>6.99</v>
      </c>
      <c r="I409" s="25">
        <f t="shared" si="23"/>
        <v>398.43</v>
      </c>
      <c r="J409" s="25">
        <f t="shared" si="24"/>
        <v>491.21257435054736</v>
      </c>
      <c r="K409" s="25">
        <f t="shared" si="25"/>
        <v>511.13407435054745</v>
      </c>
    </row>
    <row r="410" spans="1:11" ht="15.75">
      <c r="A410" s="36" t="s">
        <v>867</v>
      </c>
      <c r="B410" s="8" t="s">
        <v>868</v>
      </c>
      <c r="D410" s="46" t="s">
        <v>832</v>
      </c>
      <c r="E410" s="22" t="s">
        <v>12</v>
      </c>
      <c r="F410" s="6" t="s">
        <v>561</v>
      </c>
      <c r="G410" s="22">
        <v>1</v>
      </c>
      <c r="H410" s="23">
        <v>3.49</v>
      </c>
      <c r="I410" s="25">
        <f t="shared" si="23"/>
        <v>198.93</v>
      </c>
      <c r="J410" s="25">
        <f t="shared" si="24"/>
        <v>245.25491909633914</v>
      </c>
      <c r="K410" s="25">
        <f t="shared" si="25"/>
        <v>255.20141909633912</v>
      </c>
    </row>
    <row r="411" spans="1:11" ht="15.75">
      <c r="A411" s="36" t="s">
        <v>759</v>
      </c>
      <c r="B411" s="8" t="s">
        <v>869</v>
      </c>
      <c r="D411" s="46" t="s">
        <v>870</v>
      </c>
      <c r="E411" s="22" t="s">
        <v>7</v>
      </c>
      <c r="F411" s="6" t="s">
        <v>871</v>
      </c>
      <c r="G411" s="22">
        <v>1</v>
      </c>
      <c r="H411" s="23">
        <v>10.49</v>
      </c>
      <c r="I411" s="25">
        <f t="shared" si="23"/>
        <v>597.9300000000001</v>
      </c>
      <c r="J411" s="25">
        <f t="shared" si="24"/>
        <v>737.1702296047556</v>
      </c>
      <c r="K411" s="25">
        <f t="shared" si="25"/>
        <v>767.0667296047557</v>
      </c>
    </row>
    <row r="412" spans="1:11" ht="15.75">
      <c r="A412" s="22" t="s">
        <v>858</v>
      </c>
      <c r="B412" s="22" t="s">
        <v>872</v>
      </c>
      <c r="C412" s="14"/>
      <c r="D412" s="46" t="s">
        <v>873</v>
      </c>
      <c r="E412" s="6" t="s">
        <v>12</v>
      </c>
      <c r="F412" s="6" t="s">
        <v>649</v>
      </c>
      <c r="G412" s="22">
        <v>1</v>
      </c>
      <c r="H412" s="23">
        <v>6.29</v>
      </c>
      <c r="I412" s="25">
        <f t="shared" si="23"/>
        <v>358.53000000000003</v>
      </c>
      <c r="J412" s="25">
        <f t="shared" si="24"/>
        <v>442.0210432997057</v>
      </c>
      <c r="K412" s="25">
        <f t="shared" si="25"/>
        <v>459.9475432997057</v>
      </c>
    </row>
    <row r="413" spans="1:11" ht="15.75">
      <c r="A413" s="22" t="s">
        <v>858</v>
      </c>
      <c r="B413" s="22" t="s">
        <v>874</v>
      </c>
      <c r="C413" s="14"/>
      <c r="D413" s="46" t="s">
        <v>875</v>
      </c>
      <c r="E413" s="6" t="s">
        <v>12</v>
      </c>
      <c r="F413" s="6" t="s">
        <v>861</v>
      </c>
      <c r="G413" s="22">
        <v>1</v>
      </c>
      <c r="H413" s="23">
        <v>11.2</v>
      </c>
      <c r="I413" s="25">
        <f t="shared" si="23"/>
        <v>638.4</v>
      </c>
      <c r="J413" s="25">
        <f t="shared" si="24"/>
        <v>787.0644968134663</v>
      </c>
      <c r="K413" s="25">
        <f t="shared" si="25"/>
        <v>818.9844968134664</v>
      </c>
    </row>
    <row r="414" spans="1:11" ht="15.75">
      <c r="A414" s="36" t="s">
        <v>867</v>
      </c>
      <c r="B414" s="8" t="s">
        <v>868</v>
      </c>
      <c r="D414" s="46" t="s">
        <v>876</v>
      </c>
      <c r="E414" s="22" t="s">
        <v>12</v>
      </c>
      <c r="F414" s="6" t="s">
        <v>561</v>
      </c>
      <c r="G414" s="22">
        <v>1</v>
      </c>
      <c r="H414" s="23">
        <v>4.89</v>
      </c>
      <c r="I414" s="25">
        <f t="shared" si="23"/>
        <v>278.72999999999996</v>
      </c>
      <c r="J414" s="25">
        <f t="shared" si="24"/>
        <v>343.6379811980224</v>
      </c>
      <c r="K414" s="25">
        <f t="shared" si="25"/>
        <v>357.57448119802234</v>
      </c>
    </row>
    <row r="415" spans="1:11" ht="15.75">
      <c r="A415" s="8" t="s">
        <v>813</v>
      </c>
      <c r="B415" s="8" t="s">
        <v>877</v>
      </c>
      <c r="D415" s="46"/>
      <c r="E415" s="22" t="s">
        <v>21</v>
      </c>
      <c r="F415" s="6" t="s">
        <v>878</v>
      </c>
      <c r="G415" s="22">
        <v>1</v>
      </c>
      <c r="H415" s="23">
        <v>6.29</v>
      </c>
      <c r="I415" s="25">
        <f t="shared" si="23"/>
        <v>358.53000000000003</v>
      </c>
      <c r="J415" s="25">
        <f t="shared" si="24"/>
        <v>442.0210432997057</v>
      </c>
      <c r="K415" s="25">
        <f t="shared" si="25"/>
        <v>459.9475432997057</v>
      </c>
    </row>
    <row r="416" spans="1:11" ht="15.75">
      <c r="A416" s="22" t="s">
        <v>631</v>
      </c>
      <c r="B416" s="22" t="s">
        <v>879</v>
      </c>
      <c r="D416" s="46" t="s">
        <v>880</v>
      </c>
      <c r="E416" s="22" t="s">
        <v>12</v>
      </c>
      <c r="F416" s="6" t="s">
        <v>881</v>
      </c>
      <c r="G416" s="22">
        <v>1</v>
      </c>
      <c r="H416" s="23">
        <v>8.39</v>
      </c>
      <c r="I416" s="25">
        <f t="shared" si="23"/>
        <v>478.23</v>
      </c>
      <c r="J416" s="25">
        <f t="shared" si="24"/>
        <v>589.5956364522308</v>
      </c>
      <c r="K416" s="25">
        <f t="shared" si="25"/>
        <v>613.5071364522307</v>
      </c>
    </row>
    <row r="417" spans="1:11" ht="15.75">
      <c r="A417" s="22" t="s">
        <v>631</v>
      </c>
      <c r="B417" s="22" t="s">
        <v>879</v>
      </c>
      <c r="D417" s="46" t="s">
        <v>882</v>
      </c>
      <c r="E417" s="22" t="s">
        <v>12</v>
      </c>
      <c r="F417" s="6" t="s">
        <v>881</v>
      </c>
      <c r="G417" s="22">
        <v>1</v>
      </c>
      <c r="H417" s="23">
        <v>10.5</v>
      </c>
      <c r="I417" s="25">
        <f t="shared" si="23"/>
        <v>598.5</v>
      </c>
      <c r="J417" s="25">
        <f t="shared" si="24"/>
        <v>737.8729657626249</v>
      </c>
      <c r="K417" s="25">
        <f t="shared" si="25"/>
        <v>767.7979657626248</v>
      </c>
    </row>
    <row r="418" spans="1:11" ht="15.75">
      <c r="A418" s="22" t="s">
        <v>778</v>
      </c>
      <c r="B418" s="22" t="s">
        <v>833</v>
      </c>
      <c r="D418" s="46" t="s">
        <v>834</v>
      </c>
      <c r="E418" s="22" t="s">
        <v>11</v>
      </c>
      <c r="F418" s="6" t="s">
        <v>467</v>
      </c>
      <c r="G418" s="22">
        <v>1</v>
      </c>
      <c r="H418" s="23">
        <v>10.49</v>
      </c>
      <c r="I418" s="25">
        <f t="shared" si="23"/>
        <v>597.9300000000001</v>
      </c>
      <c r="J418" s="25">
        <f t="shared" si="24"/>
        <v>737.1702296047556</v>
      </c>
      <c r="K418" s="25">
        <f t="shared" si="25"/>
        <v>767.0667296047557</v>
      </c>
    </row>
    <row r="419" spans="1:11" ht="15.75">
      <c r="A419" s="22" t="s">
        <v>773</v>
      </c>
      <c r="B419" s="22" t="s">
        <v>883</v>
      </c>
      <c r="C419" s="14"/>
      <c r="D419" s="46" t="s">
        <v>884</v>
      </c>
      <c r="E419" s="6" t="s">
        <v>885</v>
      </c>
      <c r="F419" s="6" t="s">
        <v>184</v>
      </c>
      <c r="G419" s="22">
        <v>1</v>
      </c>
      <c r="H419" s="23">
        <v>9.99</v>
      </c>
      <c r="I419" s="25">
        <f t="shared" si="23"/>
        <v>569.4300000000001</v>
      </c>
      <c r="J419" s="25">
        <f t="shared" si="24"/>
        <v>702.0334217112973</v>
      </c>
      <c r="K419" s="25">
        <f t="shared" si="25"/>
        <v>730.5049217112974</v>
      </c>
    </row>
    <row r="420" spans="1:11" ht="15.75">
      <c r="A420" s="22" t="s">
        <v>778</v>
      </c>
      <c r="B420" s="22" t="s">
        <v>886</v>
      </c>
      <c r="C420" s="14"/>
      <c r="D420" s="46" t="s">
        <v>887</v>
      </c>
      <c r="E420" s="6" t="s">
        <v>11</v>
      </c>
      <c r="F420" s="6" t="s">
        <v>788</v>
      </c>
      <c r="G420" s="22">
        <v>1</v>
      </c>
      <c r="H420" s="23">
        <v>9.99</v>
      </c>
      <c r="I420" s="25">
        <f t="shared" si="23"/>
        <v>569.4300000000001</v>
      </c>
      <c r="J420" s="25">
        <f t="shared" si="24"/>
        <v>702.0334217112973</v>
      </c>
      <c r="K420" s="25">
        <f t="shared" si="25"/>
        <v>730.5049217112974</v>
      </c>
    </row>
    <row r="421" spans="1:11" ht="15.75">
      <c r="A421" s="22" t="s">
        <v>251</v>
      </c>
      <c r="B421" s="22" t="s">
        <v>888</v>
      </c>
      <c r="D421" s="46" t="s">
        <v>889</v>
      </c>
      <c r="E421" s="22" t="s">
        <v>273</v>
      </c>
      <c r="F421" s="6" t="s">
        <v>890</v>
      </c>
      <c r="G421" s="22">
        <v>1</v>
      </c>
      <c r="H421" s="23">
        <v>5.59</v>
      </c>
      <c r="I421" s="25">
        <f t="shared" si="23"/>
        <v>318.63</v>
      </c>
      <c r="J421" s="25">
        <f t="shared" si="24"/>
        <v>392.82951224886403</v>
      </c>
      <c r="K421" s="25">
        <f t="shared" si="25"/>
        <v>408.76101224886406</v>
      </c>
    </row>
    <row r="422" spans="1:11" ht="15.75">
      <c r="A422" s="22" t="s">
        <v>251</v>
      </c>
      <c r="B422" s="22" t="s">
        <v>891</v>
      </c>
      <c r="D422" s="46" t="s">
        <v>892</v>
      </c>
      <c r="E422" s="22" t="s">
        <v>7</v>
      </c>
      <c r="F422" s="6" t="s">
        <v>893</v>
      </c>
      <c r="G422" s="22">
        <v>1</v>
      </c>
      <c r="H422" s="23">
        <v>3.49</v>
      </c>
      <c r="I422" s="25">
        <f t="shared" si="23"/>
        <v>198.93</v>
      </c>
      <c r="J422" s="25">
        <f t="shared" si="24"/>
        <v>245.25491909633914</v>
      </c>
      <c r="K422" s="25">
        <f t="shared" si="25"/>
        <v>255.20141909633912</v>
      </c>
    </row>
    <row r="423" spans="1:11" ht="15.75">
      <c r="A423" s="22" t="s">
        <v>102</v>
      </c>
      <c r="B423" s="22" t="s">
        <v>894</v>
      </c>
      <c r="D423" s="46" t="s">
        <v>895</v>
      </c>
      <c r="E423" s="22" t="s">
        <v>7</v>
      </c>
      <c r="F423" s="6" t="s">
        <v>847</v>
      </c>
      <c r="G423" s="22">
        <v>1</v>
      </c>
      <c r="H423" s="23">
        <v>9.1</v>
      </c>
      <c r="I423" s="25">
        <f t="shared" si="23"/>
        <v>518.6999999999999</v>
      </c>
      <c r="J423" s="25">
        <f t="shared" si="24"/>
        <v>639.4899036609414</v>
      </c>
      <c r="K423" s="25">
        <f t="shared" si="25"/>
        <v>665.4249036609415</v>
      </c>
    </row>
    <row r="424" spans="1:11" ht="15.75">
      <c r="A424" s="22" t="s">
        <v>778</v>
      </c>
      <c r="B424" s="22" t="s">
        <v>896</v>
      </c>
      <c r="C424" s="14"/>
      <c r="D424" s="46" t="s">
        <v>897</v>
      </c>
      <c r="E424" s="6" t="s">
        <v>13</v>
      </c>
      <c r="F424" s="6" t="s">
        <v>467</v>
      </c>
      <c r="G424" s="22">
        <v>1</v>
      </c>
      <c r="H424" s="23">
        <v>6.99</v>
      </c>
      <c r="I424" s="25">
        <f t="shared" si="23"/>
        <v>398.43</v>
      </c>
      <c r="J424" s="25">
        <f t="shared" si="24"/>
        <v>491.21257435054736</v>
      </c>
      <c r="K424" s="25">
        <f t="shared" si="25"/>
        <v>511.13407435054745</v>
      </c>
    </row>
    <row r="425" spans="1:11" ht="15.75">
      <c r="A425" s="22" t="s">
        <v>510</v>
      </c>
      <c r="B425" s="22" t="s">
        <v>852</v>
      </c>
      <c r="D425" s="46" t="s">
        <v>853</v>
      </c>
      <c r="E425" s="22" t="s">
        <v>7</v>
      </c>
      <c r="F425" s="6" t="s">
        <v>807</v>
      </c>
      <c r="G425" s="22">
        <v>1</v>
      </c>
      <c r="H425" s="23">
        <v>6.99</v>
      </c>
      <c r="I425" s="25">
        <f t="shared" si="23"/>
        <v>398.43</v>
      </c>
      <c r="J425" s="25">
        <f t="shared" si="24"/>
        <v>491.21257435054736</v>
      </c>
      <c r="K425" s="25">
        <f t="shared" si="25"/>
        <v>511.13407435054745</v>
      </c>
    </row>
    <row r="426" spans="1:11" ht="15.75">
      <c r="A426" s="22" t="s">
        <v>510</v>
      </c>
      <c r="B426" s="22" t="s">
        <v>852</v>
      </c>
      <c r="D426" s="46" t="s">
        <v>854</v>
      </c>
      <c r="E426" s="22" t="s">
        <v>7</v>
      </c>
      <c r="F426" s="6" t="s">
        <v>807</v>
      </c>
      <c r="G426" s="22">
        <v>1</v>
      </c>
      <c r="H426" s="23">
        <v>4.89</v>
      </c>
      <c r="I426" s="25">
        <f t="shared" si="23"/>
        <v>278.72999999999996</v>
      </c>
      <c r="J426" s="25">
        <f t="shared" si="24"/>
        <v>343.6379811980224</v>
      </c>
      <c r="K426" s="25">
        <f t="shared" si="25"/>
        <v>357.57448119802234</v>
      </c>
    </row>
    <row r="427" spans="1:11" ht="15.75">
      <c r="A427" s="22" t="s">
        <v>538</v>
      </c>
      <c r="B427" s="22" t="s">
        <v>852</v>
      </c>
      <c r="D427" s="46" t="s">
        <v>853</v>
      </c>
      <c r="E427" s="22" t="s">
        <v>12</v>
      </c>
      <c r="F427" s="6" t="s">
        <v>807</v>
      </c>
      <c r="G427" s="22">
        <v>1</v>
      </c>
      <c r="H427" s="23">
        <v>6.99</v>
      </c>
      <c r="I427" s="25">
        <f t="shared" si="23"/>
        <v>398.43</v>
      </c>
      <c r="J427" s="25">
        <f t="shared" si="24"/>
        <v>491.21257435054736</v>
      </c>
      <c r="K427" s="25">
        <f t="shared" si="25"/>
        <v>511.13407435054745</v>
      </c>
    </row>
    <row r="428" spans="1:11" ht="15.75">
      <c r="A428" s="22" t="s">
        <v>538</v>
      </c>
      <c r="B428" s="22" t="s">
        <v>852</v>
      </c>
      <c r="D428" s="46" t="s">
        <v>854</v>
      </c>
      <c r="E428" s="22" t="s">
        <v>12</v>
      </c>
      <c r="F428" s="6" t="s">
        <v>807</v>
      </c>
      <c r="G428" s="22">
        <v>1</v>
      </c>
      <c r="H428" s="23">
        <v>4.89</v>
      </c>
      <c r="I428" s="25">
        <f t="shared" si="23"/>
        <v>278.72999999999996</v>
      </c>
      <c r="J428" s="25">
        <f t="shared" si="24"/>
        <v>343.6379811980224</v>
      </c>
      <c r="K428" s="25">
        <f t="shared" si="25"/>
        <v>357.57448119802234</v>
      </c>
    </row>
    <row r="429" spans="1:11" ht="15.75">
      <c r="A429" s="22" t="s">
        <v>951</v>
      </c>
      <c r="B429" s="22" t="s">
        <v>872</v>
      </c>
      <c r="C429" s="14"/>
      <c r="D429" s="46" t="s">
        <v>873</v>
      </c>
      <c r="E429" s="6" t="s">
        <v>12</v>
      </c>
      <c r="F429" s="6" t="s">
        <v>649</v>
      </c>
      <c r="G429" s="22">
        <v>1</v>
      </c>
      <c r="H429" s="23">
        <v>6.29</v>
      </c>
      <c r="I429" s="25">
        <f t="shared" si="23"/>
        <v>358.53000000000003</v>
      </c>
      <c r="J429" s="25">
        <f t="shared" si="24"/>
        <v>442.0210432997057</v>
      </c>
      <c r="K429" s="25">
        <f t="shared" si="25"/>
        <v>459.9475432997057</v>
      </c>
    </row>
    <row r="430" spans="1:11" ht="15.75">
      <c r="A430" s="22" t="s">
        <v>538</v>
      </c>
      <c r="B430" s="8" t="s">
        <v>868</v>
      </c>
      <c r="D430" s="46" t="s">
        <v>832</v>
      </c>
      <c r="E430" s="22" t="s">
        <v>12</v>
      </c>
      <c r="F430" s="6" t="s">
        <v>561</v>
      </c>
      <c r="G430" s="22">
        <v>1</v>
      </c>
      <c r="H430" s="23">
        <v>3.49</v>
      </c>
      <c r="I430" s="25">
        <f t="shared" si="23"/>
        <v>198.93</v>
      </c>
      <c r="J430" s="25">
        <f t="shared" si="24"/>
        <v>245.25491909633914</v>
      </c>
      <c r="K430" s="25">
        <f t="shared" si="25"/>
        <v>255.20141909633912</v>
      </c>
    </row>
    <row r="431" spans="1:11" ht="15.75">
      <c r="A431" s="22" t="s">
        <v>538</v>
      </c>
      <c r="B431" s="8" t="s">
        <v>868</v>
      </c>
      <c r="D431" s="46" t="s">
        <v>876</v>
      </c>
      <c r="E431" s="22" t="s">
        <v>12</v>
      </c>
      <c r="F431" s="6" t="s">
        <v>561</v>
      </c>
      <c r="G431" s="22">
        <v>1</v>
      </c>
      <c r="H431" s="23">
        <v>4.89</v>
      </c>
      <c r="I431" s="25">
        <f t="shared" si="23"/>
        <v>278.72999999999996</v>
      </c>
      <c r="J431" s="25">
        <f t="shared" si="24"/>
        <v>343.6379811980224</v>
      </c>
      <c r="K431" s="25">
        <f t="shared" si="25"/>
        <v>357.57448119802234</v>
      </c>
    </row>
    <row r="432" spans="1:6" ht="16.5" thickBot="1">
      <c r="A432" s="26" t="s">
        <v>898</v>
      </c>
      <c r="F432" s="27" t="s">
        <v>950</v>
      </c>
    </row>
    <row r="433" spans="1:17" ht="15.75">
      <c r="A433" s="22" t="s">
        <v>350</v>
      </c>
      <c r="B433" s="22" t="s">
        <v>899</v>
      </c>
      <c r="D433" s="46" t="s">
        <v>900</v>
      </c>
      <c r="E433" s="22" t="s">
        <v>24</v>
      </c>
      <c r="F433" s="6" t="s">
        <v>368</v>
      </c>
      <c r="G433" s="22">
        <v>1</v>
      </c>
      <c r="H433" s="23">
        <v>15.4</v>
      </c>
      <c r="I433" s="25">
        <f>H433*$Q$439</f>
        <v>877.8000000000001</v>
      </c>
      <c r="J433" s="25">
        <f>H433*$Q$436*$Q$439</f>
        <v>1083.6957054747056</v>
      </c>
      <c r="K433" s="25">
        <f>H433*$Q$437*$Q$439</f>
        <v>1127.5857054747055</v>
      </c>
      <c r="L433" s="43" t="s">
        <v>901</v>
      </c>
      <c r="P433" s="16" t="s">
        <v>19</v>
      </c>
      <c r="Q433" s="13">
        <f>SUM(H433:H472)</f>
        <v>346.3200000000001</v>
      </c>
    </row>
    <row r="434" spans="1:17" ht="15.75">
      <c r="A434" s="22" t="s">
        <v>350</v>
      </c>
      <c r="B434" s="22" t="s">
        <v>888</v>
      </c>
      <c r="D434" s="46" t="s">
        <v>902</v>
      </c>
      <c r="E434" s="22" t="s">
        <v>257</v>
      </c>
      <c r="F434" s="6" t="s">
        <v>268</v>
      </c>
      <c r="G434" s="22">
        <v>1</v>
      </c>
      <c r="H434" s="23">
        <v>5.59</v>
      </c>
      <c r="I434" s="25">
        <f aca="true" t="shared" si="26" ref="I434:I472">H434*$Q$439</f>
        <v>318.63</v>
      </c>
      <c r="J434" s="25">
        <f aca="true" t="shared" si="27" ref="J434:J472">H434*$Q$436*$Q$439</f>
        <v>393.3674671171171</v>
      </c>
      <c r="K434" s="25">
        <f aca="true" t="shared" si="28" ref="K434:K472">H434*$Q$437*$Q$439</f>
        <v>409.2989671171171</v>
      </c>
      <c r="P434" s="17" t="s">
        <v>15</v>
      </c>
      <c r="Q434" s="9">
        <v>56.99</v>
      </c>
    </row>
    <row r="435" spans="1:17" ht="15.75">
      <c r="A435" s="22" t="s">
        <v>350</v>
      </c>
      <c r="B435" s="22" t="s">
        <v>903</v>
      </c>
      <c r="D435" s="46" t="s">
        <v>904</v>
      </c>
      <c r="E435" s="22" t="s">
        <v>12</v>
      </c>
      <c r="F435" s="6" t="s">
        <v>268</v>
      </c>
      <c r="G435" s="22">
        <v>1</v>
      </c>
      <c r="H435" s="23">
        <v>3.49</v>
      </c>
      <c r="I435" s="25">
        <f t="shared" si="26"/>
        <v>198.93</v>
      </c>
      <c r="J435" s="25">
        <f t="shared" si="27"/>
        <v>245.59078000693003</v>
      </c>
      <c r="K435" s="25">
        <f t="shared" si="28"/>
        <v>255.53728000693005</v>
      </c>
      <c r="P435" s="18" t="s">
        <v>111</v>
      </c>
      <c r="Q435" s="56">
        <f>Q434/Q433</f>
        <v>0.16455878955878953</v>
      </c>
    </row>
    <row r="436" spans="1:17" ht="15.75">
      <c r="A436" s="22" t="s">
        <v>350</v>
      </c>
      <c r="B436" s="22" t="s">
        <v>905</v>
      </c>
      <c r="D436" s="46" t="s">
        <v>906</v>
      </c>
      <c r="E436" s="22" t="s">
        <v>12</v>
      </c>
      <c r="F436" s="6" t="s">
        <v>907</v>
      </c>
      <c r="G436" s="22">
        <v>1</v>
      </c>
      <c r="H436" s="23">
        <v>2.99</v>
      </c>
      <c r="I436" s="25">
        <f t="shared" si="26"/>
        <v>170.43</v>
      </c>
      <c r="J436" s="25">
        <f t="shared" si="27"/>
        <v>210.4058545045045</v>
      </c>
      <c r="K436" s="25">
        <f t="shared" si="28"/>
        <v>218.9273545045045</v>
      </c>
      <c r="P436" s="17" t="s">
        <v>16</v>
      </c>
      <c r="Q436" s="10">
        <f>1+Q434/Q433+0.07</f>
        <v>1.2345587895587895</v>
      </c>
    </row>
    <row r="437" spans="1:17" ht="15.75">
      <c r="A437" s="22" t="s">
        <v>908</v>
      </c>
      <c r="B437" s="22" t="s">
        <v>909</v>
      </c>
      <c r="D437" s="46" t="s">
        <v>904</v>
      </c>
      <c r="E437" s="22" t="s">
        <v>12</v>
      </c>
      <c r="F437" s="6" t="s">
        <v>268</v>
      </c>
      <c r="G437" s="22">
        <v>1</v>
      </c>
      <c r="H437" s="23">
        <v>3.49</v>
      </c>
      <c r="I437" s="25">
        <f t="shared" si="26"/>
        <v>198.93</v>
      </c>
      <c r="J437" s="25">
        <f t="shared" si="27"/>
        <v>245.59078000693003</v>
      </c>
      <c r="K437" s="25">
        <f t="shared" si="28"/>
        <v>255.53728000693005</v>
      </c>
      <c r="P437" s="17" t="s">
        <v>16</v>
      </c>
      <c r="Q437" s="10">
        <f>1+Q434/Q433+0.12</f>
        <v>1.2845587895587895</v>
      </c>
    </row>
    <row r="438" spans="1:17" ht="15.75">
      <c r="A438" s="22" t="s">
        <v>908</v>
      </c>
      <c r="B438" s="22" t="s">
        <v>910</v>
      </c>
      <c r="D438" s="46" t="s">
        <v>911</v>
      </c>
      <c r="E438" s="6" t="s">
        <v>295</v>
      </c>
      <c r="F438" s="6" t="s">
        <v>268</v>
      </c>
      <c r="G438" s="22">
        <v>1</v>
      </c>
      <c r="H438" s="23">
        <v>5.59</v>
      </c>
      <c r="I438" s="25">
        <f t="shared" si="26"/>
        <v>318.63</v>
      </c>
      <c r="J438" s="25">
        <f t="shared" si="27"/>
        <v>393.3674671171171</v>
      </c>
      <c r="K438" s="25">
        <f t="shared" si="28"/>
        <v>409.2989671171171</v>
      </c>
      <c r="P438" s="18"/>
      <c r="Q438" s="10"/>
    </row>
    <row r="439" spans="1:17" ht="16.5" thickBot="1">
      <c r="A439" s="22" t="s">
        <v>908</v>
      </c>
      <c r="B439" s="22" t="s">
        <v>912</v>
      </c>
      <c r="D439" s="46" t="s">
        <v>913</v>
      </c>
      <c r="E439" s="22" t="s">
        <v>12</v>
      </c>
      <c r="F439" s="6" t="s">
        <v>18</v>
      </c>
      <c r="G439" s="22">
        <v>1</v>
      </c>
      <c r="H439" s="23">
        <v>3.49</v>
      </c>
      <c r="I439" s="25">
        <f t="shared" si="26"/>
        <v>198.93</v>
      </c>
      <c r="J439" s="25">
        <f t="shared" si="27"/>
        <v>245.59078000693003</v>
      </c>
      <c r="K439" s="25">
        <f t="shared" si="28"/>
        <v>255.53728000693005</v>
      </c>
      <c r="P439" s="19" t="s">
        <v>17</v>
      </c>
      <c r="Q439" s="12">
        <v>57</v>
      </c>
    </row>
    <row r="440" spans="1:11" ht="15.75">
      <c r="A440" s="22" t="s">
        <v>251</v>
      </c>
      <c r="B440" s="22" t="s">
        <v>912</v>
      </c>
      <c r="D440" s="46" t="s">
        <v>913</v>
      </c>
      <c r="E440" s="22" t="s">
        <v>7</v>
      </c>
      <c r="F440" s="6" t="s">
        <v>18</v>
      </c>
      <c r="G440" s="22">
        <v>1</v>
      </c>
      <c r="H440" s="23">
        <v>3.49</v>
      </c>
      <c r="I440" s="25">
        <f t="shared" si="26"/>
        <v>198.93</v>
      </c>
      <c r="J440" s="25">
        <f t="shared" si="27"/>
        <v>245.59078000693003</v>
      </c>
      <c r="K440" s="25">
        <f t="shared" si="28"/>
        <v>255.53728000693005</v>
      </c>
    </row>
    <row r="441" spans="1:11" ht="15.75">
      <c r="A441" s="22" t="s">
        <v>297</v>
      </c>
      <c r="B441" s="22" t="s">
        <v>914</v>
      </c>
      <c r="D441" s="46" t="s">
        <v>915</v>
      </c>
      <c r="E441" s="22" t="s">
        <v>24</v>
      </c>
      <c r="F441" s="6" t="s">
        <v>434</v>
      </c>
      <c r="G441" s="22">
        <v>1</v>
      </c>
      <c r="H441" s="23">
        <v>24.75</v>
      </c>
      <c r="I441" s="25">
        <f t="shared" si="26"/>
        <v>1410.75</v>
      </c>
      <c r="J441" s="25">
        <f t="shared" si="27"/>
        <v>1741.6538123700623</v>
      </c>
      <c r="K441" s="25">
        <f t="shared" si="28"/>
        <v>1812.1913123700624</v>
      </c>
    </row>
    <row r="442" spans="1:11" ht="15.75">
      <c r="A442" s="22" t="s">
        <v>297</v>
      </c>
      <c r="B442" s="22" t="s">
        <v>914</v>
      </c>
      <c r="D442" s="46" t="s">
        <v>915</v>
      </c>
      <c r="E442" s="22" t="s">
        <v>24</v>
      </c>
      <c r="F442" s="6" t="s">
        <v>916</v>
      </c>
      <c r="G442" s="22">
        <v>1</v>
      </c>
      <c r="H442" s="23">
        <v>24.75</v>
      </c>
      <c r="I442" s="25">
        <f t="shared" si="26"/>
        <v>1410.75</v>
      </c>
      <c r="J442" s="25">
        <f t="shared" si="27"/>
        <v>1741.6538123700623</v>
      </c>
      <c r="K442" s="25">
        <f t="shared" si="28"/>
        <v>1812.1913123700624</v>
      </c>
    </row>
    <row r="443" spans="1:12" ht="15.75">
      <c r="A443" s="22" t="s">
        <v>329</v>
      </c>
      <c r="B443" s="22" t="s">
        <v>917</v>
      </c>
      <c r="D443" s="46" t="s">
        <v>918</v>
      </c>
      <c r="E443" s="6" t="s">
        <v>273</v>
      </c>
      <c r="F443" s="6" t="s">
        <v>919</v>
      </c>
      <c r="G443" s="22">
        <v>1</v>
      </c>
      <c r="H443" s="23">
        <v>24.75</v>
      </c>
      <c r="I443" s="25">
        <f t="shared" si="26"/>
        <v>1410.75</v>
      </c>
      <c r="J443" s="25">
        <f t="shared" si="27"/>
        <v>1741.6538123700623</v>
      </c>
      <c r="K443" s="25">
        <f t="shared" si="28"/>
        <v>1812.1913123700624</v>
      </c>
      <c r="L443" s="23" t="s">
        <v>920</v>
      </c>
    </row>
    <row r="444" spans="1:11" ht="15.75">
      <c r="A444" s="22" t="s">
        <v>181</v>
      </c>
      <c r="B444" s="22" t="s">
        <v>917</v>
      </c>
      <c r="D444" s="46" t="s">
        <v>921</v>
      </c>
      <c r="E444" s="22" t="s">
        <v>295</v>
      </c>
      <c r="F444" s="6" t="s">
        <v>922</v>
      </c>
      <c r="G444" s="22">
        <v>1</v>
      </c>
      <c r="H444" s="23">
        <v>13.99</v>
      </c>
      <c r="I444" s="25">
        <f t="shared" si="26"/>
        <v>797.4300000000001</v>
      </c>
      <c r="J444" s="25">
        <f t="shared" si="27"/>
        <v>984.4742155578655</v>
      </c>
      <c r="K444" s="25">
        <f t="shared" si="28"/>
        <v>1024.3457155578656</v>
      </c>
    </row>
    <row r="445" spans="1:11" ht="15.75">
      <c r="A445" s="22" t="s">
        <v>181</v>
      </c>
      <c r="B445" s="22" t="s">
        <v>923</v>
      </c>
      <c r="D445" s="46" t="s">
        <v>866</v>
      </c>
      <c r="E445" s="22" t="s">
        <v>14</v>
      </c>
      <c r="F445" s="6" t="s">
        <v>922</v>
      </c>
      <c r="G445" s="22">
        <v>1</v>
      </c>
      <c r="H445" s="23">
        <v>6.99</v>
      </c>
      <c r="I445" s="25">
        <f t="shared" si="26"/>
        <v>398.43</v>
      </c>
      <c r="J445" s="25">
        <f t="shared" si="27"/>
        <v>491.8852585239085</v>
      </c>
      <c r="K445" s="25">
        <f t="shared" si="28"/>
        <v>511.8067585239085</v>
      </c>
    </row>
    <row r="446" spans="1:19" ht="15.75">
      <c r="A446" s="20" t="s">
        <v>244</v>
      </c>
      <c r="B446" s="20" t="s">
        <v>924</v>
      </c>
      <c r="C446" s="20"/>
      <c r="D446" s="44" t="s">
        <v>925</v>
      </c>
      <c r="E446" s="20" t="s">
        <v>14</v>
      </c>
      <c r="F446" s="44" t="s">
        <v>467</v>
      </c>
      <c r="G446" s="20">
        <v>1</v>
      </c>
      <c r="H446" s="31">
        <v>10.49</v>
      </c>
      <c r="I446" s="25">
        <f t="shared" si="26"/>
        <v>597.9300000000001</v>
      </c>
      <c r="J446" s="25">
        <f t="shared" si="27"/>
        <v>738.1797370408871</v>
      </c>
      <c r="K446" s="25">
        <f t="shared" si="28"/>
        <v>768.076237040887</v>
      </c>
      <c r="L446" s="44"/>
      <c r="M446" s="7"/>
      <c r="N446" s="7"/>
      <c r="O446" s="7"/>
      <c r="P446" s="7"/>
      <c r="Q446" s="7"/>
      <c r="R446" s="7"/>
      <c r="S446" s="7"/>
    </row>
    <row r="447" spans="1:12" ht="15.75">
      <c r="A447" s="22" t="s">
        <v>813</v>
      </c>
      <c r="B447" s="22" t="s">
        <v>926</v>
      </c>
      <c r="D447" s="46" t="s">
        <v>832</v>
      </c>
      <c r="E447" s="22" t="s">
        <v>7</v>
      </c>
      <c r="F447" s="6" t="s">
        <v>878</v>
      </c>
      <c r="G447" s="22">
        <v>1</v>
      </c>
      <c r="H447" s="23">
        <v>3.49</v>
      </c>
      <c r="I447" s="25">
        <f t="shared" si="26"/>
        <v>198.93</v>
      </c>
      <c r="J447" s="25">
        <f t="shared" si="27"/>
        <v>245.59078000693003</v>
      </c>
      <c r="K447" s="25">
        <f t="shared" si="28"/>
        <v>255.53728000693005</v>
      </c>
      <c r="L447" s="46"/>
    </row>
    <row r="448" spans="1:11" ht="15.75">
      <c r="A448" s="22" t="s">
        <v>93</v>
      </c>
      <c r="B448" s="22" t="s">
        <v>927</v>
      </c>
      <c r="D448" s="46" t="s">
        <v>928</v>
      </c>
      <c r="E448" s="22" t="s">
        <v>7</v>
      </c>
      <c r="F448" s="6" t="s">
        <v>929</v>
      </c>
      <c r="G448" s="22">
        <v>1</v>
      </c>
      <c r="H448" s="23">
        <v>29.5</v>
      </c>
      <c r="I448" s="25">
        <f t="shared" si="26"/>
        <v>1681.5</v>
      </c>
      <c r="J448" s="25">
        <f t="shared" si="27"/>
        <v>2075.9106046431043</v>
      </c>
      <c r="K448" s="25">
        <f t="shared" si="28"/>
        <v>2159.9856046431046</v>
      </c>
    </row>
    <row r="449" spans="1:11" ht="15.75">
      <c r="A449" s="22" t="s">
        <v>91</v>
      </c>
      <c r="B449" s="22" t="s">
        <v>930</v>
      </c>
      <c r="D449" s="46" t="s">
        <v>931</v>
      </c>
      <c r="E449" s="22" t="s">
        <v>7</v>
      </c>
      <c r="F449" s="6" t="s">
        <v>277</v>
      </c>
      <c r="G449" s="22">
        <v>1</v>
      </c>
      <c r="H449" s="23">
        <v>42</v>
      </c>
      <c r="I449" s="25">
        <f t="shared" si="26"/>
        <v>2394</v>
      </c>
      <c r="J449" s="25">
        <f t="shared" si="27"/>
        <v>2955.5337422037423</v>
      </c>
      <c r="K449" s="25">
        <f t="shared" si="28"/>
        <v>3075.233742203742</v>
      </c>
    </row>
    <row r="450" spans="1:11" ht="15.75">
      <c r="A450" s="22" t="s">
        <v>510</v>
      </c>
      <c r="B450" s="22" t="s">
        <v>932</v>
      </c>
      <c r="D450" s="46" t="s">
        <v>933</v>
      </c>
      <c r="E450" s="22" t="s">
        <v>7</v>
      </c>
      <c r="F450" s="6" t="s">
        <v>491</v>
      </c>
      <c r="G450" s="22">
        <v>1</v>
      </c>
      <c r="H450" s="23">
        <v>5.59</v>
      </c>
      <c r="I450" s="25">
        <f t="shared" si="26"/>
        <v>318.63</v>
      </c>
      <c r="J450" s="25">
        <f t="shared" si="27"/>
        <v>393.3674671171171</v>
      </c>
      <c r="K450" s="25">
        <f t="shared" si="28"/>
        <v>409.2989671171171</v>
      </c>
    </row>
    <row r="451" spans="1:11" ht="15.75">
      <c r="A451" s="22" t="s">
        <v>510</v>
      </c>
      <c r="B451" s="22" t="s">
        <v>932</v>
      </c>
      <c r="D451" s="46" t="s">
        <v>934</v>
      </c>
      <c r="E451" s="22" t="s">
        <v>7</v>
      </c>
      <c r="F451" s="6" t="s">
        <v>491</v>
      </c>
      <c r="G451" s="22">
        <v>1</v>
      </c>
      <c r="H451" s="23">
        <v>9.8</v>
      </c>
      <c r="I451" s="25">
        <f t="shared" si="26"/>
        <v>558.6</v>
      </c>
      <c r="J451" s="25">
        <f t="shared" si="27"/>
        <v>689.6245398475398</v>
      </c>
      <c r="K451" s="25">
        <f t="shared" si="28"/>
        <v>717.5545398475399</v>
      </c>
    </row>
    <row r="452" spans="1:11" ht="15.75">
      <c r="A452" s="22" t="s">
        <v>855</v>
      </c>
      <c r="B452" s="22" t="s">
        <v>935</v>
      </c>
      <c r="D452" s="46" t="s">
        <v>936</v>
      </c>
      <c r="E452" s="22" t="s">
        <v>14</v>
      </c>
      <c r="F452" s="6" t="s">
        <v>18</v>
      </c>
      <c r="G452" s="22">
        <v>1</v>
      </c>
      <c r="H452" s="23">
        <v>4.89</v>
      </c>
      <c r="I452" s="25">
        <f t="shared" si="26"/>
        <v>278.72999999999996</v>
      </c>
      <c r="J452" s="25">
        <f t="shared" si="27"/>
        <v>344.1085714137214</v>
      </c>
      <c r="K452" s="25">
        <f t="shared" si="28"/>
        <v>358.0450714137214</v>
      </c>
    </row>
    <row r="453" spans="1:11" ht="15.75">
      <c r="A453" s="22" t="s">
        <v>855</v>
      </c>
      <c r="B453" s="22" t="s">
        <v>937</v>
      </c>
      <c r="D453" s="46" t="s">
        <v>902</v>
      </c>
      <c r="E453" s="6" t="s">
        <v>20</v>
      </c>
      <c r="F453" s="6" t="s">
        <v>268</v>
      </c>
      <c r="G453" s="22">
        <v>1</v>
      </c>
      <c r="H453" s="23">
        <v>5.59</v>
      </c>
      <c r="I453" s="25">
        <f t="shared" si="26"/>
        <v>318.63</v>
      </c>
      <c r="J453" s="25">
        <f t="shared" si="27"/>
        <v>393.3674671171171</v>
      </c>
      <c r="K453" s="25">
        <f t="shared" si="28"/>
        <v>409.2989671171171</v>
      </c>
    </row>
    <row r="454" spans="1:11" ht="15.75">
      <c r="A454" s="22" t="s">
        <v>538</v>
      </c>
      <c r="D454" s="46"/>
      <c r="F454" s="6"/>
      <c r="G454" s="22">
        <v>1</v>
      </c>
      <c r="H454" s="23">
        <v>6.99</v>
      </c>
      <c r="I454" s="25">
        <f t="shared" si="26"/>
        <v>398.43</v>
      </c>
      <c r="J454" s="25">
        <f t="shared" si="27"/>
        <v>491.8852585239085</v>
      </c>
      <c r="K454" s="25">
        <f t="shared" si="28"/>
        <v>511.8067585239085</v>
      </c>
    </row>
    <row r="455" spans="1:11" ht="15.75">
      <c r="A455" s="22" t="s">
        <v>538</v>
      </c>
      <c r="D455" s="46"/>
      <c r="F455" s="6"/>
      <c r="G455" s="22">
        <v>1</v>
      </c>
      <c r="H455" s="23">
        <v>4.19</v>
      </c>
      <c r="I455" s="25">
        <f t="shared" si="26"/>
        <v>238.83</v>
      </c>
      <c r="J455" s="25">
        <f t="shared" si="27"/>
        <v>294.8496757103257</v>
      </c>
      <c r="K455" s="25">
        <f t="shared" si="28"/>
        <v>306.7911757103257</v>
      </c>
    </row>
    <row r="456" spans="1:11" ht="15.75">
      <c r="A456" s="22" t="s">
        <v>538</v>
      </c>
      <c r="B456" s="22" t="s">
        <v>932</v>
      </c>
      <c r="D456" s="46" t="s">
        <v>933</v>
      </c>
      <c r="E456" s="22" t="s">
        <v>7</v>
      </c>
      <c r="F456" s="6" t="s">
        <v>491</v>
      </c>
      <c r="G456" s="22">
        <v>1</v>
      </c>
      <c r="H456" s="23">
        <v>5.6</v>
      </c>
      <c r="I456" s="25">
        <f t="shared" si="26"/>
        <v>319.2</v>
      </c>
      <c r="J456" s="25">
        <f t="shared" si="27"/>
        <v>394.0711656271656</v>
      </c>
      <c r="K456" s="25">
        <f t="shared" si="28"/>
        <v>410.0311656271656</v>
      </c>
    </row>
    <row r="457" spans="1:11" ht="15.75">
      <c r="A457" s="22" t="s">
        <v>538</v>
      </c>
      <c r="B457" s="22" t="s">
        <v>932</v>
      </c>
      <c r="D457" s="46" t="s">
        <v>934</v>
      </c>
      <c r="E457" s="22" t="s">
        <v>7</v>
      </c>
      <c r="F457" s="6" t="s">
        <v>491</v>
      </c>
      <c r="G457" s="22">
        <v>1</v>
      </c>
      <c r="H457" s="23">
        <v>9.8</v>
      </c>
      <c r="I457" s="25">
        <f t="shared" si="26"/>
        <v>558.6</v>
      </c>
      <c r="J457" s="25">
        <f t="shared" si="27"/>
        <v>689.6245398475398</v>
      </c>
      <c r="K457" s="25">
        <f t="shared" si="28"/>
        <v>717.5545398475399</v>
      </c>
    </row>
    <row r="458" spans="1:11" ht="15.75">
      <c r="A458" s="22" t="s">
        <v>538</v>
      </c>
      <c r="B458" s="22" t="s">
        <v>937</v>
      </c>
      <c r="D458" s="46" t="s">
        <v>902</v>
      </c>
      <c r="E458" s="6" t="s">
        <v>20</v>
      </c>
      <c r="F458" s="6" t="s">
        <v>268</v>
      </c>
      <c r="G458" s="22">
        <v>1</v>
      </c>
      <c r="H458" s="23">
        <v>5.6</v>
      </c>
      <c r="I458" s="25">
        <f t="shared" si="26"/>
        <v>319.2</v>
      </c>
      <c r="J458" s="25">
        <f t="shared" si="27"/>
        <v>394.0711656271656</v>
      </c>
      <c r="K458" s="25">
        <f t="shared" si="28"/>
        <v>410.0311656271656</v>
      </c>
    </row>
    <row r="459" spans="1:11" ht="15.75">
      <c r="A459" s="22" t="s">
        <v>538</v>
      </c>
      <c r="B459" s="22" t="s">
        <v>912</v>
      </c>
      <c r="D459" s="46" t="s">
        <v>913</v>
      </c>
      <c r="E459" s="22" t="s">
        <v>12</v>
      </c>
      <c r="F459" s="6" t="s">
        <v>18</v>
      </c>
      <c r="G459" s="22">
        <v>1</v>
      </c>
      <c r="H459" s="23">
        <v>3.5</v>
      </c>
      <c r="I459" s="25">
        <f t="shared" si="26"/>
        <v>199.5</v>
      </c>
      <c r="J459" s="25">
        <f t="shared" si="27"/>
        <v>246.2944785169785</v>
      </c>
      <c r="K459" s="25">
        <f t="shared" si="28"/>
        <v>256.2694785169785</v>
      </c>
    </row>
    <row r="460" spans="1:11" ht="15.75">
      <c r="A460" s="22" t="s">
        <v>538</v>
      </c>
      <c r="B460" s="22" t="s">
        <v>912</v>
      </c>
      <c r="D460" s="46" t="s">
        <v>913</v>
      </c>
      <c r="E460" s="22" t="s">
        <v>7</v>
      </c>
      <c r="F460" s="6" t="s">
        <v>18</v>
      </c>
      <c r="G460" s="22">
        <v>1</v>
      </c>
      <c r="H460" s="23">
        <v>3.5</v>
      </c>
      <c r="I460" s="25">
        <f t="shared" si="26"/>
        <v>199.5</v>
      </c>
      <c r="J460" s="25">
        <f t="shared" si="27"/>
        <v>246.2944785169785</v>
      </c>
      <c r="K460" s="25">
        <f t="shared" si="28"/>
        <v>256.2694785169785</v>
      </c>
    </row>
    <row r="461" spans="1:11" ht="15.75">
      <c r="A461" s="22" t="s">
        <v>538</v>
      </c>
      <c r="B461" s="22" t="s">
        <v>910</v>
      </c>
      <c r="D461" s="46" t="s">
        <v>911</v>
      </c>
      <c r="E461" s="6" t="s">
        <v>295</v>
      </c>
      <c r="F461" s="6" t="s">
        <v>268</v>
      </c>
      <c r="G461" s="22">
        <v>1</v>
      </c>
      <c r="H461" s="23">
        <v>5.6</v>
      </c>
      <c r="I461" s="25">
        <f t="shared" si="26"/>
        <v>319.2</v>
      </c>
      <c r="J461" s="25">
        <f t="shared" si="27"/>
        <v>394.0711656271656</v>
      </c>
      <c r="K461" s="25">
        <f t="shared" si="28"/>
        <v>410.0311656271656</v>
      </c>
    </row>
    <row r="462" spans="1:11" ht="15.75">
      <c r="A462" s="22" t="s">
        <v>538</v>
      </c>
      <c r="B462" s="22" t="s">
        <v>888</v>
      </c>
      <c r="D462" s="46" t="s">
        <v>902</v>
      </c>
      <c r="E462" s="22" t="s">
        <v>257</v>
      </c>
      <c r="F462" s="6" t="s">
        <v>268</v>
      </c>
      <c r="G462" s="22">
        <v>1</v>
      </c>
      <c r="H462" s="23">
        <v>5.6</v>
      </c>
      <c r="I462" s="25">
        <f t="shared" si="26"/>
        <v>319.2</v>
      </c>
      <c r="J462" s="25">
        <f t="shared" si="27"/>
        <v>394.0711656271656</v>
      </c>
      <c r="K462" s="25">
        <f t="shared" si="28"/>
        <v>410.0311656271656</v>
      </c>
    </row>
    <row r="463" spans="1:11" ht="15.75">
      <c r="A463" s="22" t="s">
        <v>538</v>
      </c>
      <c r="B463" s="22" t="s">
        <v>903</v>
      </c>
      <c r="D463" s="46" t="s">
        <v>904</v>
      </c>
      <c r="E463" s="22" t="s">
        <v>12</v>
      </c>
      <c r="F463" s="6" t="s">
        <v>268</v>
      </c>
      <c r="G463" s="22">
        <v>1</v>
      </c>
      <c r="H463" s="23">
        <v>3.5</v>
      </c>
      <c r="I463" s="25">
        <f t="shared" si="26"/>
        <v>199.5</v>
      </c>
      <c r="J463" s="25">
        <f t="shared" si="27"/>
        <v>246.2944785169785</v>
      </c>
      <c r="K463" s="25">
        <f t="shared" si="28"/>
        <v>256.2694785169785</v>
      </c>
    </row>
    <row r="464" spans="1:11" ht="15.75">
      <c r="A464" s="22" t="s">
        <v>538</v>
      </c>
      <c r="D464" s="46"/>
      <c r="E464" s="22" t="s">
        <v>273</v>
      </c>
      <c r="F464" s="6" t="s">
        <v>890</v>
      </c>
      <c r="G464" s="22">
        <v>1</v>
      </c>
      <c r="H464" s="23">
        <v>5.59</v>
      </c>
      <c r="I464" s="25">
        <f t="shared" si="26"/>
        <v>318.63</v>
      </c>
      <c r="J464" s="25">
        <f t="shared" si="27"/>
        <v>393.3674671171171</v>
      </c>
      <c r="K464" s="25">
        <f t="shared" si="28"/>
        <v>409.2989671171171</v>
      </c>
    </row>
    <row r="465" spans="1:11" ht="15.75">
      <c r="A465" s="22" t="s">
        <v>538</v>
      </c>
      <c r="D465" s="46"/>
      <c r="E465" s="22" t="s">
        <v>7</v>
      </c>
      <c r="F465" s="6" t="s">
        <v>893</v>
      </c>
      <c r="G465" s="22">
        <v>1</v>
      </c>
      <c r="H465" s="23">
        <v>3.49</v>
      </c>
      <c r="I465" s="25">
        <f t="shared" si="26"/>
        <v>198.93</v>
      </c>
      <c r="J465" s="25">
        <f t="shared" si="27"/>
        <v>245.59078000693003</v>
      </c>
      <c r="K465" s="25">
        <f t="shared" si="28"/>
        <v>255.53728000693005</v>
      </c>
    </row>
    <row r="466" spans="1:11" ht="15.75">
      <c r="A466" s="22" t="s">
        <v>538</v>
      </c>
      <c r="D466" s="46" t="s">
        <v>938</v>
      </c>
      <c r="E466" s="22" t="s">
        <v>14</v>
      </c>
      <c r="F466" s="6" t="s">
        <v>939</v>
      </c>
      <c r="G466" s="22">
        <v>1</v>
      </c>
      <c r="H466" s="23">
        <v>7.69</v>
      </c>
      <c r="I466" s="25">
        <f t="shared" si="26"/>
        <v>438.33000000000004</v>
      </c>
      <c r="J466" s="25">
        <f t="shared" si="27"/>
        <v>541.1441542273043</v>
      </c>
      <c r="K466" s="25">
        <f t="shared" si="28"/>
        <v>563.0606542273042</v>
      </c>
    </row>
    <row r="467" spans="1:11" ht="15.75">
      <c r="A467" s="22" t="s">
        <v>538</v>
      </c>
      <c r="D467" s="46" t="s">
        <v>940</v>
      </c>
      <c r="E467" s="22" t="s">
        <v>12</v>
      </c>
      <c r="F467" s="6" t="s">
        <v>939</v>
      </c>
      <c r="G467" s="22">
        <v>1</v>
      </c>
      <c r="H467" s="23">
        <v>4.19</v>
      </c>
      <c r="I467" s="25">
        <f t="shared" si="26"/>
        <v>238.83</v>
      </c>
      <c r="J467" s="25">
        <f t="shared" si="27"/>
        <v>294.8496757103257</v>
      </c>
      <c r="K467" s="25">
        <f t="shared" si="28"/>
        <v>306.7911757103257</v>
      </c>
    </row>
    <row r="468" spans="1:11" ht="15.75">
      <c r="A468" s="22" t="s">
        <v>538</v>
      </c>
      <c r="D468" s="46" t="s">
        <v>938</v>
      </c>
      <c r="E468" s="22" t="s">
        <v>14</v>
      </c>
      <c r="F468" s="6" t="s">
        <v>939</v>
      </c>
      <c r="G468" s="22">
        <v>1</v>
      </c>
      <c r="H468" s="23">
        <v>7.7</v>
      </c>
      <c r="I468" s="25">
        <f t="shared" si="26"/>
        <v>438.90000000000003</v>
      </c>
      <c r="J468" s="25">
        <f t="shared" si="27"/>
        <v>541.8478527373528</v>
      </c>
      <c r="K468" s="25">
        <f t="shared" si="28"/>
        <v>563.7928527373527</v>
      </c>
    </row>
    <row r="469" spans="1:11" ht="15.75">
      <c r="A469" s="22" t="s">
        <v>538</v>
      </c>
      <c r="D469" s="46" t="s">
        <v>940</v>
      </c>
      <c r="E469" s="22" t="s">
        <v>12</v>
      </c>
      <c r="F469" s="6" t="s">
        <v>939</v>
      </c>
      <c r="G469" s="22">
        <v>1</v>
      </c>
      <c r="H469" s="23">
        <v>4.2</v>
      </c>
      <c r="I469" s="25">
        <f t="shared" si="26"/>
        <v>239.4</v>
      </c>
      <c r="J469" s="25">
        <f t="shared" si="27"/>
        <v>295.5533742203742</v>
      </c>
      <c r="K469" s="25">
        <f t="shared" si="28"/>
        <v>307.5233742203742</v>
      </c>
    </row>
    <row r="470" spans="1:11" ht="15.75">
      <c r="A470" s="22" t="s">
        <v>538</v>
      </c>
      <c r="B470" s="22" t="s">
        <v>912</v>
      </c>
      <c r="D470" s="46" t="s">
        <v>913</v>
      </c>
      <c r="E470" s="22" t="s">
        <v>7</v>
      </c>
      <c r="F470" s="6" t="s">
        <v>18</v>
      </c>
      <c r="G470" s="22">
        <v>1</v>
      </c>
      <c r="H470" s="23">
        <v>3.49</v>
      </c>
      <c r="I470" s="25">
        <f t="shared" si="26"/>
        <v>198.93</v>
      </c>
      <c r="J470" s="25">
        <f t="shared" si="27"/>
        <v>245.59078000693003</v>
      </c>
      <c r="K470" s="25">
        <f t="shared" si="28"/>
        <v>255.53728000693005</v>
      </c>
    </row>
    <row r="471" spans="1:11" ht="15.75">
      <c r="A471" s="22" t="s">
        <v>538</v>
      </c>
      <c r="B471" s="22" t="s">
        <v>905</v>
      </c>
      <c r="D471" s="46" t="s">
        <v>906</v>
      </c>
      <c r="E471" s="22" t="s">
        <v>12</v>
      </c>
      <c r="F471" s="6" t="s">
        <v>907</v>
      </c>
      <c r="G471" s="22">
        <v>1</v>
      </c>
      <c r="H471" s="23">
        <v>2.99</v>
      </c>
      <c r="I471" s="25">
        <f t="shared" si="26"/>
        <v>170.43</v>
      </c>
      <c r="J471" s="25">
        <f t="shared" si="27"/>
        <v>210.4058545045045</v>
      </c>
      <c r="K471" s="25">
        <f t="shared" si="28"/>
        <v>218.9273545045045</v>
      </c>
    </row>
    <row r="472" spans="1:11" ht="15.75">
      <c r="A472" s="22" t="s">
        <v>538</v>
      </c>
      <c r="B472" s="22" t="s">
        <v>905</v>
      </c>
      <c r="D472" s="46" t="s">
        <v>906</v>
      </c>
      <c r="E472" s="22" t="s">
        <v>12</v>
      </c>
      <c r="F472" s="6" t="s">
        <v>907</v>
      </c>
      <c r="G472" s="22">
        <v>1</v>
      </c>
      <c r="H472" s="23">
        <v>2.99</v>
      </c>
      <c r="I472" s="25">
        <f t="shared" si="26"/>
        <v>170.43</v>
      </c>
      <c r="J472" s="25">
        <f t="shared" si="27"/>
        <v>210.4058545045045</v>
      </c>
      <c r="K472" s="25">
        <f t="shared" si="28"/>
        <v>218.9273545045045</v>
      </c>
    </row>
    <row r="473" spans="1:19" ht="15.75">
      <c r="A473" s="30" t="s">
        <v>941</v>
      </c>
      <c r="B473" s="30" t="s">
        <v>650</v>
      </c>
      <c r="C473" s="30"/>
      <c r="D473" s="43" t="s">
        <v>832</v>
      </c>
      <c r="E473" s="30" t="s">
        <v>14</v>
      </c>
      <c r="F473" s="43" t="s">
        <v>942</v>
      </c>
      <c r="G473" s="30">
        <v>1</v>
      </c>
      <c r="H473" s="28">
        <v>3.49</v>
      </c>
      <c r="I473" s="28"/>
      <c r="J473" s="30"/>
      <c r="K473" s="30"/>
      <c r="L473" s="38" t="s">
        <v>205</v>
      </c>
      <c r="M473" s="38"/>
      <c r="N473" s="38"/>
      <c r="O473" s="38"/>
      <c r="P473" s="38"/>
      <c r="Q473" s="38"/>
      <c r="R473" s="38"/>
      <c r="S473" s="38"/>
    </row>
    <row r="474" ht="15">
      <c r="A474" s="22">
        <v>1</v>
      </c>
    </row>
    <row r="475" spans="1:2" ht="15.75">
      <c r="A475" s="22">
        <v>1</v>
      </c>
      <c r="B475" s="49" t="s">
        <v>393</v>
      </c>
    </row>
    <row r="476" spans="1:2" ht="15.75">
      <c r="A476" s="22">
        <v>1</v>
      </c>
      <c r="B476" s="49" t="s">
        <v>949</v>
      </c>
    </row>
    <row r="477" ht="15">
      <c r="A477" s="22">
        <v>1</v>
      </c>
    </row>
    <row r="478" spans="1:6" ht="15.75">
      <c r="A478" s="22">
        <v>1</v>
      </c>
      <c r="F478" s="27"/>
    </row>
    <row r="479" ht="15">
      <c r="A479" s="22">
        <v>1</v>
      </c>
    </row>
    <row r="480" ht="15">
      <c r="A480" s="22">
        <v>1</v>
      </c>
    </row>
    <row r="481" ht="15">
      <c r="A481" s="22">
        <v>1</v>
      </c>
    </row>
    <row r="482" ht="15">
      <c r="A482" s="22">
        <v>1</v>
      </c>
    </row>
    <row r="483" spans="1:6" ht="15.75">
      <c r="A483" s="22">
        <v>1</v>
      </c>
      <c r="D483" s="46"/>
      <c r="F483" s="6"/>
    </row>
    <row r="484" spans="1:6" ht="15.75">
      <c r="A484" s="22">
        <v>1</v>
      </c>
      <c r="D484" s="46"/>
      <c r="F484" s="6"/>
    </row>
    <row r="485" spans="1:6" ht="15.75">
      <c r="A485" s="22">
        <v>1</v>
      </c>
      <c r="D485" s="46"/>
      <c r="F485" s="6"/>
    </row>
    <row r="486" spans="1:7" ht="15">
      <c r="A486" s="22">
        <v>1</v>
      </c>
      <c r="B486" s="48"/>
      <c r="E486" s="48"/>
      <c r="G486" s="48"/>
    </row>
    <row r="487" spans="1:6" ht="16.5" thickBot="1">
      <c r="A487" s="26" t="s">
        <v>953</v>
      </c>
      <c r="F487" s="27" t="s">
        <v>1036</v>
      </c>
    </row>
    <row r="488" spans="1:17" ht="15.75">
      <c r="A488" s="22" t="s">
        <v>954</v>
      </c>
      <c r="B488" s="22" t="s">
        <v>955</v>
      </c>
      <c r="C488" s="8"/>
      <c r="D488" s="46" t="s">
        <v>956</v>
      </c>
      <c r="E488" s="22" t="s">
        <v>12</v>
      </c>
      <c r="F488" s="6" t="s">
        <v>957</v>
      </c>
      <c r="G488" s="22">
        <v>1</v>
      </c>
      <c r="H488" s="23">
        <v>19.6</v>
      </c>
      <c r="I488" s="25">
        <f>H488*$Q$494</f>
        <v>1117.2</v>
      </c>
      <c r="J488" s="25">
        <f>H488*$Q$491*$Q$494</f>
        <v>1373.3628469580806</v>
      </c>
      <c r="K488" s="25">
        <f>H488*$Q$492*$Q$494</f>
        <v>1429.2228469580803</v>
      </c>
      <c r="P488" s="16" t="s">
        <v>19</v>
      </c>
      <c r="Q488" s="13">
        <f>SUM(H488:H518)</f>
        <v>401.7200000000001</v>
      </c>
    </row>
    <row r="489" spans="1:17" ht="15.75">
      <c r="A489" s="22" t="s">
        <v>954</v>
      </c>
      <c r="B489" s="22" t="s">
        <v>955</v>
      </c>
      <c r="C489" s="8"/>
      <c r="D489" s="46" t="s">
        <v>958</v>
      </c>
      <c r="E489" s="22" t="s">
        <v>12</v>
      </c>
      <c r="F489" s="6" t="s">
        <v>957</v>
      </c>
      <c r="G489" s="22">
        <v>1</v>
      </c>
      <c r="H489" s="23">
        <v>16.8</v>
      </c>
      <c r="I489" s="25">
        <f aca="true" t="shared" si="29" ref="I489:I518">H489*$Q$494</f>
        <v>957.6</v>
      </c>
      <c r="J489" s="25">
        <f aca="true" t="shared" si="30" ref="J489:J518">H489*$Q$491*$Q$494</f>
        <v>1177.1681545354975</v>
      </c>
      <c r="K489" s="25">
        <f aca="true" t="shared" si="31" ref="K489:K518">H489*$Q$492*$Q$494</f>
        <v>1225.0481545354974</v>
      </c>
      <c r="P489" s="17" t="s">
        <v>15</v>
      </c>
      <c r="Q489" s="9">
        <v>63.99</v>
      </c>
    </row>
    <row r="490" spans="1:17" ht="15.75">
      <c r="A490" s="22" t="s">
        <v>752</v>
      </c>
      <c r="B490" s="22" t="s">
        <v>457</v>
      </c>
      <c r="D490" s="46" t="s">
        <v>959</v>
      </c>
      <c r="E490" s="22" t="s">
        <v>7</v>
      </c>
      <c r="F490" s="6" t="s">
        <v>268</v>
      </c>
      <c r="G490" s="22">
        <v>1</v>
      </c>
      <c r="H490" s="23">
        <v>3.49</v>
      </c>
      <c r="I490" s="25">
        <f t="shared" si="29"/>
        <v>198.93</v>
      </c>
      <c r="J490" s="25">
        <f t="shared" si="30"/>
        <v>244.542670198148</v>
      </c>
      <c r="K490" s="25">
        <f t="shared" si="31"/>
        <v>254.489170198148</v>
      </c>
      <c r="P490" s="18" t="s">
        <v>111</v>
      </c>
      <c r="Q490" s="56">
        <f>Q489/Q488</f>
        <v>0.15929005277307576</v>
      </c>
    </row>
    <row r="491" spans="1:17" ht="15.75">
      <c r="A491" s="22" t="s">
        <v>83</v>
      </c>
      <c r="B491" s="22" t="s">
        <v>960</v>
      </c>
      <c r="D491" s="46" t="s">
        <v>961</v>
      </c>
      <c r="E491" s="22" t="s">
        <v>12</v>
      </c>
      <c r="F491" s="6" t="s">
        <v>46</v>
      </c>
      <c r="G491" s="22">
        <v>1</v>
      </c>
      <c r="H491" s="23">
        <v>18.5</v>
      </c>
      <c r="I491" s="25">
        <f t="shared" si="29"/>
        <v>1054.5</v>
      </c>
      <c r="J491" s="25">
        <f t="shared" si="30"/>
        <v>1296.2863606492085</v>
      </c>
      <c r="K491" s="25">
        <f t="shared" si="31"/>
        <v>1349.0113606492082</v>
      </c>
      <c r="P491" s="17" t="s">
        <v>16</v>
      </c>
      <c r="Q491" s="10">
        <f>1+Q489/Q488+0.07</f>
        <v>1.229290052773076</v>
      </c>
    </row>
    <row r="492" spans="1:17" ht="15.75">
      <c r="A492" s="22" t="s">
        <v>83</v>
      </c>
      <c r="B492" s="22" t="s">
        <v>962</v>
      </c>
      <c r="D492" s="46" t="s">
        <v>963</v>
      </c>
      <c r="E492" s="22" t="s">
        <v>24</v>
      </c>
      <c r="F492" s="6" t="s">
        <v>964</v>
      </c>
      <c r="G492" s="22">
        <v>1</v>
      </c>
      <c r="H492" s="23">
        <v>45</v>
      </c>
      <c r="I492" s="25">
        <f t="shared" si="29"/>
        <v>2565</v>
      </c>
      <c r="J492" s="25">
        <f t="shared" si="30"/>
        <v>3153.1289853629396</v>
      </c>
      <c r="K492" s="25">
        <f t="shared" si="31"/>
        <v>3281.378985362939</v>
      </c>
      <c r="P492" s="17" t="s">
        <v>16</v>
      </c>
      <c r="Q492" s="10">
        <f>1+Q489/Q488+0.12</f>
        <v>1.2792900527730757</v>
      </c>
    </row>
    <row r="493" spans="1:17" ht="15.75">
      <c r="A493" s="22" t="s">
        <v>83</v>
      </c>
      <c r="B493" s="22" t="s">
        <v>962</v>
      </c>
      <c r="D493" s="46" t="s">
        <v>965</v>
      </c>
      <c r="E493" s="22" t="s">
        <v>12</v>
      </c>
      <c r="F493" s="6" t="s">
        <v>964</v>
      </c>
      <c r="G493" s="22">
        <v>1</v>
      </c>
      <c r="H493" s="23">
        <v>22.5</v>
      </c>
      <c r="I493" s="25">
        <f t="shared" si="29"/>
        <v>1282.5</v>
      </c>
      <c r="J493" s="25">
        <f t="shared" si="30"/>
        <v>1576.5644926814698</v>
      </c>
      <c r="K493" s="25">
        <f t="shared" si="31"/>
        <v>1640.6894926814696</v>
      </c>
      <c r="P493" s="18"/>
      <c r="Q493" s="10"/>
    </row>
    <row r="494" spans="1:17" ht="16.5" thickBot="1">
      <c r="A494" s="22" t="s">
        <v>83</v>
      </c>
      <c r="B494" s="22" t="s">
        <v>966</v>
      </c>
      <c r="D494" s="46" t="s">
        <v>967</v>
      </c>
      <c r="E494" s="22" t="s">
        <v>24</v>
      </c>
      <c r="F494" s="6" t="s">
        <v>968</v>
      </c>
      <c r="G494" s="22">
        <v>1</v>
      </c>
      <c r="H494" s="23">
        <v>19.6</v>
      </c>
      <c r="I494" s="25">
        <f t="shared" si="29"/>
        <v>1117.2</v>
      </c>
      <c r="J494" s="25">
        <f t="shared" si="30"/>
        <v>1373.3628469580806</v>
      </c>
      <c r="K494" s="25">
        <f t="shared" si="31"/>
        <v>1429.2228469580803</v>
      </c>
      <c r="P494" s="39" t="s">
        <v>17</v>
      </c>
      <c r="Q494" s="12">
        <v>57</v>
      </c>
    </row>
    <row r="495" spans="1:11" ht="15.75">
      <c r="A495" s="22" t="s">
        <v>83</v>
      </c>
      <c r="B495" s="22" t="s">
        <v>966</v>
      </c>
      <c r="D495" s="46" t="s">
        <v>969</v>
      </c>
      <c r="E495" s="22" t="s">
        <v>12</v>
      </c>
      <c r="F495" s="6" t="s">
        <v>968</v>
      </c>
      <c r="G495" s="22">
        <v>1</v>
      </c>
      <c r="H495" s="23">
        <v>11.2</v>
      </c>
      <c r="I495" s="25">
        <f t="shared" si="29"/>
        <v>638.4</v>
      </c>
      <c r="J495" s="25">
        <f t="shared" si="30"/>
        <v>784.7787696903316</v>
      </c>
      <c r="K495" s="25">
        <f t="shared" si="31"/>
        <v>816.6987696903315</v>
      </c>
    </row>
    <row r="496" spans="1:11" ht="15.75">
      <c r="A496" s="22" t="s">
        <v>954</v>
      </c>
      <c r="B496" s="22" t="s">
        <v>970</v>
      </c>
      <c r="D496" s="46" t="s">
        <v>971</v>
      </c>
      <c r="E496" s="22" t="s">
        <v>12</v>
      </c>
      <c r="F496" s="6" t="s">
        <v>972</v>
      </c>
      <c r="G496" s="22">
        <v>1</v>
      </c>
      <c r="H496" s="23">
        <v>12.59</v>
      </c>
      <c r="I496" s="25">
        <f t="shared" si="29"/>
        <v>717.63</v>
      </c>
      <c r="J496" s="25">
        <f t="shared" si="30"/>
        <v>882.1754205715424</v>
      </c>
      <c r="K496" s="25">
        <f t="shared" si="31"/>
        <v>918.0569205715424</v>
      </c>
    </row>
    <row r="497" spans="1:11" ht="15.75">
      <c r="A497" s="22" t="s">
        <v>954</v>
      </c>
      <c r="B497" s="22" t="s">
        <v>970</v>
      </c>
      <c r="D497" s="46" t="s">
        <v>973</v>
      </c>
      <c r="E497" s="22" t="s">
        <v>12</v>
      </c>
      <c r="F497" s="6" t="s">
        <v>972</v>
      </c>
      <c r="G497" s="22">
        <v>1</v>
      </c>
      <c r="H497" s="23">
        <v>10.49</v>
      </c>
      <c r="I497" s="25">
        <f t="shared" si="29"/>
        <v>597.9300000000001</v>
      </c>
      <c r="J497" s="25">
        <f t="shared" si="30"/>
        <v>735.0294012546052</v>
      </c>
      <c r="K497" s="25">
        <f t="shared" si="31"/>
        <v>764.9259012546053</v>
      </c>
    </row>
    <row r="498" spans="1:11" ht="15.75">
      <c r="A498" s="22" t="s">
        <v>974</v>
      </c>
      <c r="B498" s="22" t="s">
        <v>975</v>
      </c>
      <c r="D498" s="46" t="s">
        <v>976</v>
      </c>
      <c r="E498" s="6" t="s">
        <v>23</v>
      </c>
      <c r="F498" s="6" t="s">
        <v>968</v>
      </c>
      <c r="G498" s="22">
        <v>1</v>
      </c>
      <c r="H498" s="23">
        <v>19.6</v>
      </c>
      <c r="I498" s="25">
        <f t="shared" si="29"/>
        <v>1117.2</v>
      </c>
      <c r="J498" s="25">
        <f t="shared" si="30"/>
        <v>1373.3628469580806</v>
      </c>
      <c r="K498" s="25">
        <f t="shared" si="31"/>
        <v>1429.2228469580803</v>
      </c>
    </row>
    <row r="499" spans="1:11" ht="15.75">
      <c r="A499" s="22" t="s">
        <v>974</v>
      </c>
      <c r="B499" s="22" t="s">
        <v>975</v>
      </c>
      <c r="D499" s="46" t="s">
        <v>969</v>
      </c>
      <c r="E499" s="22" t="s">
        <v>13</v>
      </c>
      <c r="F499" s="6" t="s">
        <v>968</v>
      </c>
      <c r="G499" s="22">
        <v>1</v>
      </c>
      <c r="H499" s="23">
        <v>11.2</v>
      </c>
      <c r="I499" s="25">
        <f t="shared" si="29"/>
        <v>638.4</v>
      </c>
      <c r="J499" s="25">
        <f t="shared" si="30"/>
        <v>784.7787696903316</v>
      </c>
      <c r="K499" s="25">
        <f t="shared" si="31"/>
        <v>816.6987696903315</v>
      </c>
    </row>
    <row r="500" spans="1:20" ht="15.75">
      <c r="A500" s="20" t="s">
        <v>908</v>
      </c>
      <c r="B500" s="20" t="s">
        <v>977</v>
      </c>
      <c r="C500" s="20"/>
      <c r="D500" s="46" t="s">
        <v>978</v>
      </c>
      <c r="E500" s="40" t="s">
        <v>12</v>
      </c>
      <c r="F500" s="6" t="s">
        <v>268</v>
      </c>
      <c r="G500" s="20">
        <v>1</v>
      </c>
      <c r="H500" s="23">
        <v>4.19</v>
      </c>
      <c r="I500" s="25">
        <f t="shared" si="29"/>
        <v>238.83</v>
      </c>
      <c r="J500" s="25">
        <f t="shared" si="30"/>
        <v>293.59134330379374</v>
      </c>
      <c r="K500" s="25">
        <f t="shared" si="31"/>
        <v>305.5328433037937</v>
      </c>
      <c r="L500" s="7"/>
      <c r="M500" s="7"/>
      <c r="N500" s="7"/>
      <c r="O500" s="7"/>
      <c r="P500" s="7"/>
      <c r="Q500" s="7"/>
      <c r="R500" s="7"/>
      <c r="S500" s="7"/>
      <c r="T500" s="7"/>
    </row>
    <row r="501" spans="1:11" ht="15.75">
      <c r="A501" s="22" t="s">
        <v>979</v>
      </c>
      <c r="B501" s="22" t="s">
        <v>980</v>
      </c>
      <c r="D501" s="46" t="s">
        <v>981</v>
      </c>
      <c r="E501" s="48" t="s">
        <v>466</v>
      </c>
      <c r="F501" s="6" t="s">
        <v>982</v>
      </c>
      <c r="G501" s="22">
        <v>1</v>
      </c>
      <c r="H501" s="23">
        <v>10.49</v>
      </c>
      <c r="I501" s="25">
        <f t="shared" si="29"/>
        <v>597.9300000000001</v>
      </c>
      <c r="J501" s="25">
        <f t="shared" si="30"/>
        <v>735.0294012546052</v>
      </c>
      <c r="K501" s="25">
        <f t="shared" si="31"/>
        <v>764.9259012546053</v>
      </c>
    </row>
    <row r="502" spans="1:11" ht="15.75">
      <c r="A502" s="22" t="s">
        <v>350</v>
      </c>
      <c r="B502" s="22" t="s">
        <v>983</v>
      </c>
      <c r="D502" s="46" t="s">
        <v>984</v>
      </c>
      <c r="E502" s="48" t="s">
        <v>12</v>
      </c>
      <c r="F502" s="6" t="s">
        <v>985</v>
      </c>
      <c r="G502" s="22">
        <v>1</v>
      </c>
      <c r="H502" s="23">
        <v>6.99</v>
      </c>
      <c r="I502" s="25">
        <f t="shared" si="29"/>
        <v>398.43</v>
      </c>
      <c r="J502" s="25">
        <f t="shared" si="30"/>
        <v>489.78603572637667</v>
      </c>
      <c r="K502" s="25">
        <f t="shared" si="31"/>
        <v>509.7075357263766</v>
      </c>
    </row>
    <row r="503" spans="1:11" ht="15.75">
      <c r="A503" s="22" t="s">
        <v>251</v>
      </c>
      <c r="B503" s="22" t="s">
        <v>983</v>
      </c>
      <c r="D503" s="46" t="s">
        <v>984</v>
      </c>
      <c r="E503" s="48" t="s">
        <v>12</v>
      </c>
      <c r="F503" s="6" t="s">
        <v>985</v>
      </c>
      <c r="G503" s="22">
        <v>1</v>
      </c>
      <c r="H503" s="23">
        <v>6.99</v>
      </c>
      <c r="I503" s="25">
        <f t="shared" si="29"/>
        <v>398.43</v>
      </c>
      <c r="J503" s="25">
        <f t="shared" si="30"/>
        <v>489.78603572637667</v>
      </c>
      <c r="K503" s="25">
        <f t="shared" si="31"/>
        <v>509.7075357263766</v>
      </c>
    </row>
    <row r="504" spans="1:20" ht="15.75">
      <c r="A504" s="20" t="s">
        <v>350</v>
      </c>
      <c r="B504" s="20" t="s">
        <v>986</v>
      </c>
      <c r="C504" s="20"/>
      <c r="D504" s="44" t="s">
        <v>987</v>
      </c>
      <c r="E504" s="44" t="s">
        <v>366</v>
      </c>
      <c r="F504" s="44" t="s">
        <v>370</v>
      </c>
      <c r="G504" s="20">
        <v>1</v>
      </c>
      <c r="H504" s="31">
        <v>6.99</v>
      </c>
      <c r="I504" s="25">
        <f t="shared" si="29"/>
        <v>398.43</v>
      </c>
      <c r="J504" s="25">
        <f t="shared" si="30"/>
        <v>489.78603572637667</v>
      </c>
      <c r="K504" s="25">
        <f t="shared" si="31"/>
        <v>509.7075357263766</v>
      </c>
      <c r="L504" s="7"/>
      <c r="M504" s="7"/>
      <c r="N504" s="7"/>
      <c r="O504" s="7"/>
      <c r="P504" s="7"/>
      <c r="Q504" s="7"/>
      <c r="R504" s="7"/>
      <c r="S504" s="7"/>
      <c r="T504" s="7"/>
    </row>
    <row r="505" spans="1:11" ht="15.75">
      <c r="A505" s="22" t="s">
        <v>855</v>
      </c>
      <c r="B505" s="22" t="s">
        <v>988</v>
      </c>
      <c r="D505" s="46" t="s">
        <v>989</v>
      </c>
      <c r="E505" s="22" t="s">
        <v>14</v>
      </c>
      <c r="F505" s="6" t="s">
        <v>620</v>
      </c>
      <c r="G505" s="20">
        <v>1</v>
      </c>
      <c r="H505" s="23">
        <v>11.99</v>
      </c>
      <c r="I505" s="25">
        <f t="shared" si="29"/>
        <v>683.4300000000001</v>
      </c>
      <c r="J505" s="25">
        <f t="shared" si="30"/>
        <v>840.1337007667032</v>
      </c>
      <c r="K505" s="25">
        <f t="shared" si="31"/>
        <v>874.3052007667031</v>
      </c>
    </row>
    <row r="506" spans="1:11" ht="15.75">
      <c r="A506" s="22" t="s">
        <v>855</v>
      </c>
      <c r="B506" s="22" t="s">
        <v>990</v>
      </c>
      <c r="D506" s="46" t="s">
        <v>991</v>
      </c>
      <c r="E506" s="22" t="s">
        <v>14</v>
      </c>
      <c r="F506" s="6" t="s">
        <v>620</v>
      </c>
      <c r="G506" s="20">
        <v>1</v>
      </c>
      <c r="H506" s="23">
        <v>6.99</v>
      </c>
      <c r="I506" s="25">
        <f t="shared" si="29"/>
        <v>398.43</v>
      </c>
      <c r="J506" s="25">
        <f t="shared" si="30"/>
        <v>489.78603572637667</v>
      </c>
      <c r="K506" s="25">
        <f t="shared" si="31"/>
        <v>509.7075357263766</v>
      </c>
    </row>
    <row r="507" spans="1:11" ht="15.75">
      <c r="A507" s="22" t="s">
        <v>992</v>
      </c>
      <c r="B507" s="22" t="s">
        <v>993</v>
      </c>
      <c r="D507" s="46" t="s">
        <v>911</v>
      </c>
      <c r="E507" s="22" t="s">
        <v>163</v>
      </c>
      <c r="F507" s="6" t="s">
        <v>268</v>
      </c>
      <c r="G507" s="22">
        <v>1</v>
      </c>
      <c r="H507" s="23">
        <v>5.59</v>
      </c>
      <c r="I507" s="25">
        <f t="shared" si="29"/>
        <v>318.63</v>
      </c>
      <c r="J507" s="25">
        <f t="shared" si="30"/>
        <v>391.6886895150852</v>
      </c>
      <c r="K507" s="25">
        <f t="shared" si="31"/>
        <v>407.6201895150851</v>
      </c>
    </row>
    <row r="508" spans="1:11" ht="15.75">
      <c r="A508" s="22" t="s">
        <v>251</v>
      </c>
      <c r="B508" s="22" t="s">
        <v>994</v>
      </c>
      <c r="D508" s="46" t="s">
        <v>995</v>
      </c>
      <c r="E508" s="22" t="s">
        <v>12</v>
      </c>
      <c r="F508" s="6" t="s">
        <v>640</v>
      </c>
      <c r="G508" s="22">
        <v>1</v>
      </c>
      <c r="H508" s="23">
        <v>3.49</v>
      </c>
      <c r="I508" s="25">
        <f t="shared" si="29"/>
        <v>198.93</v>
      </c>
      <c r="J508" s="25">
        <f t="shared" si="30"/>
        <v>244.542670198148</v>
      </c>
      <c r="K508" s="25">
        <f t="shared" si="31"/>
        <v>254.489170198148</v>
      </c>
    </row>
    <row r="509" spans="1:11" ht="15.75">
      <c r="A509" s="22" t="s">
        <v>251</v>
      </c>
      <c r="B509" s="22" t="s">
        <v>996</v>
      </c>
      <c r="D509" s="46" t="s">
        <v>997</v>
      </c>
      <c r="E509" s="22" t="s">
        <v>7</v>
      </c>
      <c r="F509" s="6" t="s">
        <v>998</v>
      </c>
      <c r="G509" s="22">
        <v>1</v>
      </c>
      <c r="H509" s="23">
        <v>3.49</v>
      </c>
      <c r="I509" s="25">
        <f t="shared" si="29"/>
        <v>198.93</v>
      </c>
      <c r="J509" s="25">
        <f t="shared" si="30"/>
        <v>244.542670198148</v>
      </c>
      <c r="K509" s="25">
        <f t="shared" si="31"/>
        <v>254.489170198148</v>
      </c>
    </row>
    <row r="510" spans="1:12" ht="15.75">
      <c r="A510" s="22" t="s">
        <v>244</v>
      </c>
      <c r="B510" s="22" t="s">
        <v>999</v>
      </c>
      <c r="D510" s="46" t="s">
        <v>1000</v>
      </c>
      <c r="E510" s="22" t="s">
        <v>11</v>
      </c>
      <c r="F510" s="6" t="s">
        <v>1001</v>
      </c>
      <c r="G510" s="22">
        <v>1</v>
      </c>
      <c r="H510" s="23">
        <v>19.6</v>
      </c>
      <c r="I510" s="25">
        <f t="shared" si="29"/>
        <v>1117.2</v>
      </c>
      <c r="J510" s="25">
        <f t="shared" si="30"/>
        <v>1373.3628469580806</v>
      </c>
      <c r="K510" s="25">
        <f t="shared" si="31"/>
        <v>1429.2228469580803</v>
      </c>
      <c r="L510" s="43" t="s">
        <v>555</v>
      </c>
    </row>
    <row r="511" spans="1:12" ht="15.75">
      <c r="A511" s="22" t="s">
        <v>244</v>
      </c>
      <c r="B511" s="22" t="s">
        <v>1002</v>
      </c>
      <c r="D511" s="46" t="s">
        <v>1003</v>
      </c>
      <c r="E511" s="22" t="s">
        <v>14</v>
      </c>
      <c r="F511" s="6" t="s">
        <v>1001</v>
      </c>
      <c r="G511" s="22">
        <v>1</v>
      </c>
      <c r="H511" s="23">
        <v>14.7</v>
      </c>
      <c r="I511" s="25">
        <f t="shared" si="29"/>
        <v>837.9</v>
      </c>
      <c r="J511" s="25">
        <f t="shared" si="30"/>
        <v>1030.0221352185602</v>
      </c>
      <c r="K511" s="25">
        <f t="shared" si="31"/>
        <v>1071.9171352185601</v>
      </c>
      <c r="L511" s="43" t="s">
        <v>1004</v>
      </c>
    </row>
    <row r="512" spans="1:11" ht="15.75">
      <c r="A512" s="22" t="s">
        <v>703</v>
      </c>
      <c r="B512" s="21" t="s">
        <v>1005</v>
      </c>
      <c r="D512" s="46" t="s">
        <v>1006</v>
      </c>
      <c r="E512" s="48" t="s">
        <v>12</v>
      </c>
      <c r="F512" s="6" t="s">
        <v>1007</v>
      </c>
      <c r="G512" s="22">
        <v>1</v>
      </c>
      <c r="H512" s="23">
        <v>14.7</v>
      </c>
      <c r="I512" s="25">
        <f t="shared" si="29"/>
        <v>837.9</v>
      </c>
      <c r="J512" s="25">
        <f t="shared" si="30"/>
        <v>1030.0221352185602</v>
      </c>
      <c r="K512" s="25">
        <f t="shared" si="31"/>
        <v>1071.9171352185601</v>
      </c>
    </row>
    <row r="513" spans="1:11" ht="15.75">
      <c r="A513" s="22" t="s">
        <v>329</v>
      </c>
      <c r="B513" s="22" t="s">
        <v>1008</v>
      </c>
      <c r="D513" s="46" t="s">
        <v>1009</v>
      </c>
      <c r="E513" s="22" t="s">
        <v>7</v>
      </c>
      <c r="F513" s="6" t="s">
        <v>919</v>
      </c>
      <c r="G513" s="22">
        <v>1</v>
      </c>
      <c r="H513" s="23">
        <v>11.5</v>
      </c>
      <c r="I513" s="25">
        <f t="shared" si="29"/>
        <v>655.5</v>
      </c>
      <c r="J513" s="25">
        <f t="shared" si="30"/>
        <v>805.7996295927512</v>
      </c>
      <c r="K513" s="25">
        <f t="shared" si="31"/>
        <v>838.5746295927512</v>
      </c>
    </row>
    <row r="514" spans="1:11" ht="15.75">
      <c r="A514" s="22" t="s">
        <v>83</v>
      </c>
      <c r="B514" s="21" t="s">
        <v>1010</v>
      </c>
      <c r="D514" s="46" t="s">
        <v>1011</v>
      </c>
      <c r="E514" s="6" t="s">
        <v>134</v>
      </c>
      <c r="F514" s="6"/>
      <c r="G514" s="22">
        <v>1</v>
      </c>
      <c r="H514" s="23">
        <v>19.99</v>
      </c>
      <c r="I514" s="25">
        <f t="shared" si="29"/>
        <v>1139.4299999999998</v>
      </c>
      <c r="J514" s="25">
        <f t="shared" si="30"/>
        <v>1400.6899648312258</v>
      </c>
      <c r="K514" s="25">
        <f t="shared" si="31"/>
        <v>1457.6614648312254</v>
      </c>
    </row>
    <row r="515" spans="1:20" ht="15.75">
      <c r="A515" s="20" t="s">
        <v>251</v>
      </c>
      <c r="B515" s="20" t="s">
        <v>1012</v>
      </c>
      <c r="C515" s="20"/>
      <c r="D515" s="44" t="s">
        <v>1013</v>
      </c>
      <c r="E515" s="20" t="s">
        <v>257</v>
      </c>
      <c r="F515" s="44" t="s">
        <v>18</v>
      </c>
      <c r="G515" s="20">
        <v>1</v>
      </c>
      <c r="H515" s="31">
        <v>12.99</v>
      </c>
      <c r="I515" s="25">
        <f t="shared" si="29"/>
        <v>740.4300000000001</v>
      </c>
      <c r="J515" s="25">
        <f t="shared" si="30"/>
        <v>910.2032337747687</v>
      </c>
      <c r="K515" s="25">
        <f t="shared" si="31"/>
        <v>947.2247337747684</v>
      </c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5.75">
      <c r="A516" s="20" t="s">
        <v>292</v>
      </c>
      <c r="B516" s="20" t="s">
        <v>1014</v>
      </c>
      <c r="C516" s="20"/>
      <c r="D516" s="44" t="s">
        <v>1015</v>
      </c>
      <c r="E516" s="20" t="s">
        <v>21</v>
      </c>
      <c r="F516" s="44" t="s">
        <v>456</v>
      </c>
      <c r="G516" s="20">
        <v>1</v>
      </c>
      <c r="H516" s="31">
        <v>10.49</v>
      </c>
      <c r="I516" s="25">
        <f t="shared" si="29"/>
        <v>597.9300000000001</v>
      </c>
      <c r="J516" s="25">
        <f t="shared" si="30"/>
        <v>735.0294012546052</v>
      </c>
      <c r="K516" s="25">
        <f t="shared" si="31"/>
        <v>764.9259012546053</v>
      </c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5.75">
      <c r="A517" s="20" t="s">
        <v>350</v>
      </c>
      <c r="B517" s="20" t="s">
        <v>1016</v>
      </c>
      <c r="C517" s="20"/>
      <c r="D517" s="44" t="s">
        <v>1017</v>
      </c>
      <c r="E517" s="40" t="s">
        <v>7</v>
      </c>
      <c r="F517" s="44" t="s">
        <v>1018</v>
      </c>
      <c r="G517" s="20">
        <v>1</v>
      </c>
      <c r="H517" s="31">
        <v>9.99</v>
      </c>
      <c r="I517" s="25">
        <f t="shared" si="29"/>
        <v>569.4300000000001</v>
      </c>
      <c r="J517" s="25">
        <f t="shared" si="30"/>
        <v>699.9946347505727</v>
      </c>
      <c r="K517" s="25">
        <f t="shared" si="31"/>
        <v>728.4661347505726</v>
      </c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5.75">
      <c r="A518" s="20" t="s">
        <v>251</v>
      </c>
      <c r="B518" s="47" t="s">
        <v>947</v>
      </c>
      <c r="C518" s="20"/>
      <c r="D518" s="44" t="s">
        <v>1019</v>
      </c>
      <c r="E518" s="65" t="s">
        <v>1020</v>
      </c>
      <c r="F518" s="44" t="s">
        <v>1021</v>
      </c>
      <c r="G518" s="20">
        <v>1</v>
      </c>
      <c r="H518" s="31">
        <v>9.99</v>
      </c>
      <c r="I518" s="25">
        <f t="shared" si="29"/>
        <v>569.4300000000001</v>
      </c>
      <c r="J518" s="25">
        <f t="shared" si="30"/>
        <v>699.9946347505727</v>
      </c>
      <c r="K518" s="25">
        <f t="shared" si="31"/>
        <v>728.4661347505726</v>
      </c>
      <c r="L518" s="7"/>
      <c r="M518" s="7"/>
      <c r="N518" s="7"/>
      <c r="O518" s="7"/>
      <c r="P518" s="7"/>
      <c r="Q518" s="7"/>
      <c r="R518" s="7"/>
      <c r="S518" s="7"/>
      <c r="T518" s="7"/>
    </row>
    <row r="519" spans="1:5" ht="15.75">
      <c r="A519" s="22">
        <v>1</v>
      </c>
      <c r="B519" s="21"/>
      <c r="D519" s="46"/>
      <c r="E519" s="48"/>
    </row>
    <row r="520" spans="1:6" ht="16.5" thickBot="1">
      <c r="A520" s="26" t="s">
        <v>1039</v>
      </c>
      <c r="B520" s="21"/>
      <c r="D520" s="46"/>
      <c r="E520" s="48"/>
      <c r="F520" s="27" t="s">
        <v>1073</v>
      </c>
    </row>
    <row r="521" spans="1:20" ht="15.75">
      <c r="A521" s="22" t="s">
        <v>1029</v>
      </c>
      <c r="B521" s="22" t="s">
        <v>1030</v>
      </c>
      <c r="D521" s="46" t="s">
        <v>945</v>
      </c>
      <c r="E521" s="22" t="s">
        <v>14</v>
      </c>
      <c r="F521" s="6" t="s">
        <v>946</v>
      </c>
      <c r="G521" s="22">
        <v>1</v>
      </c>
      <c r="H521" s="23">
        <v>5.4</v>
      </c>
      <c r="I521" s="25">
        <f>H521*$Q$527</f>
        <v>307.8</v>
      </c>
      <c r="J521" s="25">
        <f>H521*$Q$524*$Q$527</f>
        <v>379.5377708661193</v>
      </c>
      <c r="K521" s="25">
        <f>H521*$Q$525*$Q$527</f>
        <v>394.9277708661192</v>
      </c>
      <c r="P521" s="16" t="s">
        <v>19</v>
      </c>
      <c r="Q521" s="13">
        <f>SUM(H521:H558)</f>
        <v>349.49000000000007</v>
      </c>
      <c r="R521" s="38"/>
      <c r="S521" s="38"/>
      <c r="T521" s="38"/>
    </row>
    <row r="522" spans="1:20" ht="15.75">
      <c r="A522" s="22" t="s">
        <v>1029</v>
      </c>
      <c r="B522" s="22" t="s">
        <v>1031</v>
      </c>
      <c r="D522" s="46" t="s">
        <v>1032</v>
      </c>
      <c r="E522" s="22" t="s">
        <v>14</v>
      </c>
      <c r="F522" s="6" t="s">
        <v>1033</v>
      </c>
      <c r="G522" s="22">
        <v>1</v>
      </c>
      <c r="H522" s="23">
        <v>5.4</v>
      </c>
      <c r="I522" s="25">
        <f aca="true" t="shared" si="32" ref="I522:I556">H522*$Q$527</f>
        <v>307.8</v>
      </c>
      <c r="J522" s="25">
        <f aca="true" t="shared" si="33" ref="J522:J556">H522*$Q$524*$Q$527</f>
        <v>379.5377708661193</v>
      </c>
      <c r="K522" s="25">
        <f aca="true" t="shared" si="34" ref="K522:K556">H522*$Q$525*$Q$527</f>
        <v>394.9277708661192</v>
      </c>
      <c r="P522" s="17" t="s">
        <v>15</v>
      </c>
      <c r="Q522" s="9">
        <v>56.99</v>
      </c>
      <c r="R522" s="38"/>
      <c r="S522" s="38"/>
      <c r="T522" s="38"/>
    </row>
    <row r="523" spans="1:20" ht="15.75">
      <c r="A523" s="22" t="s">
        <v>943</v>
      </c>
      <c r="B523" s="22" t="s">
        <v>944</v>
      </c>
      <c r="D523" s="46" t="s">
        <v>945</v>
      </c>
      <c r="E523" s="22" t="s">
        <v>12</v>
      </c>
      <c r="F523" s="6" t="s">
        <v>946</v>
      </c>
      <c r="G523" s="22">
        <v>1</v>
      </c>
      <c r="H523" s="23">
        <v>5.4</v>
      </c>
      <c r="I523" s="25">
        <f t="shared" si="32"/>
        <v>307.8</v>
      </c>
      <c r="J523" s="25">
        <f t="shared" si="33"/>
        <v>379.5377708661193</v>
      </c>
      <c r="K523" s="25">
        <f t="shared" si="34"/>
        <v>394.9277708661192</v>
      </c>
      <c r="P523" s="18" t="s">
        <v>111</v>
      </c>
      <c r="Q523" s="56">
        <f>Q522/Q521</f>
        <v>0.1630661821511345</v>
      </c>
      <c r="R523" s="38"/>
      <c r="S523" s="38"/>
      <c r="T523" s="38"/>
    </row>
    <row r="524" spans="1:20" ht="15.75">
      <c r="A524" s="22" t="s">
        <v>943</v>
      </c>
      <c r="B524" s="22" t="s">
        <v>944</v>
      </c>
      <c r="D524" s="46" t="s">
        <v>945</v>
      </c>
      <c r="E524" s="22" t="s">
        <v>12</v>
      </c>
      <c r="F524" s="6" t="s">
        <v>688</v>
      </c>
      <c r="G524" s="22">
        <v>1</v>
      </c>
      <c r="H524" s="23">
        <v>5.4</v>
      </c>
      <c r="I524" s="25">
        <f t="shared" si="32"/>
        <v>307.8</v>
      </c>
      <c r="J524" s="25">
        <f t="shared" si="33"/>
        <v>379.5377708661193</v>
      </c>
      <c r="K524" s="25">
        <f t="shared" si="34"/>
        <v>394.9277708661192</v>
      </c>
      <c r="P524" s="17" t="s">
        <v>16</v>
      </c>
      <c r="Q524" s="10">
        <f>1+Q522/Q521+0.07</f>
        <v>1.2330661821511346</v>
      </c>
      <c r="R524" s="38"/>
      <c r="S524" s="38"/>
      <c r="T524" s="38"/>
    </row>
    <row r="525" spans="1:20" ht="15.75">
      <c r="A525" s="22" t="s">
        <v>943</v>
      </c>
      <c r="B525" s="22" t="s">
        <v>944</v>
      </c>
      <c r="D525" s="46" t="s">
        <v>945</v>
      </c>
      <c r="E525" s="22" t="s">
        <v>12</v>
      </c>
      <c r="F525" s="6" t="s">
        <v>434</v>
      </c>
      <c r="G525" s="22">
        <v>1</v>
      </c>
      <c r="H525" s="23">
        <v>5.4</v>
      </c>
      <c r="I525" s="25">
        <f t="shared" si="32"/>
        <v>307.8</v>
      </c>
      <c r="J525" s="25">
        <f t="shared" si="33"/>
        <v>379.5377708661193</v>
      </c>
      <c r="K525" s="25">
        <f t="shared" si="34"/>
        <v>394.9277708661192</v>
      </c>
      <c r="P525" s="17" t="s">
        <v>16</v>
      </c>
      <c r="Q525" s="10">
        <f>1+Q522/Q521+0.12</f>
        <v>1.2830661821511344</v>
      </c>
      <c r="R525" s="38"/>
      <c r="S525" s="38"/>
      <c r="T525" s="38"/>
    </row>
    <row r="526" spans="1:20" ht="15.75">
      <c r="A526" s="20" t="s">
        <v>1028</v>
      </c>
      <c r="B526" s="22" t="s">
        <v>1040</v>
      </c>
      <c r="D526" s="46" t="s">
        <v>1041</v>
      </c>
      <c r="E526" s="22" t="s">
        <v>12</v>
      </c>
      <c r="F526" s="6" t="s">
        <v>18</v>
      </c>
      <c r="G526" s="22">
        <v>1</v>
      </c>
      <c r="H526" s="23">
        <v>4.89</v>
      </c>
      <c r="I526" s="25">
        <f t="shared" si="32"/>
        <v>278.72999999999996</v>
      </c>
      <c r="J526" s="25">
        <f t="shared" si="33"/>
        <v>343.6925369509857</v>
      </c>
      <c r="K526" s="25">
        <f t="shared" si="34"/>
        <v>357.62903695098566</v>
      </c>
      <c r="P526" s="18"/>
      <c r="Q526" s="10"/>
      <c r="R526" s="38"/>
      <c r="S526" s="38"/>
      <c r="T526" s="38"/>
    </row>
    <row r="527" spans="1:20" ht="16.5" thickBot="1">
      <c r="A527" s="22" t="s">
        <v>292</v>
      </c>
      <c r="B527" s="22" t="s">
        <v>1042</v>
      </c>
      <c r="D527" s="46" t="s">
        <v>1043</v>
      </c>
      <c r="E527" s="36" t="s">
        <v>427</v>
      </c>
      <c r="F527" s="6" t="s">
        <v>549</v>
      </c>
      <c r="G527" s="22">
        <v>1</v>
      </c>
      <c r="H527" s="23">
        <v>5.59</v>
      </c>
      <c r="I527" s="25">
        <f t="shared" si="32"/>
        <v>318.63</v>
      </c>
      <c r="J527" s="25">
        <f t="shared" si="33"/>
        <v>392.891877618816</v>
      </c>
      <c r="K527" s="25">
        <f t="shared" si="34"/>
        <v>408.823377618816</v>
      </c>
      <c r="P527" s="39" t="s">
        <v>17</v>
      </c>
      <c r="Q527" s="12">
        <v>57</v>
      </c>
      <c r="R527" s="38"/>
      <c r="S527" s="38"/>
      <c r="T527" s="38"/>
    </row>
    <row r="528" spans="1:20" ht="15.75">
      <c r="A528" s="22" t="s">
        <v>1044</v>
      </c>
      <c r="B528" s="22" t="s">
        <v>1045</v>
      </c>
      <c r="D528" s="46" t="s">
        <v>1046</v>
      </c>
      <c r="E528" s="5" t="s">
        <v>257</v>
      </c>
      <c r="F528" s="6" t="s">
        <v>497</v>
      </c>
      <c r="G528" s="22">
        <v>1</v>
      </c>
      <c r="H528" s="41">
        <v>27.3</v>
      </c>
      <c r="I528" s="25">
        <f t="shared" si="32"/>
        <v>1556.1000000000001</v>
      </c>
      <c r="J528" s="25">
        <f t="shared" si="33"/>
        <v>1918.7742860453807</v>
      </c>
      <c r="K528" s="25">
        <f t="shared" si="34"/>
        <v>1996.5792860453803</v>
      </c>
      <c r="L528" s="43" t="s">
        <v>1047</v>
      </c>
      <c r="R528" s="38"/>
      <c r="S528" s="38"/>
      <c r="T528" s="38"/>
    </row>
    <row r="529" spans="1:20" ht="15.75">
      <c r="A529" s="22" t="s">
        <v>855</v>
      </c>
      <c r="B529" s="22" t="s">
        <v>1048</v>
      </c>
      <c r="D529" s="46" t="s">
        <v>1049</v>
      </c>
      <c r="E529" s="5" t="s">
        <v>257</v>
      </c>
      <c r="F529" s="6" t="s">
        <v>370</v>
      </c>
      <c r="G529" s="22">
        <v>1</v>
      </c>
      <c r="H529" s="23">
        <v>17.49</v>
      </c>
      <c r="I529" s="25">
        <f t="shared" si="32"/>
        <v>996.93</v>
      </c>
      <c r="J529" s="25">
        <f t="shared" si="33"/>
        <v>1229.2806689719305</v>
      </c>
      <c r="K529" s="25">
        <f t="shared" si="34"/>
        <v>1279.1271689719304</v>
      </c>
      <c r="R529" s="38"/>
      <c r="S529" s="38"/>
      <c r="T529" s="38"/>
    </row>
    <row r="530" spans="1:11" ht="15.75">
      <c r="A530" s="22" t="s">
        <v>855</v>
      </c>
      <c r="B530" s="22" t="s">
        <v>1050</v>
      </c>
      <c r="D530" s="46" t="s">
        <v>1051</v>
      </c>
      <c r="E530" s="22" t="s">
        <v>14</v>
      </c>
      <c r="F530" s="6" t="s">
        <v>620</v>
      </c>
      <c r="G530" s="22">
        <v>1</v>
      </c>
      <c r="H530" s="23">
        <v>6.99</v>
      </c>
      <c r="I530" s="25">
        <f t="shared" si="32"/>
        <v>398.43</v>
      </c>
      <c r="J530" s="25">
        <f t="shared" si="33"/>
        <v>491.2905589544766</v>
      </c>
      <c r="K530" s="25">
        <f t="shared" si="34"/>
        <v>511.2120589544765</v>
      </c>
    </row>
    <row r="531" spans="1:11" ht="15.75">
      <c r="A531" s="22" t="s">
        <v>855</v>
      </c>
      <c r="B531" s="22" t="s">
        <v>1052</v>
      </c>
      <c r="D531" s="46" t="s">
        <v>1053</v>
      </c>
      <c r="E531" s="22" t="s">
        <v>14</v>
      </c>
      <c r="F531" s="6" t="s">
        <v>370</v>
      </c>
      <c r="G531" s="22">
        <v>1</v>
      </c>
      <c r="H531" s="23">
        <v>11.19</v>
      </c>
      <c r="I531" s="25">
        <f t="shared" si="32"/>
        <v>637.8299999999999</v>
      </c>
      <c r="J531" s="25">
        <f t="shared" si="33"/>
        <v>786.4866029614582</v>
      </c>
      <c r="K531" s="25">
        <f t="shared" si="34"/>
        <v>818.378102961458</v>
      </c>
    </row>
    <row r="532" spans="1:11" ht="15.75">
      <c r="A532" s="22" t="s">
        <v>855</v>
      </c>
      <c r="B532" s="22" t="s">
        <v>1054</v>
      </c>
      <c r="D532" s="46" t="s">
        <v>1055</v>
      </c>
      <c r="E532" s="22" t="s">
        <v>14</v>
      </c>
      <c r="F532" s="6" t="s">
        <v>1056</v>
      </c>
      <c r="G532" s="22">
        <v>1</v>
      </c>
      <c r="H532" s="23">
        <v>11.9</v>
      </c>
      <c r="I532" s="25">
        <f t="shared" si="32"/>
        <v>678.3000000000001</v>
      </c>
      <c r="J532" s="25">
        <f t="shared" si="33"/>
        <v>836.3887913531147</v>
      </c>
      <c r="K532" s="25">
        <f t="shared" si="34"/>
        <v>870.3037913531145</v>
      </c>
    </row>
    <row r="533" spans="1:11" ht="15.75">
      <c r="A533" s="22" t="s">
        <v>1044</v>
      </c>
      <c r="B533" s="22" t="s">
        <v>1057</v>
      </c>
      <c r="D533" s="46" t="s">
        <v>1058</v>
      </c>
      <c r="E533" s="5" t="s">
        <v>12</v>
      </c>
      <c r="F533" s="6" t="s">
        <v>497</v>
      </c>
      <c r="G533" s="22">
        <v>1</v>
      </c>
      <c r="H533" s="23">
        <v>11.2</v>
      </c>
      <c r="I533" s="25">
        <f t="shared" si="32"/>
        <v>638.4</v>
      </c>
      <c r="J533" s="25">
        <f t="shared" si="33"/>
        <v>787.1894506852843</v>
      </c>
      <c r="K533" s="25">
        <f t="shared" si="34"/>
        <v>819.1094506852842</v>
      </c>
    </row>
    <row r="534" spans="1:11" ht="15.75">
      <c r="A534" s="22" t="s">
        <v>538</v>
      </c>
      <c r="B534" s="22" t="s">
        <v>1059</v>
      </c>
      <c r="D534" s="46" t="s">
        <v>1060</v>
      </c>
      <c r="E534" s="48" t="s">
        <v>13</v>
      </c>
      <c r="F534" s="6" t="s">
        <v>18</v>
      </c>
      <c r="G534" s="22">
        <v>1</v>
      </c>
      <c r="H534" s="23">
        <v>14.7</v>
      </c>
      <c r="I534" s="25">
        <f t="shared" si="32"/>
        <v>837.9</v>
      </c>
      <c r="J534" s="25">
        <f t="shared" si="33"/>
        <v>1033.1861540244356</v>
      </c>
      <c r="K534" s="25">
        <f t="shared" si="34"/>
        <v>1075.0811540244356</v>
      </c>
    </row>
    <row r="535" spans="1:20" ht="15.75">
      <c r="A535" s="22" t="s">
        <v>1061</v>
      </c>
      <c r="B535" s="22" t="s">
        <v>1062</v>
      </c>
      <c r="D535" s="46" t="s">
        <v>976</v>
      </c>
      <c r="E535" s="14" t="s">
        <v>24</v>
      </c>
      <c r="F535" s="6" t="s">
        <v>968</v>
      </c>
      <c r="G535" s="22">
        <v>1</v>
      </c>
      <c r="H535" s="23">
        <v>19.6</v>
      </c>
      <c r="I535" s="25">
        <f t="shared" si="32"/>
        <v>1117.2</v>
      </c>
      <c r="J535" s="25">
        <f t="shared" si="33"/>
        <v>1377.5815386992476</v>
      </c>
      <c r="K535" s="25">
        <f t="shared" si="34"/>
        <v>1433.4415386992475</v>
      </c>
      <c r="R535" s="38"/>
      <c r="S535" s="38"/>
      <c r="T535" s="38"/>
    </row>
    <row r="536" spans="1:11" ht="15.75">
      <c r="A536" s="22" t="s">
        <v>1061</v>
      </c>
      <c r="B536" s="22" t="s">
        <v>1062</v>
      </c>
      <c r="D536" s="46" t="s">
        <v>969</v>
      </c>
      <c r="E536" s="14" t="s">
        <v>12</v>
      </c>
      <c r="F536" s="6" t="s">
        <v>968</v>
      </c>
      <c r="G536" s="22">
        <v>1</v>
      </c>
      <c r="H536" s="23">
        <v>11.2</v>
      </c>
      <c r="I536" s="25">
        <f t="shared" si="32"/>
        <v>638.4</v>
      </c>
      <c r="J536" s="25">
        <f t="shared" si="33"/>
        <v>787.1894506852843</v>
      </c>
      <c r="K536" s="25">
        <f t="shared" si="34"/>
        <v>819.1094506852842</v>
      </c>
    </row>
    <row r="537" spans="1:11" ht="15.75">
      <c r="A537" s="22" t="s">
        <v>538</v>
      </c>
      <c r="B537" s="22" t="s">
        <v>1062</v>
      </c>
      <c r="D537" s="46" t="s">
        <v>976</v>
      </c>
      <c r="E537" s="14" t="s">
        <v>24</v>
      </c>
      <c r="F537" s="6" t="s">
        <v>968</v>
      </c>
      <c r="G537" s="22">
        <v>1</v>
      </c>
      <c r="H537" s="23">
        <v>19.6</v>
      </c>
      <c r="I537" s="25">
        <f t="shared" si="32"/>
        <v>1117.2</v>
      </c>
      <c r="J537" s="25">
        <f t="shared" si="33"/>
        <v>1377.5815386992476</v>
      </c>
      <c r="K537" s="25">
        <f t="shared" si="34"/>
        <v>1433.4415386992475</v>
      </c>
    </row>
    <row r="538" spans="1:11" ht="15.75">
      <c r="A538" s="22" t="s">
        <v>538</v>
      </c>
      <c r="B538" s="22" t="s">
        <v>1062</v>
      </c>
      <c r="D538" s="46" t="s">
        <v>969</v>
      </c>
      <c r="E538" s="14" t="s">
        <v>12</v>
      </c>
      <c r="F538" s="6" t="s">
        <v>968</v>
      </c>
      <c r="G538" s="22">
        <v>1</v>
      </c>
      <c r="H538" s="23">
        <v>11.2</v>
      </c>
      <c r="I538" s="25">
        <f t="shared" si="32"/>
        <v>638.4</v>
      </c>
      <c r="J538" s="25">
        <f t="shared" si="33"/>
        <v>787.1894506852843</v>
      </c>
      <c r="K538" s="25">
        <f t="shared" si="34"/>
        <v>819.1094506852842</v>
      </c>
    </row>
    <row r="539" spans="1:11" ht="15.75">
      <c r="A539" s="22" t="s">
        <v>538</v>
      </c>
      <c r="B539" s="22" t="s">
        <v>1063</v>
      </c>
      <c r="D539" s="46"/>
      <c r="E539" s="14" t="s">
        <v>12</v>
      </c>
      <c r="F539" s="6" t="s">
        <v>640</v>
      </c>
      <c r="G539" s="22">
        <v>1</v>
      </c>
      <c r="H539" s="23">
        <v>4.9</v>
      </c>
      <c r="I539" s="25">
        <f t="shared" si="32"/>
        <v>279.3</v>
      </c>
      <c r="J539" s="25">
        <f t="shared" si="33"/>
        <v>344.3953846748119</v>
      </c>
      <c r="K539" s="25">
        <f t="shared" si="34"/>
        <v>358.3603846748119</v>
      </c>
    </row>
    <row r="540" spans="1:11" ht="15.75">
      <c r="A540" s="22" t="s">
        <v>538</v>
      </c>
      <c r="B540" s="22" t="s">
        <v>1064</v>
      </c>
      <c r="D540" s="46"/>
      <c r="E540" s="14" t="s">
        <v>12</v>
      </c>
      <c r="F540" s="6" t="s">
        <v>640</v>
      </c>
      <c r="G540" s="22">
        <v>1</v>
      </c>
      <c r="H540" s="23">
        <v>3.5</v>
      </c>
      <c r="I540" s="25">
        <f t="shared" si="32"/>
        <v>199.5</v>
      </c>
      <c r="J540" s="25">
        <f t="shared" si="33"/>
        <v>245.99670333915137</v>
      </c>
      <c r="K540" s="25">
        <f t="shared" si="34"/>
        <v>255.9717033391513</v>
      </c>
    </row>
    <row r="541" spans="1:11" ht="15.75">
      <c r="A541" s="22" t="s">
        <v>538</v>
      </c>
      <c r="B541" s="22" t="s">
        <v>1063</v>
      </c>
      <c r="D541" s="46"/>
      <c r="E541" s="14" t="s">
        <v>12</v>
      </c>
      <c r="F541" s="6" t="s">
        <v>640</v>
      </c>
      <c r="G541" s="22">
        <v>1</v>
      </c>
      <c r="H541" s="23">
        <v>4.89</v>
      </c>
      <c r="I541" s="25">
        <f t="shared" si="32"/>
        <v>278.72999999999996</v>
      </c>
      <c r="J541" s="25">
        <f t="shared" si="33"/>
        <v>343.6925369509857</v>
      </c>
      <c r="K541" s="25">
        <f t="shared" si="34"/>
        <v>357.62903695098566</v>
      </c>
    </row>
    <row r="542" spans="1:11" ht="15.75">
      <c r="A542" s="22" t="s">
        <v>538</v>
      </c>
      <c r="B542" s="22" t="s">
        <v>1064</v>
      </c>
      <c r="D542" s="46"/>
      <c r="E542" s="14" t="s">
        <v>12</v>
      </c>
      <c r="F542" s="6" t="s">
        <v>640</v>
      </c>
      <c r="G542" s="22">
        <v>1</v>
      </c>
      <c r="H542" s="23">
        <v>3.49</v>
      </c>
      <c r="I542" s="25">
        <f t="shared" si="32"/>
        <v>198.93</v>
      </c>
      <c r="J542" s="25">
        <f t="shared" si="33"/>
        <v>245.29385561532524</v>
      </c>
      <c r="K542" s="25">
        <f t="shared" si="34"/>
        <v>255.2403556153252</v>
      </c>
    </row>
    <row r="543" spans="1:11" ht="15.75">
      <c r="A543" s="22" t="s">
        <v>538</v>
      </c>
      <c r="B543" s="22" t="s">
        <v>1065</v>
      </c>
      <c r="D543" s="46"/>
      <c r="E543" s="14" t="s">
        <v>7</v>
      </c>
      <c r="F543" s="6" t="s">
        <v>1066</v>
      </c>
      <c r="G543" s="22">
        <v>1</v>
      </c>
      <c r="H543" s="23">
        <v>6.99</v>
      </c>
      <c r="I543" s="25">
        <f t="shared" si="32"/>
        <v>398.43</v>
      </c>
      <c r="J543" s="25">
        <f t="shared" si="33"/>
        <v>491.2905589544766</v>
      </c>
      <c r="K543" s="25">
        <f t="shared" si="34"/>
        <v>511.2120589544765</v>
      </c>
    </row>
    <row r="544" spans="1:11" ht="15.75">
      <c r="A544" s="22" t="s">
        <v>538</v>
      </c>
      <c r="B544" s="22" t="s">
        <v>1065</v>
      </c>
      <c r="D544" s="46"/>
      <c r="E544" s="14" t="s">
        <v>7</v>
      </c>
      <c r="F544" s="6" t="s">
        <v>1066</v>
      </c>
      <c r="G544" s="22">
        <v>1</v>
      </c>
      <c r="H544" s="23">
        <v>6.99</v>
      </c>
      <c r="I544" s="25">
        <f t="shared" si="32"/>
        <v>398.43</v>
      </c>
      <c r="J544" s="25">
        <f t="shared" si="33"/>
        <v>491.2905589544766</v>
      </c>
      <c r="K544" s="25">
        <f t="shared" si="34"/>
        <v>511.2120589544765</v>
      </c>
    </row>
    <row r="545" spans="1:11" ht="15.75">
      <c r="A545" s="22" t="s">
        <v>538</v>
      </c>
      <c r="B545" s="22" t="s">
        <v>1065</v>
      </c>
      <c r="D545" s="46"/>
      <c r="E545" s="14" t="s">
        <v>12</v>
      </c>
      <c r="F545" s="6" t="s">
        <v>1066</v>
      </c>
      <c r="G545" s="22">
        <v>1</v>
      </c>
      <c r="H545" s="23">
        <v>10.49</v>
      </c>
      <c r="I545" s="25">
        <f t="shared" si="32"/>
        <v>597.9300000000001</v>
      </c>
      <c r="J545" s="25">
        <f t="shared" si="33"/>
        <v>737.2872622936279</v>
      </c>
      <c r="K545" s="25">
        <f t="shared" si="34"/>
        <v>767.1837622936279</v>
      </c>
    </row>
    <row r="546" spans="1:11" ht="15.75">
      <c r="A546" s="22" t="s">
        <v>538</v>
      </c>
      <c r="B546" s="22" t="s">
        <v>1065</v>
      </c>
      <c r="D546" s="46"/>
      <c r="E546" s="14" t="s">
        <v>12</v>
      </c>
      <c r="F546" s="6" t="s">
        <v>1066</v>
      </c>
      <c r="G546" s="22">
        <v>1</v>
      </c>
      <c r="H546" s="23">
        <v>10.49</v>
      </c>
      <c r="I546" s="25">
        <f t="shared" si="32"/>
        <v>597.9300000000001</v>
      </c>
      <c r="J546" s="25">
        <f t="shared" si="33"/>
        <v>737.2872622936279</v>
      </c>
      <c r="K546" s="25">
        <f t="shared" si="34"/>
        <v>767.1837622936279</v>
      </c>
    </row>
    <row r="547" spans="1:11" ht="15.75">
      <c r="A547" s="22" t="s">
        <v>538</v>
      </c>
      <c r="B547" s="22" t="s">
        <v>1067</v>
      </c>
      <c r="D547" s="46"/>
      <c r="E547" s="14" t="s">
        <v>14</v>
      </c>
      <c r="F547" s="6" t="s">
        <v>1068</v>
      </c>
      <c r="G547" s="22">
        <v>1</v>
      </c>
      <c r="H547" s="23">
        <v>10.49</v>
      </c>
      <c r="I547" s="25">
        <f t="shared" si="32"/>
        <v>597.9300000000001</v>
      </c>
      <c r="J547" s="25">
        <f t="shared" si="33"/>
        <v>737.2872622936279</v>
      </c>
      <c r="K547" s="25">
        <f t="shared" si="34"/>
        <v>767.1837622936279</v>
      </c>
    </row>
    <row r="548" spans="1:11" ht="15.75">
      <c r="A548" s="22" t="s">
        <v>538</v>
      </c>
      <c r="B548" s="22" t="s">
        <v>1067</v>
      </c>
      <c r="D548" s="46"/>
      <c r="E548" s="14" t="s">
        <v>14</v>
      </c>
      <c r="F548" s="6" t="s">
        <v>1068</v>
      </c>
      <c r="G548" s="22">
        <v>1</v>
      </c>
      <c r="H548" s="23">
        <v>10.49</v>
      </c>
      <c r="I548" s="25">
        <f t="shared" si="32"/>
        <v>597.9300000000001</v>
      </c>
      <c r="J548" s="25">
        <f t="shared" si="33"/>
        <v>737.2872622936279</v>
      </c>
      <c r="K548" s="25">
        <f t="shared" si="34"/>
        <v>767.1837622936279</v>
      </c>
    </row>
    <row r="549" spans="1:11" ht="15.75">
      <c r="A549" s="22" t="s">
        <v>538</v>
      </c>
      <c r="B549" s="22" t="s">
        <v>1067</v>
      </c>
      <c r="D549" s="46"/>
      <c r="E549" s="14" t="s">
        <v>12</v>
      </c>
      <c r="F549" s="6" t="s">
        <v>1068</v>
      </c>
      <c r="G549" s="22">
        <v>1</v>
      </c>
      <c r="H549" s="23">
        <v>10.49</v>
      </c>
      <c r="I549" s="25">
        <f t="shared" si="32"/>
        <v>597.9300000000001</v>
      </c>
      <c r="J549" s="25">
        <f t="shared" si="33"/>
        <v>737.2872622936279</v>
      </c>
      <c r="K549" s="25">
        <f t="shared" si="34"/>
        <v>767.1837622936279</v>
      </c>
    </row>
    <row r="550" spans="1:11" ht="15.75">
      <c r="A550" s="22" t="s">
        <v>538</v>
      </c>
      <c r="B550" s="22" t="s">
        <v>1067</v>
      </c>
      <c r="D550" s="46"/>
      <c r="E550" s="14" t="s">
        <v>12</v>
      </c>
      <c r="F550" s="6" t="s">
        <v>1068</v>
      </c>
      <c r="G550" s="22">
        <v>1</v>
      </c>
      <c r="H550" s="23">
        <v>10.49</v>
      </c>
      <c r="I550" s="25">
        <f t="shared" si="32"/>
        <v>597.9300000000001</v>
      </c>
      <c r="J550" s="25">
        <f t="shared" si="33"/>
        <v>737.2872622936279</v>
      </c>
      <c r="K550" s="25">
        <f t="shared" si="34"/>
        <v>767.1837622936279</v>
      </c>
    </row>
    <row r="551" spans="1:11" ht="15.75">
      <c r="A551" s="22" t="s">
        <v>538</v>
      </c>
      <c r="D551" s="46"/>
      <c r="E551" s="14" t="s">
        <v>7</v>
      </c>
      <c r="F551" s="6" t="s">
        <v>1069</v>
      </c>
      <c r="G551" s="22">
        <v>1</v>
      </c>
      <c r="H551" s="23">
        <v>6.99</v>
      </c>
      <c r="I551" s="25">
        <f t="shared" si="32"/>
        <v>398.43</v>
      </c>
      <c r="J551" s="25">
        <f t="shared" si="33"/>
        <v>491.2905589544766</v>
      </c>
      <c r="K551" s="25">
        <f t="shared" si="34"/>
        <v>511.2120589544765</v>
      </c>
    </row>
    <row r="552" spans="1:11" ht="15.75">
      <c r="A552" s="22" t="s">
        <v>538</v>
      </c>
      <c r="D552" s="46"/>
      <c r="E552" s="14" t="s">
        <v>7</v>
      </c>
      <c r="F552" s="6" t="s">
        <v>1069</v>
      </c>
      <c r="G552" s="22">
        <v>1</v>
      </c>
      <c r="H552" s="23">
        <v>6.99</v>
      </c>
      <c r="I552" s="25">
        <f t="shared" si="32"/>
        <v>398.43</v>
      </c>
      <c r="J552" s="25">
        <f t="shared" si="33"/>
        <v>491.2905589544766</v>
      </c>
      <c r="K552" s="25">
        <f t="shared" si="34"/>
        <v>511.2120589544765</v>
      </c>
    </row>
    <row r="553" spans="1:11" ht="15.75">
      <c r="A553" s="22" t="s">
        <v>538</v>
      </c>
      <c r="D553" s="46"/>
      <c r="E553" s="14" t="s">
        <v>7</v>
      </c>
      <c r="F553" s="6" t="s">
        <v>794</v>
      </c>
      <c r="G553" s="22">
        <v>1</v>
      </c>
      <c r="H553" s="23">
        <v>10.49</v>
      </c>
      <c r="I553" s="25">
        <f t="shared" si="32"/>
        <v>597.9300000000001</v>
      </c>
      <c r="J553" s="25">
        <f t="shared" si="33"/>
        <v>737.2872622936279</v>
      </c>
      <c r="K553" s="25">
        <f t="shared" si="34"/>
        <v>767.1837622936279</v>
      </c>
    </row>
    <row r="554" spans="1:11" ht="15.75">
      <c r="A554" s="22" t="s">
        <v>538</v>
      </c>
      <c r="D554" s="46"/>
      <c r="E554" s="14" t="s">
        <v>7</v>
      </c>
      <c r="F554" s="6" t="s">
        <v>794</v>
      </c>
      <c r="G554" s="22">
        <v>1</v>
      </c>
      <c r="H554" s="23">
        <v>10.49</v>
      </c>
      <c r="I554" s="25">
        <f t="shared" si="32"/>
        <v>597.9300000000001</v>
      </c>
      <c r="J554" s="25">
        <f t="shared" si="33"/>
        <v>737.2872622936279</v>
      </c>
      <c r="K554" s="25">
        <f t="shared" si="34"/>
        <v>767.1837622936279</v>
      </c>
    </row>
    <row r="555" spans="1:11" ht="15.75">
      <c r="A555" s="22" t="s">
        <v>538</v>
      </c>
      <c r="D555" s="46"/>
      <c r="E555" s="14" t="s">
        <v>12</v>
      </c>
      <c r="F555" s="6" t="s">
        <v>871</v>
      </c>
      <c r="G555" s="22">
        <v>1</v>
      </c>
      <c r="H555" s="23">
        <v>10.49</v>
      </c>
      <c r="I555" s="25">
        <f t="shared" si="32"/>
        <v>597.9300000000001</v>
      </c>
      <c r="J555" s="25">
        <f t="shared" si="33"/>
        <v>737.2872622936279</v>
      </c>
      <c r="K555" s="25">
        <f t="shared" si="34"/>
        <v>767.1837622936279</v>
      </c>
    </row>
    <row r="556" spans="1:11" ht="15.75">
      <c r="A556" s="22" t="s">
        <v>538</v>
      </c>
      <c r="D556" s="46"/>
      <c r="E556" s="14" t="s">
        <v>12</v>
      </c>
      <c r="F556" s="6" t="s">
        <v>871</v>
      </c>
      <c r="G556" s="22">
        <v>1</v>
      </c>
      <c r="H556" s="23">
        <v>10.49</v>
      </c>
      <c r="I556" s="25">
        <f t="shared" si="32"/>
        <v>597.9300000000001</v>
      </c>
      <c r="J556" s="25">
        <f t="shared" si="33"/>
        <v>737.2872622936279</v>
      </c>
      <c r="K556" s="25">
        <f t="shared" si="34"/>
        <v>767.1837622936279</v>
      </c>
    </row>
    <row r="557" ht="15.75">
      <c r="A557" s="49" t="s">
        <v>393</v>
      </c>
    </row>
    <row r="558" spans="1:6" ht="16.5" thickBot="1">
      <c r="A558" s="26" t="s">
        <v>1074</v>
      </c>
      <c r="D558" s="46"/>
      <c r="E558" s="14"/>
      <c r="F558" s="27" t="s">
        <v>1144</v>
      </c>
    </row>
    <row r="559" spans="1:17" ht="15.75">
      <c r="A559" s="20" t="s">
        <v>1075</v>
      </c>
      <c r="B559" s="22" t="s">
        <v>1076</v>
      </c>
      <c r="D559" s="46" t="s">
        <v>1077</v>
      </c>
      <c r="E559" s="48" t="s">
        <v>13</v>
      </c>
      <c r="F559" s="6" t="s">
        <v>1078</v>
      </c>
      <c r="G559" s="22">
        <v>1</v>
      </c>
      <c r="H559" s="23">
        <v>37.49</v>
      </c>
      <c r="I559" s="25">
        <f>H559*$Q$565</f>
        <v>2136.9300000000003</v>
      </c>
      <c r="J559" s="25">
        <f>H559*$Q$562*$Q$565</f>
        <v>2562.060480848749</v>
      </c>
      <c r="K559" s="25">
        <f>H559*$Q$563*$Q$565</f>
        <v>2668.9069808487493</v>
      </c>
      <c r="P559" s="16" t="s">
        <v>19</v>
      </c>
      <c r="Q559" s="13">
        <f>SUM(H559:H596)</f>
        <v>496.26</v>
      </c>
    </row>
    <row r="560" spans="1:21" s="38" customFormat="1" ht="15.75">
      <c r="A560" s="20" t="s">
        <v>1075</v>
      </c>
      <c r="B560" s="22" t="s">
        <v>1076</v>
      </c>
      <c r="C560" s="22"/>
      <c r="D560" s="46" t="s">
        <v>1079</v>
      </c>
      <c r="E560" s="48" t="s">
        <v>13</v>
      </c>
      <c r="F560" s="6" t="s">
        <v>1080</v>
      </c>
      <c r="G560" s="22">
        <v>1</v>
      </c>
      <c r="H560" s="23">
        <v>26.24</v>
      </c>
      <c r="I560" s="25">
        <f aca="true" t="shared" si="35" ref="I560:I596">H560*$Q$565</f>
        <v>1495.6799999999998</v>
      </c>
      <c r="J560" s="25">
        <f aca="true" t="shared" si="36" ref="J560:J596">H560*$Q$562*$Q$565</f>
        <v>1793.2373170837868</v>
      </c>
      <c r="K560" s="25">
        <f aca="true" t="shared" si="37" ref="K560:K596">H560*$Q$563*$Q$565</f>
        <v>1868.0213170837872</v>
      </c>
      <c r="L560" s="8"/>
      <c r="M560" s="8"/>
      <c r="N560" s="8"/>
      <c r="O560" s="8"/>
      <c r="P560" s="17" t="s">
        <v>15</v>
      </c>
      <c r="Q560" s="9">
        <v>63.99</v>
      </c>
      <c r="R560" s="8"/>
      <c r="S560" s="8"/>
      <c r="T560" s="8"/>
      <c r="U560" s="8"/>
    </row>
    <row r="561" spans="1:21" s="38" customFormat="1" ht="15.75">
      <c r="A561" s="22" t="s">
        <v>297</v>
      </c>
      <c r="B561" s="22" t="s">
        <v>1037</v>
      </c>
      <c r="C561" s="22"/>
      <c r="D561" s="46" t="s">
        <v>1038</v>
      </c>
      <c r="E561" s="48" t="s">
        <v>24</v>
      </c>
      <c r="F561" s="6" t="s">
        <v>175</v>
      </c>
      <c r="G561" s="22">
        <v>1</v>
      </c>
      <c r="H561" s="23">
        <f>45/2</f>
        <v>22.5</v>
      </c>
      <c r="I561" s="25">
        <f t="shared" si="35"/>
        <v>1282.5</v>
      </c>
      <c r="J561" s="25">
        <f t="shared" si="36"/>
        <v>1537.646327529924</v>
      </c>
      <c r="K561" s="25">
        <f t="shared" si="37"/>
        <v>1601.771327529924</v>
      </c>
      <c r="L561" s="8"/>
      <c r="M561" s="8"/>
      <c r="N561" s="8"/>
      <c r="O561" s="8"/>
      <c r="P561" s="18" t="s">
        <v>111</v>
      </c>
      <c r="Q561" s="56">
        <f>Q560/Q559</f>
        <v>0.1289445048966268</v>
      </c>
      <c r="R561" s="8"/>
      <c r="S561" s="8"/>
      <c r="T561" s="8"/>
      <c r="U561" s="8"/>
    </row>
    <row r="562" spans="1:21" s="38" customFormat="1" ht="15.75">
      <c r="A562" s="22" t="s">
        <v>1081</v>
      </c>
      <c r="B562" s="22" t="s">
        <v>1082</v>
      </c>
      <c r="C562" s="22"/>
      <c r="D562" s="46" t="s">
        <v>1083</v>
      </c>
      <c r="E562" s="48" t="s">
        <v>295</v>
      </c>
      <c r="F562" s="6" t="s">
        <v>1084</v>
      </c>
      <c r="G562" s="22">
        <v>1</v>
      </c>
      <c r="H562" s="23">
        <f>45/2</f>
        <v>22.5</v>
      </c>
      <c r="I562" s="25">
        <f t="shared" si="35"/>
        <v>1282.5</v>
      </c>
      <c r="J562" s="25">
        <f t="shared" si="36"/>
        <v>1537.646327529924</v>
      </c>
      <c r="K562" s="25">
        <f t="shared" si="37"/>
        <v>1601.771327529924</v>
      </c>
      <c r="L562" s="8"/>
      <c r="M562" s="8"/>
      <c r="N562" s="8"/>
      <c r="O562" s="8"/>
      <c r="P562" s="17" t="s">
        <v>16</v>
      </c>
      <c r="Q562" s="10">
        <f>1+Q560/Q559+0.07</f>
        <v>1.198944504896627</v>
      </c>
      <c r="R562" s="8"/>
      <c r="S562" s="8"/>
      <c r="T562" s="8"/>
      <c r="U562" s="8"/>
    </row>
    <row r="563" spans="1:21" s="38" customFormat="1" ht="15.75">
      <c r="A563" s="20" t="s">
        <v>1081</v>
      </c>
      <c r="B563" s="22" t="s">
        <v>1085</v>
      </c>
      <c r="C563" s="22"/>
      <c r="D563" s="46" t="s">
        <v>1086</v>
      </c>
      <c r="E563" s="48" t="s">
        <v>7</v>
      </c>
      <c r="F563" s="6" t="s">
        <v>1087</v>
      </c>
      <c r="G563" s="22">
        <v>1</v>
      </c>
      <c r="H563" s="50">
        <v>14.99</v>
      </c>
      <c r="I563" s="25">
        <f t="shared" si="35"/>
        <v>854.4300000000001</v>
      </c>
      <c r="J563" s="25">
        <f t="shared" si="36"/>
        <v>1024.4141533188251</v>
      </c>
      <c r="K563" s="25">
        <f t="shared" si="37"/>
        <v>1067.135653318825</v>
      </c>
      <c r="L563" s="8"/>
      <c r="M563" s="8"/>
      <c r="N563" s="8"/>
      <c r="O563" s="8"/>
      <c r="P563" s="17" t="s">
        <v>16</v>
      </c>
      <c r="Q563" s="10">
        <f>1+Q560/Q559+0.12</f>
        <v>1.248944504896627</v>
      </c>
      <c r="R563" s="8"/>
      <c r="S563" s="8"/>
      <c r="T563" s="8"/>
      <c r="U563" s="8"/>
    </row>
    <row r="564" spans="1:21" s="38" customFormat="1" ht="15.75">
      <c r="A564" s="20" t="s">
        <v>1088</v>
      </c>
      <c r="B564" s="22" t="s">
        <v>1085</v>
      </c>
      <c r="C564" s="22"/>
      <c r="D564" s="46" t="s">
        <v>1086</v>
      </c>
      <c r="E564" s="48" t="s">
        <v>14</v>
      </c>
      <c r="F564" s="6" t="s">
        <v>1089</v>
      </c>
      <c r="G564" s="22">
        <v>1</v>
      </c>
      <c r="H564" s="50">
        <v>14.99</v>
      </c>
      <c r="I564" s="25">
        <f t="shared" si="35"/>
        <v>854.4300000000001</v>
      </c>
      <c r="J564" s="25">
        <f t="shared" si="36"/>
        <v>1024.4141533188251</v>
      </c>
      <c r="K564" s="25">
        <f t="shared" si="37"/>
        <v>1067.135653318825</v>
      </c>
      <c r="L564" s="8"/>
      <c r="M564" s="8"/>
      <c r="N564" s="8"/>
      <c r="O564" s="8"/>
      <c r="P564" s="18"/>
      <c r="Q564" s="10"/>
      <c r="R564" s="8"/>
      <c r="S564" s="8"/>
      <c r="T564" s="8"/>
      <c r="U564" s="8"/>
    </row>
    <row r="565" spans="1:21" s="38" customFormat="1" ht="16.5" thickBot="1">
      <c r="A565" s="20" t="s">
        <v>463</v>
      </c>
      <c r="B565" s="20" t="s">
        <v>1090</v>
      </c>
      <c r="C565" s="20"/>
      <c r="D565" s="46" t="s">
        <v>1091</v>
      </c>
      <c r="E565" s="20" t="s">
        <v>12</v>
      </c>
      <c r="F565" s="6" t="s">
        <v>1092</v>
      </c>
      <c r="G565" s="22">
        <v>1</v>
      </c>
      <c r="H565" s="31">
        <v>6.99</v>
      </c>
      <c r="I565" s="25">
        <f t="shared" si="35"/>
        <v>398.43</v>
      </c>
      <c r="J565" s="25">
        <f t="shared" si="36"/>
        <v>477.6954590859631</v>
      </c>
      <c r="K565" s="25">
        <f t="shared" si="37"/>
        <v>497.6169590859631</v>
      </c>
      <c r="L565" s="7"/>
      <c r="M565" s="7"/>
      <c r="N565" s="7"/>
      <c r="O565" s="7"/>
      <c r="P565" s="39" t="s">
        <v>17</v>
      </c>
      <c r="Q565" s="12">
        <v>57</v>
      </c>
      <c r="R565" s="7"/>
      <c r="S565" s="7"/>
      <c r="T565" s="7"/>
      <c r="U565" s="7"/>
    </row>
    <row r="566" spans="1:21" s="38" customFormat="1" ht="15.75">
      <c r="A566" s="20" t="s">
        <v>251</v>
      </c>
      <c r="B566" s="22" t="s">
        <v>1093</v>
      </c>
      <c r="C566" s="22"/>
      <c r="D566" s="46" t="s">
        <v>1094</v>
      </c>
      <c r="E566" s="48" t="s">
        <v>7</v>
      </c>
      <c r="F566" s="6" t="s">
        <v>1089</v>
      </c>
      <c r="G566" s="22">
        <v>1</v>
      </c>
      <c r="H566" s="50">
        <v>12.74</v>
      </c>
      <c r="I566" s="25">
        <f t="shared" si="35"/>
        <v>726.1800000000001</v>
      </c>
      <c r="J566" s="25">
        <f t="shared" si="36"/>
        <v>870.6495205658325</v>
      </c>
      <c r="K566" s="25">
        <f t="shared" si="37"/>
        <v>906.9585205658326</v>
      </c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s="38" customFormat="1" ht="15.75">
      <c r="A567" s="20" t="s">
        <v>463</v>
      </c>
      <c r="B567" s="20" t="s">
        <v>1095</v>
      </c>
      <c r="C567" s="20"/>
      <c r="D567" s="44" t="s">
        <v>1096</v>
      </c>
      <c r="E567" s="20" t="s">
        <v>12</v>
      </c>
      <c r="F567" s="6" t="s">
        <v>881</v>
      </c>
      <c r="G567" s="22">
        <v>1</v>
      </c>
      <c r="H567" s="31">
        <v>10.5</v>
      </c>
      <c r="I567" s="25">
        <f t="shared" si="35"/>
        <v>598.5</v>
      </c>
      <c r="J567" s="25">
        <f t="shared" si="36"/>
        <v>717.5682861806312</v>
      </c>
      <c r="K567" s="25">
        <f t="shared" si="37"/>
        <v>747.4932861806312</v>
      </c>
      <c r="L567" s="7"/>
      <c r="M567" s="7"/>
      <c r="N567" s="7"/>
      <c r="O567" s="7"/>
      <c r="P567" s="7"/>
      <c r="Q567" s="7"/>
      <c r="R567" s="7"/>
      <c r="S567" s="7"/>
      <c r="T567" s="7"/>
      <c r="U567" s="7"/>
    </row>
    <row r="568" spans="1:21" s="38" customFormat="1" ht="15.75">
      <c r="A568" s="20" t="s">
        <v>538</v>
      </c>
      <c r="B568" s="20" t="s">
        <v>1095</v>
      </c>
      <c r="C568" s="20"/>
      <c r="D568" s="44" t="s">
        <v>1096</v>
      </c>
      <c r="E568" s="20" t="s">
        <v>12</v>
      </c>
      <c r="F568" s="44" t="s">
        <v>881</v>
      </c>
      <c r="G568" s="20">
        <v>1</v>
      </c>
      <c r="H568" s="31">
        <v>10.5</v>
      </c>
      <c r="I568" s="25">
        <f t="shared" si="35"/>
        <v>598.5</v>
      </c>
      <c r="J568" s="25">
        <f t="shared" si="36"/>
        <v>717.5682861806312</v>
      </c>
      <c r="K568" s="25">
        <f t="shared" si="37"/>
        <v>747.4932861806312</v>
      </c>
      <c r="L568" s="28"/>
      <c r="M568" s="7"/>
      <c r="N568" s="7"/>
      <c r="O568" s="7"/>
      <c r="P568" s="7"/>
      <c r="Q568" s="7"/>
      <c r="R568" s="7"/>
      <c r="S568" s="7"/>
      <c r="T568" s="7"/>
      <c r="U568" s="7"/>
    </row>
    <row r="569" spans="1:21" s="38" customFormat="1" ht="15.75">
      <c r="A569" s="20" t="s">
        <v>538</v>
      </c>
      <c r="B569" s="22" t="s">
        <v>1097</v>
      </c>
      <c r="C569" s="22"/>
      <c r="D569" s="46" t="s">
        <v>842</v>
      </c>
      <c r="E569" s="6" t="s">
        <v>843</v>
      </c>
      <c r="F569" s="6" t="s">
        <v>1098</v>
      </c>
      <c r="G569" s="22">
        <v>1</v>
      </c>
      <c r="H569" s="50">
        <v>18.74</v>
      </c>
      <c r="I569" s="25">
        <f t="shared" si="35"/>
        <v>1068.1799999999998</v>
      </c>
      <c r="J569" s="25">
        <f t="shared" si="36"/>
        <v>1280.6885412404788</v>
      </c>
      <c r="K569" s="25">
        <f t="shared" si="37"/>
        <v>1334.097541240479</v>
      </c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s="38" customFormat="1" ht="15.75">
      <c r="A570" s="20" t="s">
        <v>1029</v>
      </c>
      <c r="B570" s="22" t="s">
        <v>1099</v>
      </c>
      <c r="C570" s="22"/>
      <c r="D570" s="46" t="s">
        <v>1100</v>
      </c>
      <c r="E570" s="48" t="s">
        <v>14</v>
      </c>
      <c r="F570" s="6" t="s">
        <v>1101</v>
      </c>
      <c r="G570" s="22">
        <v>1</v>
      </c>
      <c r="H570" s="50">
        <v>14.99</v>
      </c>
      <c r="I570" s="25">
        <f t="shared" si="35"/>
        <v>854.4300000000001</v>
      </c>
      <c r="J570" s="25">
        <f t="shared" si="36"/>
        <v>1024.4141533188251</v>
      </c>
      <c r="K570" s="25">
        <f t="shared" si="37"/>
        <v>1067.135653318825</v>
      </c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s="38" customFormat="1" ht="15.75">
      <c r="A571" s="20" t="s">
        <v>752</v>
      </c>
      <c r="B571" s="22" t="s">
        <v>1102</v>
      </c>
      <c r="C571" s="22"/>
      <c r="D571" s="46" t="s">
        <v>1103</v>
      </c>
      <c r="E571" s="48" t="s">
        <v>12</v>
      </c>
      <c r="F571" s="6" t="s">
        <v>1068</v>
      </c>
      <c r="G571" s="22">
        <v>1</v>
      </c>
      <c r="H571" s="50">
        <v>10.49</v>
      </c>
      <c r="I571" s="25">
        <f t="shared" si="35"/>
        <v>597.9300000000001</v>
      </c>
      <c r="J571" s="25">
        <f t="shared" si="36"/>
        <v>716.8848878128402</v>
      </c>
      <c r="K571" s="25">
        <f t="shared" si="37"/>
        <v>746.7813878128402</v>
      </c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11" ht="15.75">
      <c r="A572" s="20" t="s">
        <v>752</v>
      </c>
      <c r="B572" s="22" t="s">
        <v>1104</v>
      </c>
      <c r="D572" s="46" t="s">
        <v>1105</v>
      </c>
      <c r="E572" s="48" t="s">
        <v>12</v>
      </c>
      <c r="F572" s="6" t="s">
        <v>304</v>
      </c>
      <c r="G572" s="22">
        <v>1</v>
      </c>
      <c r="H572" s="50">
        <v>6.99</v>
      </c>
      <c r="I572" s="25">
        <f t="shared" si="35"/>
        <v>398.43</v>
      </c>
      <c r="J572" s="25">
        <f t="shared" si="36"/>
        <v>477.6954590859631</v>
      </c>
      <c r="K572" s="25">
        <f t="shared" si="37"/>
        <v>497.6169590859631</v>
      </c>
    </row>
    <row r="573" spans="1:11" ht="15.75">
      <c r="A573" s="20" t="s">
        <v>752</v>
      </c>
      <c r="B573" s="22" t="s">
        <v>1106</v>
      </c>
      <c r="D573" s="46" t="s">
        <v>1107</v>
      </c>
      <c r="E573" s="48" t="s">
        <v>7</v>
      </c>
      <c r="F573" s="6" t="s">
        <v>304</v>
      </c>
      <c r="G573" s="22">
        <v>1</v>
      </c>
      <c r="H573" s="50">
        <v>4.19</v>
      </c>
      <c r="I573" s="25">
        <f t="shared" si="35"/>
        <v>238.83</v>
      </c>
      <c r="J573" s="25">
        <f t="shared" si="36"/>
        <v>286.3439161044614</v>
      </c>
      <c r="K573" s="25">
        <f t="shared" si="37"/>
        <v>298.28541610446143</v>
      </c>
    </row>
    <row r="574" spans="1:21" ht="15.75">
      <c r="A574" s="20" t="s">
        <v>292</v>
      </c>
      <c r="B574" s="20" t="s">
        <v>1034</v>
      </c>
      <c r="C574" s="20"/>
      <c r="D574" s="44" t="s">
        <v>1035</v>
      </c>
      <c r="E574" s="20" t="s">
        <v>21</v>
      </c>
      <c r="F574" s="51" t="s">
        <v>456</v>
      </c>
      <c r="G574" s="20">
        <v>1</v>
      </c>
      <c r="H574" s="31">
        <v>8.39</v>
      </c>
      <c r="I574" s="25">
        <f t="shared" si="35"/>
        <v>478.23</v>
      </c>
      <c r="J574" s="25">
        <f t="shared" si="36"/>
        <v>573.371230576714</v>
      </c>
      <c r="K574" s="25">
        <f t="shared" si="37"/>
        <v>597.282730576714</v>
      </c>
      <c r="L574" s="7"/>
      <c r="M574" s="7"/>
      <c r="N574" s="7"/>
      <c r="O574" s="7"/>
      <c r="P574" s="7"/>
      <c r="Q574" s="7"/>
      <c r="R574" s="7"/>
      <c r="S574" s="7"/>
      <c r="T574" s="7"/>
      <c r="U574" s="7"/>
    </row>
    <row r="575" spans="1:21" ht="15.75">
      <c r="A575" s="20" t="s">
        <v>115</v>
      </c>
      <c r="B575" s="20" t="s">
        <v>1076</v>
      </c>
      <c r="C575" s="20"/>
      <c r="D575" s="44" t="s">
        <v>1108</v>
      </c>
      <c r="E575" s="45" t="s">
        <v>7</v>
      </c>
      <c r="F575" s="44" t="s">
        <v>1109</v>
      </c>
      <c r="G575" s="22">
        <v>1</v>
      </c>
      <c r="H575" s="7">
        <v>26.24</v>
      </c>
      <c r="I575" s="25">
        <f t="shared" si="35"/>
        <v>1495.6799999999998</v>
      </c>
      <c r="J575" s="25">
        <f t="shared" si="36"/>
        <v>1793.2373170837868</v>
      </c>
      <c r="K575" s="25">
        <f t="shared" si="37"/>
        <v>1868.0213170837872</v>
      </c>
      <c r="L575" s="7"/>
      <c r="M575" s="7"/>
      <c r="N575" s="7"/>
      <c r="O575" s="7"/>
      <c r="P575" s="7"/>
      <c r="Q575" s="7"/>
      <c r="R575" s="7"/>
      <c r="S575" s="7"/>
      <c r="T575" s="7"/>
      <c r="U575" s="7"/>
    </row>
    <row r="576" spans="1:11" ht="15.75">
      <c r="A576" s="20" t="s">
        <v>1110</v>
      </c>
      <c r="B576" s="22" t="s">
        <v>1111</v>
      </c>
      <c r="D576" s="46" t="s">
        <v>1112</v>
      </c>
      <c r="E576" s="48" t="s">
        <v>1113</v>
      </c>
      <c r="F576" s="6" t="s">
        <v>1114</v>
      </c>
      <c r="G576" s="36">
        <v>1</v>
      </c>
      <c r="H576" s="41">
        <v>18.74</v>
      </c>
      <c r="I576" s="25">
        <f t="shared" si="35"/>
        <v>1068.1799999999998</v>
      </c>
      <c r="J576" s="25">
        <f t="shared" si="36"/>
        <v>1280.6885412404788</v>
      </c>
      <c r="K576" s="25">
        <f t="shared" si="37"/>
        <v>1334.097541240479</v>
      </c>
    </row>
    <row r="577" spans="1:21" ht="15.75">
      <c r="A577" s="20" t="s">
        <v>855</v>
      </c>
      <c r="B577" s="20" t="s">
        <v>1022</v>
      </c>
      <c r="C577" s="20"/>
      <c r="D577" s="44" t="s">
        <v>1027</v>
      </c>
      <c r="E577" s="20" t="s">
        <v>14</v>
      </c>
      <c r="F577" s="44" t="s">
        <v>1070</v>
      </c>
      <c r="G577" s="22">
        <v>1</v>
      </c>
      <c r="H577" s="31">
        <v>4.19</v>
      </c>
      <c r="I577" s="25">
        <f t="shared" si="35"/>
        <v>238.83</v>
      </c>
      <c r="J577" s="25">
        <f t="shared" si="36"/>
        <v>286.3439161044614</v>
      </c>
      <c r="K577" s="25">
        <f t="shared" si="37"/>
        <v>298.28541610446143</v>
      </c>
      <c r="L577" s="7"/>
      <c r="M577" s="7"/>
      <c r="N577" s="7"/>
      <c r="O577" s="7"/>
      <c r="P577" s="7"/>
      <c r="Q577" s="7"/>
      <c r="R577" s="7"/>
      <c r="S577" s="7"/>
      <c r="T577" s="7"/>
      <c r="U577" s="7"/>
    </row>
    <row r="578" spans="1:21" ht="15.75">
      <c r="A578" s="20" t="s">
        <v>463</v>
      </c>
      <c r="B578" s="20" t="s">
        <v>1090</v>
      </c>
      <c r="C578" s="20"/>
      <c r="D578" s="46" t="s">
        <v>1115</v>
      </c>
      <c r="E578" s="20" t="s">
        <v>14</v>
      </c>
      <c r="F578" s="6" t="s">
        <v>1092</v>
      </c>
      <c r="G578" s="22">
        <v>1</v>
      </c>
      <c r="H578" s="31">
        <v>13.99</v>
      </c>
      <c r="I578" s="25">
        <f t="shared" si="35"/>
        <v>797.4300000000001</v>
      </c>
      <c r="J578" s="25">
        <f t="shared" si="36"/>
        <v>956.0743165397172</v>
      </c>
      <c r="K578" s="25">
        <f t="shared" si="37"/>
        <v>995.9458165397174</v>
      </c>
      <c r="L578" s="7"/>
      <c r="M578" s="7"/>
      <c r="N578" s="7"/>
      <c r="O578" s="7"/>
      <c r="P578" s="7"/>
      <c r="Q578" s="7"/>
      <c r="R578" s="7"/>
      <c r="S578" s="7"/>
      <c r="T578" s="7"/>
      <c r="U578" s="7"/>
    </row>
    <row r="579" spans="1:11" ht="15.75">
      <c r="A579" s="20" t="s">
        <v>115</v>
      </c>
      <c r="B579" s="22" t="s">
        <v>944</v>
      </c>
      <c r="D579" s="46" t="s">
        <v>1116</v>
      </c>
      <c r="E579" s="22" t="s">
        <v>7</v>
      </c>
      <c r="F579" s="6" t="s">
        <v>946</v>
      </c>
      <c r="G579" s="22">
        <v>1</v>
      </c>
      <c r="H579" s="23">
        <v>5.4</v>
      </c>
      <c r="I579" s="25">
        <f t="shared" si="35"/>
        <v>307.8</v>
      </c>
      <c r="J579" s="25">
        <f t="shared" si="36"/>
        <v>369.0351186071818</v>
      </c>
      <c r="K579" s="25">
        <f t="shared" si="37"/>
        <v>384.42511860718184</v>
      </c>
    </row>
    <row r="580" spans="1:11" ht="15.75">
      <c r="A580" s="20" t="s">
        <v>115</v>
      </c>
      <c r="B580" s="22" t="s">
        <v>944</v>
      </c>
      <c r="D580" s="46" t="s">
        <v>1116</v>
      </c>
      <c r="E580" s="22" t="s">
        <v>7</v>
      </c>
      <c r="F580" s="6" t="s">
        <v>410</v>
      </c>
      <c r="G580" s="22">
        <v>1</v>
      </c>
      <c r="H580" s="23">
        <v>5.4</v>
      </c>
      <c r="I580" s="25">
        <f t="shared" si="35"/>
        <v>307.8</v>
      </c>
      <c r="J580" s="25">
        <f t="shared" si="36"/>
        <v>369.0351186071818</v>
      </c>
      <c r="K580" s="25">
        <f t="shared" si="37"/>
        <v>384.42511860718184</v>
      </c>
    </row>
    <row r="581" spans="1:11" ht="15.75">
      <c r="A581" s="20" t="s">
        <v>115</v>
      </c>
      <c r="B581" s="22" t="s">
        <v>1117</v>
      </c>
      <c r="D581" s="46" t="s">
        <v>1118</v>
      </c>
      <c r="E581" s="22" t="s">
        <v>7</v>
      </c>
      <c r="F581" s="6" t="s">
        <v>1119</v>
      </c>
      <c r="G581" s="22">
        <v>1</v>
      </c>
      <c r="H581" s="23">
        <v>5.4</v>
      </c>
      <c r="I581" s="25">
        <f t="shared" si="35"/>
        <v>307.8</v>
      </c>
      <c r="J581" s="25">
        <f t="shared" si="36"/>
        <v>369.0351186071818</v>
      </c>
      <c r="K581" s="25">
        <f t="shared" si="37"/>
        <v>384.42511860718184</v>
      </c>
    </row>
    <row r="582" spans="1:11" ht="15.75">
      <c r="A582" s="20" t="s">
        <v>106</v>
      </c>
      <c r="B582" s="22" t="s">
        <v>1120</v>
      </c>
      <c r="D582" s="46" t="s">
        <v>1116</v>
      </c>
      <c r="E582" s="48" t="s">
        <v>14</v>
      </c>
      <c r="F582" s="6" t="s">
        <v>1121</v>
      </c>
      <c r="G582" s="22">
        <v>1</v>
      </c>
      <c r="H582" s="23">
        <v>5.4</v>
      </c>
      <c r="I582" s="25">
        <f t="shared" si="35"/>
        <v>307.8</v>
      </c>
      <c r="J582" s="25">
        <f t="shared" si="36"/>
        <v>369.0351186071818</v>
      </c>
      <c r="K582" s="25">
        <f t="shared" si="37"/>
        <v>384.42511860718184</v>
      </c>
    </row>
    <row r="583" spans="1:11" ht="15.75">
      <c r="A583" s="20" t="s">
        <v>106</v>
      </c>
      <c r="B583" s="22" t="s">
        <v>1120</v>
      </c>
      <c r="D583" s="46" t="s">
        <v>1116</v>
      </c>
      <c r="E583" s="48" t="s">
        <v>14</v>
      </c>
      <c r="F583" s="6" t="s">
        <v>916</v>
      </c>
      <c r="G583" s="22">
        <v>1</v>
      </c>
      <c r="H583" s="23">
        <v>5.4</v>
      </c>
      <c r="I583" s="25">
        <f t="shared" si="35"/>
        <v>307.8</v>
      </c>
      <c r="J583" s="25">
        <f t="shared" si="36"/>
        <v>369.0351186071818</v>
      </c>
      <c r="K583" s="25">
        <f t="shared" si="37"/>
        <v>384.42511860718184</v>
      </c>
    </row>
    <row r="584" spans="1:11" ht="15.75">
      <c r="A584" s="20" t="s">
        <v>350</v>
      </c>
      <c r="B584" s="22" t="s">
        <v>1122</v>
      </c>
      <c r="D584" s="46" t="s">
        <v>1123</v>
      </c>
      <c r="E584" s="52" t="s">
        <v>12</v>
      </c>
      <c r="F584" s="6" t="s">
        <v>1124</v>
      </c>
      <c r="G584" s="36">
        <v>1</v>
      </c>
      <c r="H584" s="50">
        <v>11.24</v>
      </c>
      <c r="I584" s="25">
        <f t="shared" si="35"/>
        <v>640.6800000000001</v>
      </c>
      <c r="J584" s="25">
        <f t="shared" si="36"/>
        <v>768.139765397171</v>
      </c>
      <c r="K584" s="25">
        <f t="shared" si="37"/>
        <v>800.173765397171</v>
      </c>
    </row>
    <row r="585" spans="1:11" ht="15.75">
      <c r="A585" s="20" t="s">
        <v>1125</v>
      </c>
      <c r="B585" s="22" t="s">
        <v>1126</v>
      </c>
      <c r="D585" s="46" t="s">
        <v>1127</v>
      </c>
      <c r="E585" s="52" t="s">
        <v>1128</v>
      </c>
      <c r="F585" s="6" t="s">
        <v>1129</v>
      </c>
      <c r="G585" s="36">
        <v>1</v>
      </c>
      <c r="H585" s="41">
        <v>18.74</v>
      </c>
      <c r="I585" s="25">
        <f t="shared" si="35"/>
        <v>1068.1799999999998</v>
      </c>
      <c r="J585" s="25">
        <f t="shared" si="36"/>
        <v>1280.6885412404788</v>
      </c>
      <c r="K585" s="25">
        <f t="shared" si="37"/>
        <v>1334.097541240479</v>
      </c>
    </row>
    <row r="586" spans="1:11" ht="15.75">
      <c r="A586" s="20" t="s">
        <v>1130</v>
      </c>
      <c r="B586" s="22" t="s">
        <v>1131</v>
      </c>
      <c r="D586" s="46" t="s">
        <v>1132</v>
      </c>
      <c r="E586" s="48" t="s">
        <v>13</v>
      </c>
      <c r="F586" s="6" t="s">
        <v>1133</v>
      </c>
      <c r="G586" s="22">
        <v>1</v>
      </c>
      <c r="H586" s="50">
        <v>29.99</v>
      </c>
      <c r="I586" s="25">
        <f t="shared" si="35"/>
        <v>1709.4299999999998</v>
      </c>
      <c r="J586" s="25">
        <f t="shared" si="36"/>
        <v>2049.511705005441</v>
      </c>
      <c r="K586" s="25">
        <f t="shared" si="37"/>
        <v>2134.9832050054406</v>
      </c>
    </row>
    <row r="587" spans="1:21" ht="15.75">
      <c r="A587" s="20" t="s">
        <v>1075</v>
      </c>
      <c r="B587" s="20" t="s">
        <v>1134</v>
      </c>
      <c r="C587" s="20"/>
      <c r="D587" s="44" t="s">
        <v>1135</v>
      </c>
      <c r="E587" s="7" t="s">
        <v>13</v>
      </c>
      <c r="F587" s="44" t="s">
        <v>801</v>
      </c>
      <c r="G587" s="20">
        <v>1</v>
      </c>
      <c r="H587" s="31">
        <v>41.24</v>
      </c>
      <c r="I587" s="25">
        <f t="shared" si="35"/>
        <v>2350.6800000000003</v>
      </c>
      <c r="J587" s="25">
        <f t="shared" si="36"/>
        <v>2818.3348687704033</v>
      </c>
      <c r="K587" s="25">
        <f t="shared" si="37"/>
        <v>2935.868868770403</v>
      </c>
      <c r="L587" s="7"/>
      <c r="M587" s="7"/>
      <c r="N587" s="7"/>
      <c r="O587" s="7"/>
      <c r="P587" s="7"/>
      <c r="Q587" s="7"/>
      <c r="R587" s="7"/>
      <c r="S587" s="7"/>
      <c r="T587" s="7"/>
      <c r="U587" s="7"/>
    </row>
    <row r="588" spans="1:21" ht="15.75">
      <c r="A588" s="20" t="s">
        <v>855</v>
      </c>
      <c r="B588" s="20" t="s">
        <v>1022</v>
      </c>
      <c r="C588" s="20"/>
      <c r="D588" s="44" t="s">
        <v>1023</v>
      </c>
      <c r="E588" s="20" t="s">
        <v>14</v>
      </c>
      <c r="F588" s="44" t="s">
        <v>1136</v>
      </c>
      <c r="G588" s="20">
        <v>1</v>
      </c>
      <c r="H588" s="31">
        <v>6.99</v>
      </c>
      <c r="I588" s="25">
        <f t="shared" si="35"/>
        <v>398.43</v>
      </c>
      <c r="J588" s="25">
        <f t="shared" si="36"/>
        <v>477.6954590859631</v>
      </c>
      <c r="K588" s="25">
        <f t="shared" si="37"/>
        <v>497.6169590859631</v>
      </c>
      <c r="L588" s="7"/>
      <c r="M588" s="7"/>
      <c r="N588" s="7"/>
      <c r="O588" s="7"/>
      <c r="P588" s="7"/>
      <c r="Q588" s="7"/>
      <c r="R588" s="7"/>
      <c r="S588" s="7"/>
      <c r="T588" s="7"/>
      <c r="U588" s="7"/>
    </row>
    <row r="589" spans="1:21" ht="15.75">
      <c r="A589" s="20" t="s">
        <v>292</v>
      </c>
      <c r="B589" s="20" t="s">
        <v>1024</v>
      </c>
      <c r="C589" s="20"/>
      <c r="D589" s="44" t="s">
        <v>1025</v>
      </c>
      <c r="E589" s="20" t="s">
        <v>12</v>
      </c>
      <c r="F589" s="44" t="s">
        <v>456</v>
      </c>
      <c r="G589" s="20">
        <v>1</v>
      </c>
      <c r="H589" s="31">
        <v>4.89</v>
      </c>
      <c r="I589" s="25">
        <f t="shared" si="35"/>
        <v>278.72999999999996</v>
      </c>
      <c r="J589" s="25">
        <f t="shared" si="36"/>
        <v>334.1818018498368</v>
      </c>
      <c r="K589" s="25">
        <f t="shared" si="37"/>
        <v>348.1183018498368</v>
      </c>
      <c r="L589" s="7"/>
      <c r="M589" s="7"/>
      <c r="N589" s="7"/>
      <c r="O589" s="7"/>
      <c r="P589" s="7"/>
      <c r="Q589" s="7"/>
      <c r="R589" s="7"/>
      <c r="S589" s="7"/>
      <c r="T589" s="7"/>
      <c r="U589" s="7"/>
    </row>
    <row r="590" spans="1:21" ht="15.75">
      <c r="A590" s="20" t="s">
        <v>1028</v>
      </c>
      <c r="B590" s="20" t="s">
        <v>1071</v>
      </c>
      <c r="C590" s="20"/>
      <c r="D590" s="44" t="s">
        <v>1072</v>
      </c>
      <c r="E590" s="20" t="s">
        <v>12</v>
      </c>
      <c r="F590" s="44" t="s">
        <v>18</v>
      </c>
      <c r="G590" s="20">
        <v>1</v>
      </c>
      <c r="H590" s="31">
        <v>6.99</v>
      </c>
      <c r="I590" s="25">
        <f t="shared" si="35"/>
        <v>398.43</v>
      </c>
      <c r="J590" s="25">
        <f t="shared" si="36"/>
        <v>477.6954590859631</v>
      </c>
      <c r="K590" s="25">
        <f t="shared" si="37"/>
        <v>497.6169590859631</v>
      </c>
      <c r="L590" s="7"/>
      <c r="M590" s="7"/>
      <c r="N590" s="7"/>
      <c r="O590" s="7"/>
      <c r="P590" s="7"/>
      <c r="Q590" s="7"/>
      <c r="R590" s="7"/>
      <c r="S590" s="7"/>
      <c r="T590" s="7"/>
      <c r="U590" s="7"/>
    </row>
    <row r="591" spans="1:21" ht="15.75">
      <c r="A591" s="20" t="s">
        <v>1081</v>
      </c>
      <c r="B591" s="20" t="s">
        <v>1137</v>
      </c>
      <c r="C591" s="20"/>
      <c r="D591" s="44" t="s">
        <v>1138</v>
      </c>
      <c r="E591" s="45" t="s">
        <v>7</v>
      </c>
      <c r="F591" s="45" t="s">
        <v>1139</v>
      </c>
      <c r="G591" s="20">
        <v>1</v>
      </c>
      <c r="H591" s="53">
        <v>12.74</v>
      </c>
      <c r="I591" s="25">
        <f t="shared" si="35"/>
        <v>726.1800000000001</v>
      </c>
      <c r="J591" s="25">
        <f t="shared" si="36"/>
        <v>870.6495205658325</v>
      </c>
      <c r="K591" s="25">
        <f t="shared" si="37"/>
        <v>906.9585205658326</v>
      </c>
      <c r="L591" s="7"/>
      <c r="M591" s="7"/>
      <c r="N591" s="7"/>
      <c r="O591" s="7"/>
      <c r="P591" s="7"/>
      <c r="Q591" s="7"/>
      <c r="R591" s="7"/>
      <c r="S591" s="7"/>
      <c r="T591" s="7"/>
      <c r="U591" s="7"/>
    </row>
    <row r="592" spans="1:21" ht="15.75">
      <c r="A592" s="20" t="s">
        <v>752</v>
      </c>
      <c r="B592" s="20" t="s">
        <v>910</v>
      </c>
      <c r="C592" s="20"/>
      <c r="D592" s="44" t="s">
        <v>911</v>
      </c>
      <c r="E592" s="20" t="s">
        <v>273</v>
      </c>
      <c r="F592" s="44" t="s">
        <v>268</v>
      </c>
      <c r="G592" s="20">
        <v>1</v>
      </c>
      <c r="H592" s="31">
        <v>5.59</v>
      </c>
      <c r="I592" s="25">
        <f t="shared" si="35"/>
        <v>318.63</v>
      </c>
      <c r="J592" s="25">
        <f t="shared" si="36"/>
        <v>382.01968759521225</v>
      </c>
      <c r="K592" s="25">
        <f t="shared" si="37"/>
        <v>397.9511875952123</v>
      </c>
      <c r="L592" s="7"/>
      <c r="M592" s="7"/>
      <c r="N592" s="7"/>
      <c r="O592" s="7"/>
      <c r="P592" s="7"/>
      <c r="Q592" s="7"/>
      <c r="R592" s="7"/>
      <c r="S592" s="7"/>
      <c r="T592" s="7"/>
      <c r="U592" s="7"/>
    </row>
    <row r="593" spans="1:21" ht="15.75">
      <c r="A593" s="20" t="s">
        <v>350</v>
      </c>
      <c r="B593" s="7" t="s">
        <v>986</v>
      </c>
      <c r="C593" s="20"/>
      <c r="D593" s="44" t="s">
        <v>987</v>
      </c>
      <c r="E593" s="6" t="s">
        <v>257</v>
      </c>
      <c r="F593" s="32" t="s">
        <v>370</v>
      </c>
      <c r="G593" s="20">
        <v>1</v>
      </c>
      <c r="H593" s="31">
        <v>6.99</v>
      </c>
      <c r="I593" s="25">
        <f t="shared" si="35"/>
        <v>398.43</v>
      </c>
      <c r="J593" s="25">
        <f t="shared" si="36"/>
        <v>477.6954590859631</v>
      </c>
      <c r="K593" s="25">
        <f t="shared" si="37"/>
        <v>497.6169590859631</v>
      </c>
      <c r="L593" s="7"/>
      <c r="M593" s="7"/>
      <c r="N593" s="7"/>
      <c r="O593" s="7"/>
      <c r="P593" s="7"/>
      <c r="Q593" s="7"/>
      <c r="R593" s="7"/>
      <c r="S593" s="7"/>
      <c r="T593" s="7"/>
      <c r="U593" s="7"/>
    </row>
    <row r="594" spans="1:21" ht="15.75">
      <c r="A594" s="20" t="s">
        <v>350</v>
      </c>
      <c r="B594" s="20" t="s">
        <v>1140</v>
      </c>
      <c r="C594" s="20"/>
      <c r="D594" s="44" t="s">
        <v>1141</v>
      </c>
      <c r="E594" s="6" t="s">
        <v>548</v>
      </c>
      <c r="F594" s="45" t="s">
        <v>1142</v>
      </c>
      <c r="G594" s="20">
        <v>1</v>
      </c>
      <c r="H594" s="31">
        <v>6.99</v>
      </c>
      <c r="I594" s="25">
        <f t="shared" si="35"/>
        <v>398.43</v>
      </c>
      <c r="J594" s="25">
        <f t="shared" si="36"/>
        <v>477.6954590859631</v>
      </c>
      <c r="K594" s="25">
        <f t="shared" si="37"/>
        <v>497.6169590859631</v>
      </c>
      <c r="L594" s="7"/>
      <c r="M594" s="7"/>
      <c r="N594" s="7"/>
      <c r="O594" s="7"/>
      <c r="P594" s="7"/>
      <c r="Q594" s="7"/>
      <c r="R594" s="7"/>
      <c r="S594" s="7"/>
      <c r="T594" s="7"/>
      <c r="U594" s="7"/>
    </row>
    <row r="595" spans="1:21" ht="15.75">
      <c r="A595" s="20" t="s">
        <v>350</v>
      </c>
      <c r="B595" s="20" t="s">
        <v>888</v>
      </c>
      <c r="C595" s="20"/>
      <c r="D595" s="44" t="s">
        <v>889</v>
      </c>
      <c r="E595" s="45" t="s">
        <v>548</v>
      </c>
      <c r="F595" s="44" t="s">
        <v>890</v>
      </c>
      <c r="G595" s="20">
        <v>1</v>
      </c>
      <c r="H595" s="53">
        <v>5.59</v>
      </c>
      <c r="I595" s="25">
        <f t="shared" si="35"/>
        <v>318.63</v>
      </c>
      <c r="J595" s="25">
        <f t="shared" si="36"/>
        <v>382.01968759521225</v>
      </c>
      <c r="K595" s="25">
        <f t="shared" si="37"/>
        <v>397.9511875952123</v>
      </c>
      <c r="L595" s="7"/>
      <c r="M595" s="7"/>
      <c r="N595" s="7"/>
      <c r="O595" s="7"/>
      <c r="P595" s="7"/>
      <c r="Q595" s="7"/>
      <c r="R595" s="7"/>
      <c r="S595" s="7"/>
      <c r="T595" s="7"/>
      <c r="U595" s="7"/>
    </row>
    <row r="596" spans="1:21" ht="15.75">
      <c r="A596" s="20" t="s">
        <v>350</v>
      </c>
      <c r="B596" s="20" t="s">
        <v>872</v>
      </c>
      <c r="C596" s="20"/>
      <c r="D596" s="44" t="s">
        <v>1026</v>
      </c>
      <c r="E596" s="20" t="s">
        <v>14</v>
      </c>
      <c r="F596" s="44" t="s">
        <v>586</v>
      </c>
      <c r="G596" s="20">
        <v>1</v>
      </c>
      <c r="H596" s="31">
        <v>4.89</v>
      </c>
      <c r="I596" s="25">
        <f t="shared" si="35"/>
        <v>278.72999999999996</v>
      </c>
      <c r="J596" s="25">
        <f t="shared" si="36"/>
        <v>334.1818018498368</v>
      </c>
      <c r="K596" s="25">
        <f t="shared" si="37"/>
        <v>348.1183018498368</v>
      </c>
      <c r="L596" s="7"/>
      <c r="M596" s="7"/>
      <c r="N596" s="7"/>
      <c r="O596" s="7"/>
      <c r="P596" s="7"/>
      <c r="Q596" s="7"/>
      <c r="R596" s="7"/>
      <c r="S596" s="7"/>
      <c r="T596" s="7"/>
      <c r="U596" s="7"/>
    </row>
    <row r="597" spans="1:9" ht="16.5" thickBot="1">
      <c r="A597" s="26" t="s">
        <v>1145</v>
      </c>
      <c r="D597" s="46"/>
      <c r="E597" s="48"/>
      <c r="F597" s="27" t="s">
        <v>1244</v>
      </c>
      <c r="G597" s="14"/>
      <c r="H597" s="50"/>
      <c r="I597" s="50"/>
    </row>
    <row r="598" spans="1:21" ht="15.75">
      <c r="A598" s="20" t="s">
        <v>463</v>
      </c>
      <c r="B598" s="20" t="s">
        <v>1095</v>
      </c>
      <c r="C598" s="20"/>
      <c r="D598" s="44" t="s">
        <v>880</v>
      </c>
      <c r="E598" s="20" t="s">
        <v>14</v>
      </c>
      <c r="F598" s="44" t="s">
        <v>881</v>
      </c>
      <c r="G598" s="20">
        <v>1</v>
      </c>
      <c r="H598" s="31">
        <f>11.99*0.7</f>
        <v>8.392999999999999</v>
      </c>
      <c r="I598" s="25">
        <f>H598*$Q$604</f>
        <v>478.40099999999995</v>
      </c>
      <c r="J598" s="25">
        <f>H598*$Q$601*$Q$604</f>
        <v>573.5680471037584</v>
      </c>
      <c r="K598" s="25">
        <f>H598*$Q$602*$Q$604</f>
        <v>597.4880971037585</v>
      </c>
      <c r="L598" s="38"/>
      <c r="M598" s="38"/>
      <c r="N598" s="38"/>
      <c r="O598" s="38"/>
      <c r="P598" s="16" t="s">
        <v>19</v>
      </c>
      <c r="Q598" s="13">
        <f>SUM(H598:H634)</f>
        <v>496.3260000000001</v>
      </c>
      <c r="R598" s="38"/>
      <c r="S598" s="38"/>
      <c r="T598" s="38"/>
      <c r="U598" s="38"/>
    </row>
    <row r="599" spans="1:21" ht="15.75">
      <c r="A599" s="20" t="s">
        <v>538</v>
      </c>
      <c r="B599" s="20" t="s">
        <v>1095</v>
      </c>
      <c r="C599" s="20"/>
      <c r="D599" s="44" t="s">
        <v>880</v>
      </c>
      <c r="E599" s="20" t="s">
        <v>12</v>
      </c>
      <c r="F599" s="44" t="s">
        <v>881</v>
      </c>
      <c r="G599" s="20">
        <v>1</v>
      </c>
      <c r="H599" s="31">
        <f>11.99*0.7</f>
        <v>8.392999999999999</v>
      </c>
      <c r="I599" s="25">
        <f aca="true" t="shared" si="38" ref="I599:I634">H599*$Q$604</f>
        <v>478.40099999999995</v>
      </c>
      <c r="J599" s="25">
        <f aca="true" t="shared" si="39" ref="J599:J634">H599*$Q$601*$Q$604</f>
        <v>573.5680471037584</v>
      </c>
      <c r="K599" s="25">
        <f aca="true" t="shared" si="40" ref="K599:K634">H599*$Q$602*$Q$604</f>
        <v>597.4880971037585</v>
      </c>
      <c r="L599" s="38"/>
      <c r="M599" s="38"/>
      <c r="N599" s="38"/>
      <c r="O599" s="38"/>
      <c r="P599" s="17" t="s">
        <v>15</v>
      </c>
      <c r="Q599" s="9">
        <v>63.99</v>
      </c>
      <c r="R599" s="38"/>
      <c r="S599" s="38"/>
      <c r="T599" s="38"/>
      <c r="U599" s="38"/>
    </row>
    <row r="600" spans="1:21" ht="15.75">
      <c r="A600" s="20" t="s">
        <v>251</v>
      </c>
      <c r="B600" s="20" t="s">
        <v>1146</v>
      </c>
      <c r="C600" s="20"/>
      <c r="D600" s="44" t="s">
        <v>1147</v>
      </c>
      <c r="E600" s="5" t="s">
        <v>7</v>
      </c>
      <c r="F600" s="44" t="s">
        <v>1148</v>
      </c>
      <c r="G600" s="20">
        <v>1</v>
      </c>
      <c r="H600" s="31">
        <v>6.99</v>
      </c>
      <c r="I600" s="25">
        <f t="shared" si="38"/>
        <v>398.43</v>
      </c>
      <c r="J600" s="25">
        <f t="shared" si="39"/>
        <v>477.68862733888614</v>
      </c>
      <c r="K600" s="25">
        <f t="shared" si="40"/>
        <v>497.6101273388862</v>
      </c>
      <c r="P600" s="18" t="s">
        <v>111</v>
      </c>
      <c r="Q600" s="56">
        <f>Q599/Q598</f>
        <v>0.12892735822826124</v>
      </c>
      <c r="U600" s="38"/>
    </row>
    <row r="601" spans="1:21" ht="15.75">
      <c r="A601" s="20" t="s">
        <v>1149</v>
      </c>
      <c r="B601" s="20"/>
      <c r="C601" s="20"/>
      <c r="D601" s="44" t="s">
        <v>1150</v>
      </c>
      <c r="E601" s="20" t="s">
        <v>13</v>
      </c>
      <c r="F601" s="44" t="s">
        <v>1151</v>
      </c>
      <c r="G601" s="20">
        <v>1</v>
      </c>
      <c r="H601" s="31">
        <v>14</v>
      </c>
      <c r="I601" s="25">
        <f t="shared" si="38"/>
        <v>798</v>
      </c>
      <c r="J601" s="25">
        <f t="shared" si="39"/>
        <v>956.7440318661527</v>
      </c>
      <c r="K601" s="25">
        <f t="shared" si="40"/>
        <v>996.6440318661525</v>
      </c>
      <c r="L601" s="38"/>
      <c r="M601" s="38"/>
      <c r="N601" s="38"/>
      <c r="O601" s="38"/>
      <c r="P601" s="17" t="s">
        <v>16</v>
      </c>
      <c r="Q601" s="10">
        <f>1+Q599/Q598+0.07</f>
        <v>1.1989273582282614</v>
      </c>
      <c r="R601" s="38"/>
      <c r="S601" s="38"/>
      <c r="T601" s="38"/>
      <c r="U601" s="38"/>
    </row>
    <row r="602" spans="1:21" ht="15.75">
      <c r="A602" s="20" t="s">
        <v>1149</v>
      </c>
      <c r="B602" s="20"/>
      <c r="C602" s="20"/>
      <c r="D602" s="44" t="s">
        <v>1152</v>
      </c>
      <c r="E602" s="20" t="s">
        <v>7</v>
      </c>
      <c r="F602" s="44" t="s">
        <v>1151</v>
      </c>
      <c r="G602" s="20">
        <v>1</v>
      </c>
      <c r="H602" s="31">
        <v>13.3</v>
      </c>
      <c r="I602" s="25">
        <f t="shared" si="38"/>
        <v>758.1</v>
      </c>
      <c r="J602" s="25">
        <f t="shared" si="39"/>
        <v>908.9068302728449</v>
      </c>
      <c r="K602" s="25">
        <f t="shared" si="40"/>
        <v>946.8118302728451</v>
      </c>
      <c r="L602" s="38"/>
      <c r="M602" s="38"/>
      <c r="N602" s="38"/>
      <c r="O602" s="38"/>
      <c r="P602" s="17" t="s">
        <v>16</v>
      </c>
      <c r="Q602" s="10">
        <f>1+Q599/Q598+0.12</f>
        <v>1.2489273582282614</v>
      </c>
      <c r="R602" s="38"/>
      <c r="S602" s="38"/>
      <c r="T602" s="38"/>
      <c r="U602" s="38"/>
    </row>
    <row r="603" spans="1:21" ht="15.75">
      <c r="A603" s="20" t="s">
        <v>463</v>
      </c>
      <c r="B603" s="20"/>
      <c r="C603" s="20"/>
      <c r="D603" s="44" t="s">
        <v>1150</v>
      </c>
      <c r="E603" s="20" t="s">
        <v>13</v>
      </c>
      <c r="F603" s="44" t="s">
        <v>1151</v>
      </c>
      <c r="G603" s="20">
        <v>1</v>
      </c>
      <c r="H603" s="31">
        <v>14</v>
      </c>
      <c r="I603" s="25">
        <f t="shared" si="38"/>
        <v>798</v>
      </c>
      <c r="J603" s="25">
        <f t="shared" si="39"/>
        <v>956.7440318661527</v>
      </c>
      <c r="K603" s="25">
        <f t="shared" si="40"/>
        <v>996.6440318661525</v>
      </c>
      <c r="L603" s="38"/>
      <c r="M603" s="38"/>
      <c r="N603" s="38"/>
      <c r="O603" s="38"/>
      <c r="P603" s="18"/>
      <c r="Q603" s="10"/>
      <c r="R603" s="38"/>
      <c r="S603" s="38"/>
      <c r="T603" s="38"/>
      <c r="U603" s="38"/>
    </row>
    <row r="604" spans="1:21" ht="16.5" thickBot="1">
      <c r="A604" s="20" t="s">
        <v>463</v>
      </c>
      <c r="B604" s="20"/>
      <c r="C604" s="20"/>
      <c r="D604" s="44" t="s">
        <v>1152</v>
      </c>
      <c r="E604" s="20" t="s">
        <v>14</v>
      </c>
      <c r="F604" s="44" t="s">
        <v>1151</v>
      </c>
      <c r="G604" s="20">
        <v>1</v>
      </c>
      <c r="H604" s="31">
        <v>13.3</v>
      </c>
      <c r="I604" s="25">
        <f t="shared" si="38"/>
        <v>758.1</v>
      </c>
      <c r="J604" s="25">
        <f t="shared" si="39"/>
        <v>908.9068302728449</v>
      </c>
      <c r="K604" s="25">
        <f t="shared" si="40"/>
        <v>946.8118302728451</v>
      </c>
      <c r="P604" s="39" t="s">
        <v>17</v>
      </c>
      <c r="Q604" s="12">
        <v>57</v>
      </c>
      <c r="U604" s="38"/>
    </row>
    <row r="605" spans="1:21" ht="15.75">
      <c r="A605" s="20" t="s">
        <v>98</v>
      </c>
      <c r="B605" s="20" t="s">
        <v>1126</v>
      </c>
      <c r="C605" s="20"/>
      <c r="D605" s="44" t="s">
        <v>1127</v>
      </c>
      <c r="E605" s="66" t="s">
        <v>1153</v>
      </c>
      <c r="F605" s="44" t="s">
        <v>1154</v>
      </c>
      <c r="G605" s="20">
        <v>1</v>
      </c>
      <c r="H605" s="31">
        <v>18.74</v>
      </c>
      <c r="I605" s="25">
        <f t="shared" si="38"/>
        <v>1068.1799999999998</v>
      </c>
      <c r="J605" s="25">
        <f t="shared" si="39"/>
        <v>1280.670225512264</v>
      </c>
      <c r="K605" s="25">
        <f t="shared" si="40"/>
        <v>1334.0792255122642</v>
      </c>
      <c r="L605" s="38"/>
      <c r="M605" s="38"/>
      <c r="N605" s="38"/>
      <c r="O605" s="38"/>
      <c r="P605" s="38"/>
      <c r="Q605" s="38"/>
      <c r="R605" s="38"/>
      <c r="S605" s="38"/>
      <c r="T605" s="38"/>
      <c r="U605" s="38"/>
    </row>
    <row r="606" spans="1:21" ht="15.75">
      <c r="A606" s="20" t="s">
        <v>1155</v>
      </c>
      <c r="B606" s="20" t="s">
        <v>1156</v>
      </c>
      <c r="C606" s="20"/>
      <c r="D606" s="44" t="s">
        <v>1157</v>
      </c>
      <c r="E606" s="20" t="s">
        <v>12</v>
      </c>
      <c r="F606" s="44" t="s">
        <v>1158</v>
      </c>
      <c r="G606" s="20">
        <v>1</v>
      </c>
      <c r="H606" s="31">
        <v>7.49</v>
      </c>
      <c r="I606" s="25">
        <f t="shared" si="38"/>
        <v>426.93</v>
      </c>
      <c r="J606" s="25">
        <f t="shared" si="39"/>
        <v>511.8580570483917</v>
      </c>
      <c r="K606" s="25">
        <f t="shared" si="40"/>
        <v>533.2045570483916</v>
      </c>
      <c r="L606" s="38"/>
      <c r="M606" s="38"/>
      <c r="N606" s="38"/>
      <c r="O606" s="38"/>
      <c r="P606" s="38"/>
      <c r="Q606" s="38"/>
      <c r="R606" s="38"/>
      <c r="S606" s="38"/>
      <c r="T606" s="38"/>
      <c r="U606" s="38"/>
    </row>
    <row r="607" spans="1:21" ht="15.75">
      <c r="A607" s="20" t="s">
        <v>223</v>
      </c>
      <c r="B607" s="20" t="s">
        <v>1159</v>
      </c>
      <c r="C607" s="20"/>
      <c r="D607" s="44" t="s">
        <v>1160</v>
      </c>
      <c r="E607" s="20" t="s">
        <v>27</v>
      </c>
      <c r="F607" s="44" t="s">
        <v>1161</v>
      </c>
      <c r="G607" s="20">
        <v>1</v>
      </c>
      <c r="H607" s="31">
        <v>43.05</v>
      </c>
      <c r="I607" s="25">
        <f t="shared" si="38"/>
        <v>2453.85</v>
      </c>
      <c r="J607" s="25">
        <f t="shared" si="39"/>
        <v>2941.987897988419</v>
      </c>
      <c r="K607" s="25">
        <f t="shared" si="40"/>
        <v>3064.680397988419</v>
      </c>
      <c r="L607" s="38"/>
      <c r="M607" s="38"/>
      <c r="N607" s="38"/>
      <c r="O607" s="38"/>
      <c r="P607" s="38"/>
      <c r="Q607" s="38"/>
      <c r="R607" s="38"/>
      <c r="S607" s="38"/>
      <c r="T607" s="38"/>
      <c r="U607" s="38"/>
    </row>
    <row r="608" spans="1:21" ht="15.75">
      <c r="A608" s="20" t="s">
        <v>597</v>
      </c>
      <c r="B608" s="20" t="s">
        <v>865</v>
      </c>
      <c r="C608" s="20"/>
      <c r="D608" s="44" t="s">
        <v>866</v>
      </c>
      <c r="E608" s="20" t="s">
        <v>7</v>
      </c>
      <c r="F608" s="44" t="s">
        <v>18</v>
      </c>
      <c r="G608" s="20">
        <v>1</v>
      </c>
      <c r="H608" s="31">
        <v>6.99</v>
      </c>
      <c r="I608" s="25">
        <f t="shared" si="38"/>
        <v>398.43</v>
      </c>
      <c r="J608" s="25">
        <f t="shared" si="39"/>
        <v>477.68862733888614</v>
      </c>
      <c r="K608" s="25">
        <f t="shared" si="40"/>
        <v>497.6101273388862</v>
      </c>
      <c r="L608" s="38"/>
      <c r="M608" s="38"/>
      <c r="N608" s="38"/>
      <c r="O608" s="38"/>
      <c r="P608" s="38"/>
      <c r="Q608" s="38"/>
      <c r="R608" s="38"/>
      <c r="S608" s="38"/>
      <c r="T608" s="38"/>
      <c r="U608" s="38"/>
    </row>
    <row r="609" spans="1:21" ht="15.75">
      <c r="A609" s="20" t="s">
        <v>653</v>
      </c>
      <c r="B609" s="20" t="s">
        <v>1162</v>
      </c>
      <c r="C609" s="20"/>
      <c r="D609" s="44" t="s">
        <v>1163</v>
      </c>
      <c r="E609" s="20" t="s">
        <v>12</v>
      </c>
      <c r="F609" s="44" t="s">
        <v>1164</v>
      </c>
      <c r="G609" s="20">
        <v>1</v>
      </c>
      <c r="H609" s="31">
        <v>5.24</v>
      </c>
      <c r="I609" s="25">
        <f t="shared" si="38"/>
        <v>298.68</v>
      </c>
      <c r="J609" s="25">
        <f t="shared" si="39"/>
        <v>358.0956233556171</v>
      </c>
      <c r="K609" s="25">
        <f t="shared" si="40"/>
        <v>373.0296233556171</v>
      </c>
      <c r="L609" s="38"/>
      <c r="M609" s="38"/>
      <c r="N609" s="38"/>
      <c r="O609" s="38"/>
      <c r="P609" s="38"/>
      <c r="Q609" s="38"/>
      <c r="R609" s="38"/>
      <c r="S609" s="38"/>
      <c r="T609" s="38"/>
      <c r="U609" s="38"/>
    </row>
    <row r="610" spans="1:21" ht="15.75">
      <c r="A610" s="20" t="s">
        <v>1155</v>
      </c>
      <c r="B610" s="20" t="s">
        <v>1162</v>
      </c>
      <c r="C610" s="20"/>
      <c r="D610" s="44" t="s">
        <v>1163</v>
      </c>
      <c r="E610" s="20" t="s">
        <v>12</v>
      </c>
      <c r="F610" s="44" t="s">
        <v>1164</v>
      </c>
      <c r="G610" s="20">
        <v>1</v>
      </c>
      <c r="H610" s="31">
        <v>5.24</v>
      </c>
      <c r="I610" s="25">
        <f t="shared" si="38"/>
        <v>298.68</v>
      </c>
      <c r="J610" s="25">
        <f t="shared" si="39"/>
        <v>358.0956233556171</v>
      </c>
      <c r="K610" s="25">
        <f t="shared" si="40"/>
        <v>373.0296233556171</v>
      </c>
      <c r="L610" s="38"/>
      <c r="M610" s="38"/>
      <c r="N610" s="38"/>
      <c r="O610" s="38"/>
      <c r="P610" s="38"/>
      <c r="Q610" s="38"/>
      <c r="R610" s="38"/>
      <c r="S610" s="38"/>
      <c r="T610" s="38"/>
      <c r="U610" s="38"/>
    </row>
    <row r="611" spans="1:20" ht="15.75">
      <c r="A611" s="20" t="s">
        <v>624</v>
      </c>
      <c r="B611" s="20" t="s">
        <v>1165</v>
      </c>
      <c r="C611" s="20"/>
      <c r="D611" s="44" t="s">
        <v>1166</v>
      </c>
      <c r="E611" s="20" t="s">
        <v>7</v>
      </c>
      <c r="F611" s="44" t="s">
        <v>1167</v>
      </c>
      <c r="G611" s="20">
        <v>1</v>
      </c>
      <c r="H611" s="31">
        <v>29.99</v>
      </c>
      <c r="I611" s="25">
        <f t="shared" si="38"/>
        <v>1709.4299999999998</v>
      </c>
      <c r="J611" s="25">
        <f t="shared" si="39"/>
        <v>2049.482393976137</v>
      </c>
      <c r="K611" s="25">
        <f t="shared" si="40"/>
        <v>2134.953893976137</v>
      </c>
      <c r="L611" s="38"/>
      <c r="M611" s="38"/>
      <c r="N611" s="38"/>
      <c r="O611" s="38"/>
      <c r="P611" s="38"/>
      <c r="Q611" s="38"/>
      <c r="R611" s="38"/>
      <c r="S611" s="38"/>
      <c r="T611" s="38"/>
    </row>
    <row r="612" spans="1:20" ht="15.75">
      <c r="A612" s="20" t="s">
        <v>624</v>
      </c>
      <c r="B612" s="20" t="s">
        <v>1168</v>
      </c>
      <c r="C612" s="20"/>
      <c r="D612" s="44" t="s">
        <v>1169</v>
      </c>
      <c r="E612" s="66" t="s">
        <v>1153</v>
      </c>
      <c r="F612" s="44" t="s">
        <v>1170</v>
      </c>
      <c r="G612" s="20">
        <v>1</v>
      </c>
      <c r="H612" s="31">
        <v>29.24</v>
      </c>
      <c r="I612" s="25">
        <f t="shared" si="38"/>
        <v>1666.6799999999998</v>
      </c>
      <c r="J612" s="25">
        <f t="shared" si="39"/>
        <v>1998.2282494118788</v>
      </c>
      <c r="K612" s="25">
        <f t="shared" si="40"/>
        <v>2081.5622494118784</v>
      </c>
      <c r="L612" s="38"/>
      <c r="M612" s="38"/>
      <c r="N612" s="38"/>
      <c r="O612" s="38"/>
      <c r="P612" s="38"/>
      <c r="Q612" s="38"/>
      <c r="R612" s="38"/>
      <c r="S612" s="38"/>
      <c r="T612" s="38"/>
    </row>
    <row r="613" spans="1:20" ht="15.75">
      <c r="A613" s="20" t="s">
        <v>510</v>
      </c>
      <c r="B613" s="20" t="s">
        <v>1171</v>
      </c>
      <c r="C613" s="20"/>
      <c r="D613" s="44" t="s">
        <v>1172</v>
      </c>
      <c r="E613" s="20" t="s">
        <v>7</v>
      </c>
      <c r="F613" s="44" t="s">
        <v>1173</v>
      </c>
      <c r="G613" s="20">
        <v>1</v>
      </c>
      <c r="H613" s="31">
        <v>22.49</v>
      </c>
      <c r="I613" s="25">
        <f t="shared" si="38"/>
        <v>1281.9299999999998</v>
      </c>
      <c r="J613" s="25">
        <f t="shared" si="39"/>
        <v>1536.940948333555</v>
      </c>
      <c r="K613" s="25">
        <f t="shared" si="40"/>
        <v>1601.037448333555</v>
      </c>
      <c r="L613" s="38"/>
      <c r="M613" s="38"/>
      <c r="N613" s="38"/>
      <c r="O613" s="38"/>
      <c r="P613" s="38"/>
      <c r="Q613" s="38"/>
      <c r="R613" s="38"/>
      <c r="S613" s="38"/>
      <c r="T613" s="38"/>
    </row>
    <row r="614" spans="1:20" ht="15.75">
      <c r="A614" s="20" t="s">
        <v>1174</v>
      </c>
      <c r="B614" s="7" t="s">
        <v>1097</v>
      </c>
      <c r="C614" s="20"/>
      <c r="D614" s="44" t="s">
        <v>842</v>
      </c>
      <c r="E614" s="66" t="s">
        <v>1175</v>
      </c>
      <c r="F614" s="44" t="s">
        <v>1176</v>
      </c>
      <c r="G614" s="20">
        <v>1</v>
      </c>
      <c r="H614" s="31">
        <v>18.74</v>
      </c>
      <c r="I614" s="25">
        <f t="shared" si="38"/>
        <v>1068.1799999999998</v>
      </c>
      <c r="J614" s="25">
        <f t="shared" si="39"/>
        <v>1280.670225512264</v>
      </c>
      <c r="K614" s="25">
        <f t="shared" si="40"/>
        <v>1334.0792255122642</v>
      </c>
      <c r="L614" s="38"/>
      <c r="M614" s="38"/>
      <c r="N614" s="38"/>
      <c r="O614" s="38"/>
      <c r="P614" s="38"/>
      <c r="Q614" s="38"/>
      <c r="R614" s="38"/>
      <c r="S614" s="38"/>
      <c r="T614" s="38"/>
    </row>
    <row r="615" spans="1:20" ht="15.75">
      <c r="A615" s="20" t="s">
        <v>1174</v>
      </c>
      <c r="B615" s="7" t="s">
        <v>1177</v>
      </c>
      <c r="C615" s="20"/>
      <c r="D615" s="44" t="s">
        <v>1178</v>
      </c>
      <c r="E615" s="20" t="s">
        <v>7</v>
      </c>
      <c r="F615" s="44" t="s">
        <v>1179</v>
      </c>
      <c r="G615" s="20">
        <v>1</v>
      </c>
      <c r="H615" s="31">
        <v>29.99</v>
      </c>
      <c r="I615" s="25">
        <f t="shared" si="38"/>
        <v>1709.4299999999998</v>
      </c>
      <c r="J615" s="25">
        <f t="shared" si="39"/>
        <v>2049.482393976137</v>
      </c>
      <c r="K615" s="25">
        <f t="shared" si="40"/>
        <v>2134.953893976137</v>
      </c>
      <c r="L615" s="38"/>
      <c r="M615" s="38"/>
      <c r="N615" s="38"/>
      <c r="O615" s="38"/>
      <c r="P615" s="38"/>
      <c r="Q615" s="38"/>
      <c r="R615" s="38"/>
      <c r="S615" s="38"/>
      <c r="T615" s="38"/>
    </row>
    <row r="616" spans="1:20" ht="15.75">
      <c r="A616" s="20" t="s">
        <v>79</v>
      </c>
      <c r="B616" s="20" t="s">
        <v>1156</v>
      </c>
      <c r="C616" s="20"/>
      <c r="D616" s="44" t="s">
        <v>1180</v>
      </c>
      <c r="E616" s="20" t="s">
        <v>12</v>
      </c>
      <c r="F616" s="44" t="s">
        <v>1181</v>
      </c>
      <c r="G616" s="20">
        <v>1</v>
      </c>
      <c r="H616" s="31">
        <v>7.49</v>
      </c>
      <c r="I616" s="25">
        <f t="shared" si="38"/>
        <v>426.93</v>
      </c>
      <c r="J616" s="25">
        <f t="shared" si="39"/>
        <v>511.8580570483917</v>
      </c>
      <c r="K616" s="25">
        <f t="shared" si="40"/>
        <v>533.2045570483916</v>
      </c>
      <c r="L616" s="38"/>
      <c r="M616" s="38"/>
      <c r="N616" s="38"/>
      <c r="O616" s="38"/>
      <c r="P616" s="38"/>
      <c r="Q616" s="38"/>
      <c r="R616" s="38"/>
      <c r="S616" s="38"/>
      <c r="T616" s="38"/>
    </row>
    <row r="617" spans="1:20" ht="15.75">
      <c r="A617" s="20" t="s">
        <v>350</v>
      </c>
      <c r="B617" s="20" t="s">
        <v>1156</v>
      </c>
      <c r="C617" s="20"/>
      <c r="D617" s="44" t="s">
        <v>1180</v>
      </c>
      <c r="E617" s="20" t="s">
        <v>7</v>
      </c>
      <c r="F617" s="44" t="s">
        <v>1181</v>
      </c>
      <c r="G617" s="20">
        <v>1</v>
      </c>
      <c r="H617" s="31">
        <v>7.49</v>
      </c>
      <c r="I617" s="25">
        <f t="shared" si="38"/>
        <v>426.93</v>
      </c>
      <c r="J617" s="25">
        <f t="shared" si="39"/>
        <v>511.8580570483917</v>
      </c>
      <c r="K617" s="25">
        <f t="shared" si="40"/>
        <v>533.2045570483916</v>
      </c>
      <c r="L617" s="38"/>
      <c r="M617" s="38"/>
      <c r="N617" s="38"/>
      <c r="O617" s="38"/>
      <c r="P617" s="38"/>
      <c r="Q617" s="38"/>
      <c r="R617" s="38"/>
      <c r="S617" s="38"/>
      <c r="T617" s="38"/>
    </row>
    <row r="618" spans="1:11" ht="15.75">
      <c r="A618" s="20" t="s">
        <v>297</v>
      </c>
      <c r="B618" s="20" t="s">
        <v>1182</v>
      </c>
      <c r="C618" s="20"/>
      <c r="D618" s="44" t="s">
        <v>1183</v>
      </c>
      <c r="E618" s="20" t="s">
        <v>7</v>
      </c>
      <c r="F618" s="44" t="s">
        <v>1184</v>
      </c>
      <c r="G618" s="20">
        <v>1</v>
      </c>
      <c r="H618" s="31">
        <v>12.74</v>
      </c>
      <c r="I618" s="25">
        <f t="shared" si="38"/>
        <v>726.1800000000001</v>
      </c>
      <c r="J618" s="25">
        <f t="shared" si="39"/>
        <v>870.6370689981989</v>
      </c>
      <c r="K618" s="25">
        <f t="shared" si="40"/>
        <v>906.9460689981989</v>
      </c>
    </row>
    <row r="619" spans="1:11" ht="15.75">
      <c r="A619" s="20" t="s">
        <v>297</v>
      </c>
      <c r="B619" s="20" t="s">
        <v>1185</v>
      </c>
      <c r="C619" s="20"/>
      <c r="D619" s="44" t="s">
        <v>1186</v>
      </c>
      <c r="E619" s="20" t="s">
        <v>7</v>
      </c>
      <c r="F619" s="44" t="s">
        <v>1187</v>
      </c>
      <c r="G619" s="20">
        <v>1</v>
      </c>
      <c r="H619" s="31">
        <v>12.74</v>
      </c>
      <c r="I619" s="25">
        <f t="shared" si="38"/>
        <v>726.1800000000001</v>
      </c>
      <c r="J619" s="25">
        <f t="shared" si="39"/>
        <v>870.6370689981989</v>
      </c>
      <c r="K619" s="25">
        <f t="shared" si="40"/>
        <v>906.9460689981989</v>
      </c>
    </row>
    <row r="620" spans="1:11" ht="15.75">
      <c r="A620" s="20" t="s">
        <v>297</v>
      </c>
      <c r="B620" s="20" t="s">
        <v>1188</v>
      </c>
      <c r="C620" s="20"/>
      <c r="D620" s="44" t="s">
        <v>1189</v>
      </c>
      <c r="E620" s="20" t="s">
        <v>7</v>
      </c>
      <c r="F620" s="44" t="s">
        <v>1190</v>
      </c>
      <c r="G620" s="20">
        <v>1</v>
      </c>
      <c r="H620" s="31">
        <v>14.99</v>
      </c>
      <c r="I620" s="25">
        <f t="shared" si="38"/>
        <v>854.4300000000001</v>
      </c>
      <c r="J620" s="25">
        <f t="shared" si="39"/>
        <v>1024.3995026909733</v>
      </c>
      <c r="K620" s="25">
        <f t="shared" si="40"/>
        <v>1067.1210026909735</v>
      </c>
    </row>
    <row r="621" spans="1:11" ht="15.75">
      <c r="A621" s="20" t="s">
        <v>1191</v>
      </c>
      <c r="B621" s="20" t="s">
        <v>1192</v>
      </c>
      <c r="C621" s="20"/>
      <c r="D621" s="44" t="s">
        <v>1193</v>
      </c>
      <c r="E621" s="20" t="s">
        <v>7</v>
      </c>
      <c r="F621" s="44" t="s">
        <v>18</v>
      </c>
      <c r="G621" s="20">
        <v>1</v>
      </c>
      <c r="H621" s="31">
        <v>29.4</v>
      </c>
      <c r="I621" s="25">
        <f t="shared" si="38"/>
        <v>1675.8</v>
      </c>
      <c r="J621" s="25">
        <f t="shared" si="39"/>
        <v>2009.1624669189202</v>
      </c>
      <c r="K621" s="25">
        <f t="shared" si="40"/>
        <v>2092.95246691892</v>
      </c>
    </row>
    <row r="622" spans="1:20" ht="15.75">
      <c r="A622" s="20" t="s">
        <v>251</v>
      </c>
      <c r="B622" s="5" t="s">
        <v>1156</v>
      </c>
      <c r="C622" s="20"/>
      <c r="D622" s="44" t="s">
        <v>1180</v>
      </c>
      <c r="E622" s="5" t="s">
        <v>7</v>
      </c>
      <c r="F622" s="44" t="s">
        <v>1194</v>
      </c>
      <c r="G622" s="20">
        <v>1</v>
      </c>
      <c r="H622" s="31">
        <v>7.49</v>
      </c>
      <c r="I622" s="25">
        <f t="shared" si="38"/>
        <v>426.93</v>
      </c>
      <c r="J622" s="25">
        <f t="shared" si="39"/>
        <v>511.8580570483917</v>
      </c>
      <c r="K622" s="25">
        <f t="shared" si="40"/>
        <v>533.2045570483916</v>
      </c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5.75">
      <c r="A623" s="20" t="s">
        <v>538</v>
      </c>
      <c r="B623" s="5" t="s">
        <v>1156</v>
      </c>
      <c r="C623" s="20"/>
      <c r="D623" s="44" t="s">
        <v>1180</v>
      </c>
      <c r="E623" s="5" t="s">
        <v>7</v>
      </c>
      <c r="F623" s="44" t="s">
        <v>1194</v>
      </c>
      <c r="G623" s="20">
        <v>1</v>
      </c>
      <c r="H623" s="31">
        <v>7.49</v>
      </c>
      <c r="I623" s="25">
        <f t="shared" si="38"/>
        <v>426.93</v>
      </c>
      <c r="J623" s="25">
        <f t="shared" si="39"/>
        <v>511.8580570483917</v>
      </c>
      <c r="K623" s="25">
        <f t="shared" si="40"/>
        <v>533.2045570483916</v>
      </c>
      <c r="L623" s="7"/>
      <c r="M623" s="7"/>
      <c r="N623" s="7"/>
      <c r="O623" s="7"/>
      <c r="P623" s="7"/>
      <c r="Q623" s="7"/>
      <c r="R623" s="7"/>
      <c r="S623" s="7"/>
      <c r="T623" s="7"/>
    </row>
    <row r="624" spans="1:11" ht="15.75">
      <c r="A624" s="20" t="s">
        <v>1155</v>
      </c>
      <c r="B624" s="20" t="s">
        <v>1162</v>
      </c>
      <c r="C624" s="20"/>
      <c r="D624" s="44" t="s">
        <v>1163</v>
      </c>
      <c r="E624" s="20" t="s">
        <v>12</v>
      </c>
      <c r="F624" s="44" t="s">
        <v>1195</v>
      </c>
      <c r="G624" s="20">
        <v>1</v>
      </c>
      <c r="H624" s="31">
        <v>5.24</v>
      </c>
      <c r="I624" s="25">
        <f t="shared" si="38"/>
        <v>298.68</v>
      </c>
      <c r="J624" s="25">
        <f t="shared" si="39"/>
        <v>358.0956233556171</v>
      </c>
      <c r="K624" s="25">
        <f t="shared" si="40"/>
        <v>373.0296233556171</v>
      </c>
    </row>
    <row r="625" spans="1:11" ht="15.75">
      <c r="A625" s="20" t="s">
        <v>631</v>
      </c>
      <c r="B625" s="20" t="s">
        <v>1162</v>
      </c>
      <c r="C625" s="20"/>
      <c r="D625" s="44" t="s">
        <v>1163</v>
      </c>
      <c r="E625" s="20" t="s">
        <v>12</v>
      </c>
      <c r="F625" s="44" t="s">
        <v>1195</v>
      </c>
      <c r="G625" s="20">
        <v>1</v>
      </c>
      <c r="H625" s="31">
        <v>5.24</v>
      </c>
      <c r="I625" s="25">
        <f t="shared" si="38"/>
        <v>298.68</v>
      </c>
      <c r="J625" s="25">
        <f t="shared" si="39"/>
        <v>358.0956233556171</v>
      </c>
      <c r="K625" s="25">
        <f t="shared" si="40"/>
        <v>373.0296233556171</v>
      </c>
    </row>
    <row r="626" spans="1:11" ht="15.75">
      <c r="A626" s="20" t="s">
        <v>1149</v>
      </c>
      <c r="B626" s="20"/>
      <c r="C626" s="20"/>
      <c r="D626" s="44" t="s">
        <v>1196</v>
      </c>
      <c r="E626" s="20" t="s">
        <v>13</v>
      </c>
      <c r="F626" s="44" t="s">
        <v>1197</v>
      </c>
      <c r="G626" s="20">
        <v>1</v>
      </c>
      <c r="H626" s="31">
        <v>20.65</v>
      </c>
      <c r="I626" s="25">
        <f t="shared" si="38"/>
        <v>1177.05</v>
      </c>
      <c r="J626" s="25">
        <f t="shared" si="39"/>
        <v>1411.197447002575</v>
      </c>
      <c r="K626" s="25">
        <f t="shared" si="40"/>
        <v>1470.049947002575</v>
      </c>
    </row>
    <row r="627" spans="1:11" ht="15.75">
      <c r="A627" s="20" t="s">
        <v>1149</v>
      </c>
      <c r="B627" s="20"/>
      <c r="C627" s="20"/>
      <c r="D627" s="44" t="s">
        <v>1198</v>
      </c>
      <c r="E627" s="20" t="s">
        <v>13</v>
      </c>
      <c r="F627" s="44" t="s">
        <v>1199</v>
      </c>
      <c r="G627" s="20">
        <v>1</v>
      </c>
      <c r="H627" s="31">
        <v>14</v>
      </c>
      <c r="I627" s="25">
        <f t="shared" si="38"/>
        <v>798</v>
      </c>
      <c r="J627" s="25">
        <f t="shared" si="39"/>
        <v>956.7440318661527</v>
      </c>
      <c r="K627" s="25">
        <f t="shared" si="40"/>
        <v>996.6440318661525</v>
      </c>
    </row>
    <row r="628" spans="1:11" ht="15.75">
      <c r="A628" s="20" t="s">
        <v>1149</v>
      </c>
      <c r="B628" s="20"/>
      <c r="C628" s="20"/>
      <c r="D628" s="44" t="s">
        <v>1058</v>
      </c>
      <c r="E628" s="20" t="s">
        <v>7</v>
      </c>
      <c r="F628" s="44" t="s">
        <v>1200</v>
      </c>
      <c r="G628" s="20">
        <v>1</v>
      </c>
      <c r="H628" s="31">
        <v>11.2</v>
      </c>
      <c r="I628" s="25">
        <f t="shared" si="38"/>
        <v>638.4</v>
      </c>
      <c r="J628" s="25">
        <f t="shared" si="39"/>
        <v>765.395225492922</v>
      </c>
      <c r="K628" s="25">
        <f t="shared" si="40"/>
        <v>797.3152254929221</v>
      </c>
    </row>
    <row r="629" spans="1:11" ht="15.75">
      <c r="A629" s="20" t="s">
        <v>251</v>
      </c>
      <c r="B629" s="45" t="s">
        <v>1201</v>
      </c>
      <c r="C629" s="20"/>
      <c r="D629" s="44" t="s">
        <v>1202</v>
      </c>
      <c r="E629" s="66" t="s">
        <v>1153</v>
      </c>
      <c r="F629" s="44" t="s">
        <v>1203</v>
      </c>
      <c r="G629" s="20">
        <v>1</v>
      </c>
      <c r="H629" s="31">
        <v>18.74</v>
      </c>
      <c r="I629" s="25">
        <f t="shared" si="38"/>
        <v>1068.1799999999998</v>
      </c>
      <c r="J629" s="25">
        <f t="shared" si="39"/>
        <v>1280.670225512264</v>
      </c>
      <c r="K629" s="25">
        <f t="shared" si="40"/>
        <v>1334.0792255122642</v>
      </c>
    </row>
    <row r="630" spans="1:11" ht="15.75">
      <c r="A630" s="20" t="s">
        <v>545</v>
      </c>
      <c r="B630" s="20" t="s">
        <v>1162</v>
      </c>
      <c r="C630" s="20"/>
      <c r="D630" s="44" t="s">
        <v>1204</v>
      </c>
      <c r="E630" s="20" t="s">
        <v>12</v>
      </c>
      <c r="F630" s="44" t="s">
        <v>1205</v>
      </c>
      <c r="G630" s="20">
        <v>1</v>
      </c>
      <c r="H630" s="31">
        <v>5.24</v>
      </c>
      <c r="I630" s="25">
        <f t="shared" si="38"/>
        <v>298.68</v>
      </c>
      <c r="J630" s="25">
        <f t="shared" si="39"/>
        <v>358.0956233556171</v>
      </c>
      <c r="K630" s="25">
        <f t="shared" si="40"/>
        <v>373.0296233556171</v>
      </c>
    </row>
    <row r="631" spans="1:11" ht="15.75">
      <c r="A631" s="99" t="s">
        <v>538</v>
      </c>
      <c r="B631" s="20" t="s">
        <v>1162</v>
      </c>
      <c r="C631" s="20"/>
      <c r="D631" s="44" t="s">
        <v>1204</v>
      </c>
      <c r="E631" s="20" t="s">
        <v>12</v>
      </c>
      <c r="F631" s="44" t="s">
        <v>1205</v>
      </c>
      <c r="G631" s="20">
        <v>1</v>
      </c>
      <c r="H631" s="31">
        <v>5.24</v>
      </c>
      <c r="I631" s="25">
        <f t="shared" si="38"/>
        <v>298.68</v>
      </c>
      <c r="J631" s="25">
        <f t="shared" si="39"/>
        <v>358.0956233556171</v>
      </c>
      <c r="K631" s="25">
        <f t="shared" si="40"/>
        <v>373.0296233556171</v>
      </c>
    </row>
    <row r="632" spans="1:11" ht="15.75">
      <c r="A632" s="99" t="s">
        <v>538</v>
      </c>
      <c r="B632" s="20" t="s">
        <v>1162</v>
      </c>
      <c r="C632" s="20"/>
      <c r="D632" s="44" t="s">
        <v>1204</v>
      </c>
      <c r="E632" s="20" t="s">
        <v>12</v>
      </c>
      <c r="F632" s="44" t="s">
        <v>1205</v>
      </c>
      <c r="G632" s="20">
        <v>1</v>
      </c>
      <c r="H632" s="31">
        <v>5.24</v>
      </c>
      <c r="I632" s="25">
        <f t="shared" si="38"/>
        <v>298.68</v>
      </c>
      <c r="J632" s="25">
        <f t="shared" si="39"/>
        <v>358.0956233556171</v>
      </c>
      <c r="K632" s="25">
        <f t="shared" si="40"/>
        <v>373.0296233556171</v>
      </c>
    </row>
    <row r="633" spans="1:11" ht="15.75">
      <c r="A633" s="20" t="s">
        <v>908</v>
      </c>
      <c r="B633" s="20" t="s">
        <v>1162</v>
      </c>
      <c r="C633" s="20"/>
      <c r="D633" s="44" t="s">
        <v>1204</v>
      </c>
      <c r="E633" s="20" t="s">
        <v>12</v>
      </c>
      <c r="F633" s="44" t="s">
        <v>1205</v>
      </c>
      <c r="G633" s="20">
        <v>1</v>
      </c>
      <c r="H633" s="31">
        <v>5.24</v>
      </c>
      <c r="I633" s="25">
        <f t="shared" si="38"/>
        <v>298.68</v>
      </c>
      <c r="J633" s="25">
        <f t="shared" si="39"/>
        <v>358.0956233556171</v>
      </c>
      <c r="K633" s="25">
        <f t="shared" si="40"/>
        <v>373.0296233556171</v>
      </c>
    </row>
    <row r="634" spans="1:20" ht="15.75">
      <c r="A634" s="20" t="s">
        <v>350</v>
      </c>
      <c r="B634" s="20" t="s">
        <v>1143</v>
      </c>
      <c r="C634" s="20"/>
      <c r="D634" s="44" t="s">
        <v>1041</v>
      </c>
      <c r="E634" s="45" t="s">
        <v>12</v>
      </c>
      <c r="F634" s="44" t="s">
        <v>18</v>
      </c>
      <c r="G634" s="20">
        <v>1</v>
      </c>
      <c r="H634" s="53">
        <v>4.89</v>
      </c>
      <c r="I634" s="25">
        <f t="shared" si="38"/>
        <v>278.72999999999996</v>
      </c>
      <c r="J634" s="25">
        <f t="shared" si="39"/>
        <v>334.17702255896324</v>
      </c>
      <c r="K634" s="25">
        <f t="shared" si="40"/>
        <v>348.11352255896327</v>
      </c>
      <c r="L634" s="38"/>
      <c r="M634" s="38"/>
      <c r="N634" s="38"/>
      <c r="O634" s="38"/>
      <c r="P634" s="38"/>
      <c r="Q634" s="38"/>
      <c r="R634" s="38"/>
      <c r="S634" s="38"/>
      <c r="T634" s="38"/>
    </row>
    <row r="635" spans="1:6" ht="16.5" thickBot="1">
      <c r="A635" s="26" t="s">
        <v>1206</v>
      </c>
      <c r="F635" s="27" t="s">
        <v>1245</v>
      </c>
    </row>
    <row r="636" spans="1:17" ht="15.75">
      <c r="A636" s="20" t="s">
        <v>223</v>
      </c>
      <c r="B636" s="14" t="s">
        <v>1207</v>
      </c>
      <c r="D636" s="46" t="s">
        <v>1208</v>
      </c>
      <c r="E636" s="6" t="s">
        <v>13</v>
      </c>
      <c r="F636" s="6" t="s">
        <v>1209</v>
      </c>
      <c r="G636" s="22">
        <v>1</v>
      </c>
      <c r="H636" s="50">
        <v>14.99</v>
      </c>
      <c r="I636" s="25">
        <f aca="true" t="shared" si="41" ref="I636:I641">H636*$Q$642</f>
        <v>854.4300000000001</v>
      </c>
      <c r="J636" s="25">
        <f aca="true" t="shared" si="42" ref="J636:J641">H636*$Q$639*$Q$642</f>
        <v>1024.3010451053806</v>
      </c>
      <c r="K636" s="25">
        <f aca="true" t="shared" si="43" ref="K636:K641">H636*$Q$640*$Q$642</f>
        <v>1067.0225451053807</v>
      </c>
      <c r="P636" s="16" t="s">
        <v>19</v>
      </c>
      <c r="Q636" s="13">
        <f>SUM(H636:H703)</f>
        <v>496.7700000000003</v>
      </c>
    </row>
    <row r="637" spans="1:17" ht="15.75">
      <c r="A637" s="20" t="s">
        <v>350</v>
      </c>
      <c r="B637" s="14" t="s">
        <v>1210</v>
      </c>
      <c r="D637" s="46" t="s">
        <v>1211</v>
      </c>
      <c r="E637" s="6" t="s">
        <v>257</v>
      </c>
      <c r="F637" s="6" t="s">
        <v>724</v>
      </c>
      <c r="G637" s="22">
        <v>1</v>
      </c>
      <c r="H637" s="50">
        <v>14.99</v>
      </c>
      <c r="I637" s="25">
        <f t="shared" si="41"/>
        <v>854.4300000000001</v>
      </c>
      <c r="J637" s="25">
        <f t="shared" si="42"/>
        <v>1024.3010451053806</v>
      </c>
      <c r="K637" s="25">
        <f t="shared" si="43"/>
        <v>1067.0225451053807</v>
      </c>
      <c r="P637" s="17" t="s">
        <v>15</v>
      </c>
      <c r="Q637" s="9">
        <v>63.99</v>
      </c>
    </row>
    <row r="638" spans="1:17" ht="15.75">
      <c r="A638" s="20" t="s">
        <v>1125</v>
      </c>
      <c r="B638" s="14" t="s">
        <v>1162</v>
      </c>
      <c r="D638" s="46" t="s">
        <v>1163</v>
      </c>
      <c r="E638" s="6" t="s">
        <v>7</v>
      </c>
      <c r="F638" s="6" t="s">
        <v>1212</v>
      </c>
      <c r="G638" s="22">
        <v>1</v>
      </c>
      <c r="H638" s="50">
        <v>5.24</v>
      </c>
      <c r="I638" s="25">
        <f t="shared" si="41"/>
        <v>298.68</v>
      </c>
      <c r="J638" s="25">
        <f t="shared" si="42"/>
        <v>358.0612058940757</v>
      </c>
      <c r="K638" s="25">
        <f t="shared" si="43"/>
        <v>372.9952058940757</v>
      </c>
      <c r="P638" s="18" t="s">
        <v>111</v>
      </c>
      <c r="Q638" s="56">
        <f>Q637/Q636</f>
        <v>0.12881212633613132</v>
      </c>
    </row>
    <row r="639" spans="1:17" ht="15.75">
      <c r="A639" s="22" t="s">
        <v>1213</v>
      </c>
      <c r="B639" s="14" t="s">
        <v>1162</v>
      </c>
      <c r="D639" s="46" t="s">
        <v>1163</v>
      </c>
      <c r="E639" s="6" t="s">
        <v>7</v>
      </c>
      <c r="F639" s="6" t="s">
        <v>1212</v>
      </c>
      <c r="G639" s="22">
        <v>1</v>
      </c>
      <c r="H639" s="50">
        <v>5.24</v>
      </c>
      <c r="I639" s="25">
        <f t="shared" si="41"/>
        <v>298.68</v>
      </c>
      <c r="J639" s="25">
        <f t="shared" si="42"/>
        <v>358.0612058940757</v>
      </c>
      <c r="K639" s="25">
        <f t="shared" si="43"/>
        <v>372.9952058940757</v>
      </c>
      <c r="P639" s="17" t="s">
        <v>16</v>
      </c>
      <c r="Q639" s="10">
        <f>1+Q637/Q636+0.07</f>
        <v>1.1988121263361313</v>
      </c>
    </row>
    <row r="640" spans="1:17" ht="15.75">
      <c r="A640" s="22" t="s">
        <v>115</v>
      </c>
      <c r="B640" s="14" t="s">
        <v>1162</v>
      </c>
      <c r="D640" s="46" t="s">
        <v>1163</v>
      </c>
      <c r="E640" s="6" t="s">
        <v>7</v>
      </c>
      <c r="F640" s="6" t="s">
        <v>1212</v>
      </c>
      <c r="G640" s="22">
        <v>1</v>
      </c>
      <c r="H640" s="50">
        <v>5.24</v>
      </c>
      <c r="I640" s="25">
        <f t="shared" si="41"/>
        <v>298.68</v>
      </c>
      <c r="J640" s="25">
        <f t="shared" si="42"/>
        <v>358.0612058940757</v>
      </c>
      <c r="K640" s="25">
        <f t="shared" si="43"/>
        <v>372.9952058940757</v>
      </c>
      <c r="P640" s="17" t="s">
        <v>16</v>
      </c>
      <c r="Q640" s="10">
        <f>1+Q637/Q636+0.12</f>
        <v>1.2488121263361314</v>
      </c>
    </row>
    <row r="641" spans="1:17" ht="15.75">
      <c r="A641" s="99" t="s">
        <v>538</v>
      </c>
      <c r="B641" s="14" t="s">
        <v>1162</v>
      </c>
      <c r="D641" s="46" t="s">
        <v>1163</v>
      </c>
      <c r="E641" s="6" t="s">
        <v>7</v>
      </c>
      <c r="F641" s="6" t="s">
        <v>1212</v>
      </c>
      <c r="G641" s="22">
        <v>1</v>
      </c>
      <c r="H641" s="50">
        <v>5.24</v>
      </c>
      <c r="I641" s="25">
        <f t="shared" si="41"/>
        <v>298.68</v>
      </c>
      <c r="J641" s="25">
        <f t="shared" si="42"/>
        <v>358.0612058940757</v>
      </c>
      <c r="K641" s="25">
        <f t="shared" si="43"/>
        <v>372.9952058940757</v>
      </c>
      <c r="P641" s="18"/>
      <c r="Q641" s="10"/>
    </row>
    <row r="642" spans="1:17" ht="16.5" thickBot="1">
      <c r="A642" s="20" t="s">
        <v>1029</v>
      </c>
      <c r="B642" s="22" t="s">
        <v>1097</v>
      </c>
      <c r="D642" s="46" t="s">
        <v>842</v>
      </c>
      <c r="E642" s="6" t="s">
        <v>1214</v>
      </c>
      <c r="F642" s="6" t="s">
        <v>1098</v>
      </c>
      <c r="G642" s="22">
        <v>1</v>
      </c>
      <c r="H642" s="50">
        <v>18.74</v>
      </c>
      <c r="I642" s="25">
        <f>H642*$Q$642</f>
        <v>1068.1799999999998</v>
      </c>
      <c r="J642" s="25">
        <f>H642*$Q$639*$Q$642</f>
        <v>1280.5471371097285</v>
      </c>
      <c r="K642" s="25">
        <f>H642*$Q$640*$Q$642</f>
        <v>1333.9561371097286</v>
      </c>
      <c r="P642" s="39" t="s">
        <v>17</v>
      </c>
      <c r="Q642" s="12">
        <v>57</v>
      </c>
    </row>
    <row r="643" spans="1:11" ht="15.75">
      <c r="A643" s="20" t="s">
        <v>1125</v>
      </c>
      <c r="B643" s="14" t="s">
        <v>1162</v>
      </c>
      <c r="D643" s="46" t="s">
        <v>1163</v>
      </c>
      <c r="E643" s="6" t="s">
        <v>7</v>
      </c>
      <c r="F643" s="6" t="s">
        <v>1215</v>
      </c>
      <c r="G643" s="22">
        <v>1</v>
      </c>
      <c r="H643" s="50">
        <v>5.24</v>
      </c>
      <c r="I643" s="25">
        <f>H643*$Q$642</f>
        <v>298.68</v>
      </c>
      <c r="J643" s="25">
        <f>H643*$Q$639*$Q$642</f>
        <v>358.0612058940757</v>
      </c>
      <c r="K643" s="25">
        <f>H643*$Q$640*$Q$642</f>
        <v>372.9952058940757</v>
      </c>
    </row>
    <row r="644" spans="1:11" ht="15.75">
      <c r="A644" s="20" t="s">
        <v>510</v>
      </c>
      <c r="B644" s="14" t="s">
        <v>1162</v>
      </c>
      <c r="D644" s="46" t="s">
        <v>1163</v>
      </c>
      <c r="E644" s="6" t="s">
        <v>7</v>
      </c>
      <c r="F644" s="6" t="s">
        <v>1215</v>
      </c>
      <c r="G644" s="22">
        <v>1</v>
      </c>
      <c r="H644" s="50">
        <v>5.24</v>
      </c>
      <c r="I644" s="25">
        <f aca="true" t="shared" si="44" ref="I644:I703">H644*$Q$642</f>
        <v>298.68</v>
      </c>
      <c r="J644" s="25">
        <f aca="true" t="shared" si="45" ref="J644:J703">H644*$Q$639*$Q$642</f>
        <v>358.0612058940757</v>
      </c>
      <c r="K644" s="25">
        <f aca="true" t="shared" si="46" ref="K644:K703">H644*$Q$640*$Q$642</f>
        <v>372.9952058940757</v>
      </c>
    </row>
    <row r="645" spans="1:11" ht="15.75">
      <c r="A645" s="20" t="s">
        <v>1174</v>
      </c>
      <c r="B645" s="14" t="s">
        <v>1162</v>
      </c>
      <c r="D645" s="46" t="s">
        <v>1163</v>
      </c>
      <c r="E645" s="6" t="s">
        <v>7</v>
      </c>
      <c r="F645" s="6" t="s">
        <v>1215</v>
      </c>
      <c r="G645" s="22">
        <v>1</v>
      </c>
      <c r="H645" s="50">
        <v>5.24</v>
      </c>
      <c r="I645" s="25">
        <f t="shared" si="44"/>
        <v>298.68</v>
      </c>
      <c r="J645" s="25">
        <f t="shared" si="45"/>
        <v>358.0612058940757</v>
      </c>
      <c r="K645" s="25">
        <f t="shared" si="46"/>
        <v>372.9952058940757</v>
      </c>
    </row>
    <row r="646" spans="1:11" ht="15.75">
      <c r="A646" s="22" t="s">
        <v>115</v>
      </c>
      <c r="B646" s="14" t="s">
        <v>1162</v>
      </c>
      <c r="D646" s="46" t="s">
        <v>1163</v>
      </c>
      <c r="E646" s="6" t="s">
        <v>7</v>
      </c>
      <c r="F646" s="6" t="s">
        <v>1215</v>
      </c>
      <c r="G646" s="22">
        <v>1</v>
      </c>
      <c r="H646" s="50">
        <v>5.24</v>
      </c>
      <c r="I646" s="25">
        <f t="shared" si="44"/>
        <v>298.68</v>
      </c>
      <c r="J646" s="25">
        <f t="shared" si="45"/>
        <v>358.0612058940757</v>
      </c>
      <c r="K646" s="25">
        <f t="shared" si="46"/>
        <v>372.9952058940757</v>
      </c>
    </row>
    <row r="647" spans="1:11" ht="15.75">
      <c r="A647" s="20" t="s">
        <v>244</v>
      </c>
      <c r="B647" s="14" t="s">
        <v>1162</v>
      </c>
      <c r="D647" s="46" t="s">
        <v>1163</v>
      </c>
      <c r="E647" s="6" t="s">
        <v>14</v>
      </c>
      <c r="F647" s="6" t="s">
        <v>1215</v>
      </c>
      <c r="G647" s="22">
        <v>1</v>
      </c>
      <c r="H647" s="50">
        <v>5.24</v>
      </c>
      <c r="I647" s="25">
        <f t="shared" si="44"/>
        <v>298.68</v>
      </c>
      <c r="J647" s="25">
        <f t="shared" si="45"/>
        <v>358.0612058940757</v>
      </c>
      <c r="K647" s="25">
        <f t="shared" si="46"/>
        <v>372.9952058940757</v>
      </c>
    </row>
    <row r="648" spans="1:11" ht="15.75">
      <c r="A648" s="70" t="s">
        <v>463</v>
      </c>
      <c r="B648" s="14" t="s">
        <v>1162</v>
      </c>
      <c r="D648" s="46" t="s">
        <v>1163</v>
      </c>
      <c r="E648" s="6" t="s">
        <v>14</v>
      </c>
      <c r="F648" s="6" t="s">
        <v>1215</v>
      </c>
      <c r="G648" s="22">
        <v>1</v>
      </c>
      <c r="H648" s="50">
        <v>5.24</v>
      </c>
      <c r="I648" s="25">
        <f t="shared" si="44"/>
        <v>298.68</v>
      </c>
      <c r="J648" s="25">
        <f t="shared" si="45"/>
        <v>358.0612058940757</v>
      </c>
      <c r="K648" s="25">
        <f t="shared" si="46"/>
        <v>372.9952058940757</v>
      </c>
    </row>
    <row r="649" spans="1:11" ht="15.75">
      <c r="A649" s="99" t="s">
        <v>538</v>
      </c>
      <c r="B649" s="14" t="s">
        <v>1162</v>
      </c>
      <c r="D649" s="46" t="s">
        <v>1163</v>
      </c>
      <c r="E649" s="6" t="s">
        <v>14</v>
      </c>
      <c r="F649" s="6" t="s">
        <v>1215</v>
      </c>
      <c r="G649" s="22">
        <v>1</v>
      </c>
      <c r="H649" s="50">
        <v>5.24</v>
      </c>
      <c r="I649" s="25">
        <f t="shared" si="44"/>
        <v>298.68</v>
      </c>
      <c r="J649" s="25">
        <f t="shared" si="45"/>
        <v>358.0612058940757</v>
      </c>
      <c r="K649" s="25">
        <f t="shared" si="46"/>
        <v>372.9952058940757</v>
      </c>
    </row>
    <row r="650" spans="1:11" ht="15.75">
      <c r="A650" s="20" t="s">
        <v>624</v>
      </c>
      <c r="B650" s="14" t="s">
        <v>1162</v>
      </c>
      <c r="D650" s="46" t="s">
        <v>1163</v>
      </c>
      <c r="E650" s="6" t="s">
        <v>7</v>
      </c>
      <c r="F650" s="6" t="s">
        <v>1216</v>
      </c>
      <c r="G650" s="22">
        <v>1</v>
      </c>
      <c r="H650" s="50">
        <v>5.24</v>
      </c>
      <c r="I650" s="25">
        <f t="shared" si="44"/>
        <v>298.68</v>
      </c>
      <c r="J650" s="25">
        <f t="shared" si="45"/>
        <v>358.0612058940757</v>
      </c>
      <c r="K650" s="25">
        <f t="shared" si="46"/>
        <v>372.9952058940757</v>
      </c>
    </row>
    <row r="651" spans="1:11" ht="15.75">
      <c r="A651" s="20" t="s">
        <v>350</v>
      </c>
      <c r="B651" s="14" t="s">
        <v>1162</v>
      </c>
      <c r="D651" s="46" t="s">
        <v>1163</v>
      </c>
      <c r="E651" s="6" t="s">
        <v>7</v>
      </c>
      <c r="F651" s="6" t="s">
        <v>1216</v>
      </c>
      <c r="G651" s="22">
        <v>1</v>
      </c>
      <c r="H651" s="50">
        <v>5.24</v>
      </c>
      <c r="I651" s="25">
        <f t="shared" si="44"/>
        <v>298.68</v>
      </c>
      <c r="J651" s="25">
        <f t="shared" si="45"/>
        <v>358.0612058940757</v>
      </c>
      <c r="K651" s="25">
        <f t="shared" si="46"/>
        <v>372.9952058940757</v>
      </c>
    </row>
    <row r="652" spans="1:11" ht="15.75">
      <c r="A652" s="20" t="s">
        <v>597</v>
      </c>
      <c r="B652" s="14" t="s">
        <v>1162</v>
      </c>
      <c r="D652" s="46" t="s">
        <v>1163</v>
      </c>
      <c r="E652" s="6" t="s">
        <v>7</v>
      </c>
      <c r="F652" s="6" t="s">
        <v>1216</v>
      </c>
      <c r="G652" s="22">
        <v>1</v>
      </c>
      <c r="H652" s="50">
        <v>5.24</v>
      </c>
      <c r="I652" s="25">
        <f t="shared" si="44"/>
        <v>298.68</v>
      </c>
      <c r="J652" s="25">
        <f t="shared" si="45"/>
        <v>358.0612058940757</v>
      </c>
      <c r="K652" s="25">
        <f t="shared" si="46"/>
        <v>372.9952058940757</v>
      </c>
    </row>
    <row r="653" spans="1:11" ht="15.75">
      <c r="A653" s="20" t="s">
        <v>251</v>
      </c>
      <c r="B653" s="14" t="s">
        <v>1162</v>
      </c>
      <c r="D653" s="46" t="s">
        <v>1163</v>
      </c>
      <c r="E653" s="6" t="s">
        <v>7</v>
      </c>
      <c r="F653" s="6" t="s">
        <v>1216</v>
      </c>
      <c r="G653" s="22">
        <v>1</v>
      </c>
      <c r="H653" s="50">
        <v>5.24</v>
      </c>
      <c r="I653" s="25">
        <f t="shared" si="44"/>
        <v>298.68</v>
      </c>
      <c r="J653" s="25">
        <f t="shared" si="45"/>
        <v>358.0612058940757</v>
      </c>
      <c r="K653" s="25">
        <f t="shared" si="46"/>
        <v>372.9952058940757</v>
      </c>
    </row>
    <row r="654" spans="1:11" ht="15.75">
      <c r="A654" s="20" t="s">
        <v>624</v>
      </c>
      <c r="B654" s="14" t="s">
        <v>1162</v>
      </c>
      <c r="D654" s="46" t="s">
        <v>1163</v>
      </c>
      <c r="E654" s="6" t="s">
        <v>7</v>
      </c>
      <c r="F654" s="6" t="s">
        <v>1217</v>
      </c>
      <c r="G654" s="22">
        <v>1</v>
      </c>
      <c r="H654" s="50">
        <v>5.24</v>
      </c>
      <c r="I654" s="25">
        <f t="shared" si="44"/>
        <v>298.68</v>
      </c>
      <c r="J654" s="25">
        <f t="shared" si="45"/>
        <v>358.0612058940757</v>
      </c>
      <c r="K654" s="25">
        <f t="shared" si="46"/>
        <v>372.9952058940757</v>
      </c>
    </row>
    <row r="655" spans="1:11" ht="15.75">
      <c r="A655" s="20" t="s">
        <v>292</v>
      </c>
      <c r="B655" s="14" t="s">
        <v>1162</v>
      </c>
      <c r="D655" s="46" t="s">
        <v>1163</v>
      </c>
      <c r="E655" s="6" t="s">
        <v>7</v>
      </c>
      <c r="F655" s="6" t="s">
        <v>1217</v>
      </c>
      <c r="G655" s="22">
        <v>1</v>
      </c>
      <c r="H655" s="50">
        <v>5.24</v>
      </c>
      <c r="I655" s="25">
        <f t="shared" si="44"/>
        <v>298.68</v>
      </c>
      <c r="J655" s="25">
        <f t="shared" si="45"/>
        <v>358.0612058940757</v>
      </c>
      <c r="K655" s="25">
        <f t="shared" si="46"/>
        <v>372.9952058940757</v>
      </c>
    </row>
    <row r="656" spans="1:11" ht="15.75">
      <c r="A656" s="99" t="s">
        <v>538</v>
      </c>
      <c r="B656" s="14" t="s">
        <v>1162</v>
      </c>
      <c r="D656" s="46" t="s">
        <v>1163</v>
      </c>
      <c r="E656" s="6" t="s">
        <v>7</v>
      </c>
      <c r="F656" s="6" t="s">
        <v>1217</v>
      </c>
      <c r="G656" s="22">
        <v>1</v>
      </c>
      <c r="H656" s="50">
        <v>5.24</v>
      </c>
      <c r="I656" s="25">
        <f t="shared" si="44"/>
        <v>298.68</v>
      </c>
      <c r="J656" s="25">
        <f t="shared" si="45"/>
        <v>358.0612058940757</v>
      </c>
      <c r="K656" s="25">
        <f t="shared" si="46"/>
        <v>372.9952058940757</v>
      </c>
    </row>
    <row r="657" spans="1:11" ht="15.75">
      <c r="A657" s="99" t="s">
        <v>538</v>
      </c>
      <c r="B657" s="14" t="s">
        <v>1162</v>
      </c>
      <c r="D657" s="46" t="s">
        <v>1163</v>
      </c>
      <c r="E657" s="6" t="s">
        <v>7</v>
      </c>
      <c r="F657" s="6" t="s">
        <v>1217</v>
      </c>
      <c r="G657" s="22">
        <v>1</v>
      </c>
      <c r="H657" s="50">
        <v>5.24</v>
      </c>
      <c r="I657" s="25">
        <f t="shared" si="44"/>
        <v>298.68</v>
      </c>
      <c r="J657" s="25">
        <f t="shared" si="45"/>
        <v>358.0612058940757</v>
      </c>
      <c r="K657" s="25">
        <f t="shared" si="46"/>
        <v>372.9952058940757</v>
      </c>
    </row>
    <row r="658" spans="1:11" ht="15.75">
      <c r="A658" s="20" t="s">
        <v>624</v>
      </c>
      <c r="B658" s="14" t="s">
        <v>1162</v>
      </c>
      <c r="D658" s="46" t="s">
        <v>1163</v>
      </c>
      <c r="E658" s="6" t="s">
        <v>7</v>
      </c>
      <c r="F658" s="6" t="s">
        <v>1218</v>
      </c>
      <c r="G658" s="22">
        <v>1</v>
      </c>
      <c r="H658" s="50">
        <v>5.24</v>
      </c>
      <c r="I658" s="25">
        <f t="shared" si="44"/>
        <v>298.68</v>
      </c>
      <c r="J658" s="25">
        <f t="shared" si="45"/>
        <v>358.0612058940757</v>
      </c>
      <c r="K658" s="25">
        <f t="shared" si="46"/>
        <v>372.9952058940757</v>
      </c>
    </row>
    <row r="659" spans="1:11" ht="15.75">
      <c r="A659" s="20" t="s">
        <v>510</v>
      </c>
      <c r="B659" s="14" t="s">
        <v>1162</v>
      </c>
      <c r="D659" s="46" t="s">
        <v>1163</v>
      </c>
      <c r="E659" s="6" t="s">
        <v>7</v>
      </c>
      <c r="F659" s="6" t="s">
        <v>1218</v>
      </c>
      <c r="G659" s="22">
        <v>1</v>
      </c>
      <c r="H659" s="50">
        <v>5.24</v>
      </c>
      <c r="I659" s="25">
        <f t="shared" si="44"/>
        <v>298.68</v>
      </c>
      <c r="J659" s="25">
        <f t="shared" si="45"/>
        <v>358.0612058940757</v>
      </c>
      <c r="K659" s="25">
        <f t="shared" si="46"/>
        <v>372.9952058940757</v>
      </c>
    </row>
    <row r="660" spans="1:11" ht="15.75">
      <c r="A660" s="99" t="s">
        <v>538</v>
      </c>
      <c r="B660" s="14" t="s">
        <v>1162</v>
      </c>
      <c r="D660" s="46" t="s">
        <v>1163</v>
      </c>
      <c r="E660" s="6" t="s">
        <v>7</v>
      </c>
      <c r="F660" s="6" t="s">
        <v>1218</v>
      </c>
      <c r="G660" s="22">
        <v>1</v>
      </c>
      <c r="H660" s="50">
        <v>5.24</v>
      </c>
      <c r="I660" s="25">
        <f t="shared" si="44"/>
        <v>298.68</v>
      </c>
      <c r="J660" s="25">
        <f t="shared" si="45"/>
        <v>358.0612058940757</v>
      </c>
      <c r="K660" s="25">
        <f t="shared" si="46"/>
        <v>372.9952058940757</v>
      </c>
    </row>
    <row r="661" spans="1:11" ht="15.75">
      <c r="A661" s="99" t="s">
        <v>538</v>
      </c>
      <c r="B661" s="14" t="s">
        <v>1162</v>
      </c>
      <c r="D661" s="46" t="s">
        <v>1163</v>
      </c>
      <c r="E661" s="6" t="s">
        <v>7</v>
      </c>
      <c r="F661" s="6" t="s">
        <v>1218</v>
      </c>
      <c r="G661" s="22">
        <v>1</v>
      </c>
      <c r="H661" s="50">
        <v>5.24</v>
      </c>
      <c r="I661" s="25">
        <f t="shared" si="44"/>
        <v>298.68</v>
      </c>
      <c r="J661" s="25">
        <f t="shared" si="45"/>
        <v>358.0612058940757</v>
      </c>
      <c r="K661" s="25">
        <f t="shared" si="46"/>
        <v>372.9952058940757</v>
      </c>
    </row>
    <row r="662" spans="1:11" ht="15.75">
      <c r="A662" s="20" t="s">
        <v>510</v>
      </c>
      <c r="B662" s="14" t="s">
        <v>1162</v>
      </c>
      <c r="D662" s="46" t="s">
        <v>1163</v>
      </c>
      <c r="E662" s="6" t="s">
        <v>7</v>
      </c>
      <c r="F662" s="6" t="s">
        <v>1219</v>
      </c>
      <c r="G662" s="22">
        <v>1</v>
      </c>
      <c r="H662" s="50">
        <v>5.24</v>
      </c>
      <c r="I662" s="25">
        <f t="shared" si="44"/>
        <v>298.68</v>
      </c>
      <c r="J662" s="25">
        <f t="shared" si="45"/>
        <v>358.0612058940757</v>
      </c>
      <c r="K662" s="25">
        <f t="shared" si="46"/>
        <v>372.9952058940757</v>
      </c>
    </row>
    <row r="663" spans="1:11" ht="15.75">
      <c r="A663" s="20" t="s">
        <v>98</v>
      </c>
      <c r="B663" s="14" t="s">
        <v>1162</v>
      </c>
      <c r="D663" s="46" t="s">
        <v>1163</v>
      </c>
      <c r="E663" s="6" t="s">
        <v>7</v>
      </c>
      <c r="F663" s="6" t="s">
        <v>1219</v>
      </c>
      <c r="G663" s="22">
        <v>1</v>
      </c>
      <c r="H663" s="50">
        <v>5.24</v>
      </c>
      <c r="I663" s="25">
        <f t="shared" si="44"/>
        <v>298.68</v>
      </c>
      <c r="J663" s="25">
        <f t="shared" si="45"/>
        <v>358.0612058940757</v>
      </c>
      <c r="K663" s="25">
        <f t="shared" si="46"/>
        <v>372.9952058940757</v>
      </c>
    </row>
    <row r="664" spans="1:11" ht="15.75">
      <c r="A664" s="20" t="s">
        <v>624</v>
      </c>
      <c r="B664" s="14" t="s">
        <v>1162</v>
      </c>
      <c r="D664" s="46" t="s">
        <v>1163</v>
      </c>
      <c r="E664" s="6" t="s">
        <v>7</v>
      </c>
      <c r="F664" s="6" t="s">
        <v>1219</v>
      </c>
      <c r="G664" s="22">
        <v>1</v>
      </c>
      <c r="H664" s="50">
        <v>5.24</v>
      </c>
      <c r="I664" s="25">
        <f t="shared" si="44"/>
        <v>298.68</v>
      </c>
      <c r="J664" s="25">
        <f t="shared" si="45"/>
        <v>358.0612058940757</v>
      </c>
      <c r="K664" s="25">
        <f t="shared" si="46"/>
        <v>372.9952058940757</v>
      </c>
    </row>
    <row r="665" spans="1:11" ht="15.75">
      <c r="A665" s="8" t="s">
        <v>908</v>
      </c>
      <c r="B665" s="14" t="s">
        <v>1162</v>
      </c>
      <c r="D665" s="46" t="s">
        <v>1163</v>
      </c>
      <c r="E665" s="6" t="s">
        <v>7</v>
      </c>
      <c r="F665" s="6" t="s">
        <v>1220</v>
      </c>
      <c r="G665" s="22">
        <v>1</v>
      </c>
      <c r="H665" s="50">
        <v>5.24</v>
      </c>
      <c r="I665" s="25">
        <f t="shared" si="44"/>
        <v>298.68</v>
      </c>
      <c r="J665" s="25">
        <f t="shared" si="45"/>
        <v>358.0612058940757</v>
      </c>
      <c r="K665" s="25">
        <f t="shared" si="46"/>
        <v>372.9952058940757</v>
      </c>
    </row>
    <row r="666" spans="1:11" ht="15.75">
      <c r="A666" s="20" t="s">
        <v>251</v>
      </c>
      <c r="B666" s="14" t="s">
        <v>1162</v>
      </c>
      <c r="D666" s="46" t="s">
        <v>1163</v>
      </c>
      <c r="E666" s="6" t="s">
        <v>7</v>
      </c>
      <c r="F666" s="6" t="s">
        <v>1220</v>
      </c>
      <c r="G666" s="22">
        <v>1</v>
      </c>
      <c r="H666" s="50">
        <v>5.24</v>
      </c>
      <c r="I666" s="25">
        <f t="shared" si="44"/>
        <v>298.68</v>
      </c>
      <c r="J666" s="25">
        <f t="shared" si="45"/>
        <v>358.0612058940757</v>
      </c>
      <c r="K666" s="25">
        <f t="shared" si="46"/>
        <v>372.9952058940757</v>
      </c>
    </row>
    <row r="667" spans="1:11" ht="15.75">
      <c r="A667" s="20" t="s">
        <v>93</v>
      </c>
      <c r="B667" s="14" t="s">
        <v>1162</v>
      </c>
      <c r="D667" s="46" t="s">
        <v>1163</v>
      </c>
      <c r="E667" s="6" t="s">
        <v>7</v>
      </c>
      <c r="F667" s="6" t="s">
        <v>1220</v>
      </c>
      <c r="G667" s="22">
        <v>1</v>
      </c>
      <c r="H667" s="50">
        <v>5.24</v>
      </c>
      <c r="I667" s="25">
        <f t="shared" si="44"/>
        <v>298.68</v>
      </c>
      <c r="J667" s="25">
        <f t="shared" si="45"/>
        <v>358.0612058940757</v>
      </c>
      <c r="K667" s="25">
        <f t="shared" si="46"/>
        <v>372.9952058940757</v>
      </c>
    </row>
    <row r="668" spans="1:11" ht="15.75">
      <c r="A668" s="22" t="s">
        <v>1213</v>
      </c>
      <c r="B668" s="14" t="s">
        <v>1162</v>
      </c>
      <c r="D668" s="46" t="s">
        <v>1163</v>
      </c>
      <c r="E668" s="6" t="s">
        <v>12</v>
      </c>
      <c r="F668" s="6" t="s">
        <v>1164</v>
      </c>
      <c r="G668" s="22">
        <v>1</v>
      </c>
      <c r="H668" s="50">
        <v>5.24</v>
      </c>
      <c r="I668" s="25">
        <f t="shared" si="44"/>
        <v>298.68</v>
      </c>
      <c r="J668" s="25">
        <f t="shared" si="45"/>
        <v>358.0612058940757</v>
      </c>
      <c r="K668" s="25">
        <f t="shared" si="46"/>
        <v>372.9952058940757</v>
      </c>
    </row>
    <row r="669" spans="1:11" ht="15.75">
      <c r="A669" s="14" t="s">
        <v>98</v>
      </c>
      <c r="B669" s="14" t="s">
        <v>1162</v>
      </c>
      <c r="D669" s="46" t="s">
        <v>1163</v>
      </c>
      <c r="E669" s="6" t="s">
        <v>12</v>
      </c>
      <c r="F669" s="6" t="s">
        <v>1164</v>
      </c>
      <c r="G669" s="22">
        <v>1</v>
      </c>
      <c r="H669" s="50">
        <v>5.24</v>
      </c>
      <c r="I669" s="25">
        <f t="shared" si="44"/>
        <v>298.68</v>
      </c>
      <c r="J669" s="25">
        <f t="shared" si="45"/>
        <v>358.0612058940757</v>
      </c>
      <c r="K669" s="25">
        <f t="shared" si="46"/>
        <v>372.9952058940757</v>
      </c>
    </row>
    <row r="670" spans="1:11" ht="15.75">
      <c r="A670" s="14" t="s">
        <v>350</v>
      </c>
      <c r="B670" s="14" t="s">
        <v>1162</v>
      </c>
      <c r="D670" s="46" t="s">
        <v>1163</v>
      </c>
      <c r="E670" s="6" t="s">
        <v>12</v>
      </c>
      <c r="F670" s="6" t="s">
        <v>1164</v>
      </c>
      <c r="G670" s="22">
        <v>1</v>
      </c>
      <c r="H670" s="50">
        <v>5.24</v>
      </c>
      <c r="I670" s="25">
        <f t="shared" si="44"/>
        <v>298.68</v>
      </c>
      <c r="J670" s="25">
        <f t="shared" si="45"/>
        <v>358.0612058940757</v>
      </c>
      <c r="K670" s="25">
        <f t="shared" si="46"/>
        <v>372.9952058940757</v>
      </c>
    </row>
    <row r="671" spans="1:11" ht="15.75">
      <c r="A671" s="20" t="s">
        <v>858</v>
      </c>
      <c r="B671" s="14" t="s">
        <v>1162</v>
      </c>
      <c r="D671" s="46" t="s">
        <v>1163</v>
      </c>
      <c r="E671" s="6" t="s">
        <v>12</v>
      </c>
      <c r="F671" s="6" t="s">
        <v>1164</v>
      </c>
      <c r="G671" s="22">
        <v>1</v>
      </c>
      <c r="H671" s="50">
        <v>5.24</v>
      </c>
      <c r="I671" s="25">
        <f t="shared" si="44"/>
        <v>298.68</v>
      </c>
      <c r="J671" s="25">
        <f t="shared" si="45"/>
        <v>358.0612058940757</v>
      </c>
      <c r="K671" s="25">
        <f t="shared" si="46"/>
        <v>372.9952058940757</v>
      </c>
    </row>
    <row r="672" spans="1:11" ht="15.75">
      <c r="A672" s="99" t="s">
        <v>538</v>
      </c>
      <c r="B672" s="14" t="s">
        <v>1162</v>
      </c>
      <c r="D672" s="46" t="s">
        <v>1163</v>
      </c>
      <c r="E672" s="6" t="s">
        <v>12</v>
      </c>
      <c r="F672" s="6" t="s">
        <v>1164</v>
      </c>
      <c r="G672" s="22">
        <v>1</v>
      </c>
      <c r="H672" s="50">
        <v>5.24</v>
      </c>
      <c r="I672" s="25">
        <f t="shared" si="44"/>
        <v>298.68</v>
      </c>
      <c r="J672" s="25">
        <f t="shared" si="45"/>
        <v>358.0612058940757</v>
      </c>
      <c r="K672" s="25">
        <f t="shared" si="46"/>
        <v>372.9952058940757</v>
      </c>
    </row>
    <row r="673" spans="1:11" ht="15.75">
      <c r="A673" s="22" t="s">
        <v>1213</v>
      </c>
      <c r="B673" s="14" t="s">
        <v>1221</v>
      </c>
      <c r="D673" s="46" t="s">
        <v>1222</v>
      </c>
      <c r="E673" s="6" t="s">
        <v>20</v>
      </c>
      <c r="F673" s="6" t="s">
        <v>1223</v>
      </c>
      <c r="G673" s="22">
        <v>1</v>
      </c>
      <c r="H673" s="50">
        <v>28.35</v>
      </c>
      <c r="I673" s="25">
        <f t="shared" si="44"/>
        <v>1615.95</v>
      </c>
      <c r="J673" s="25">
        <f t="shared" si="45"/>
        <v>1937.2204555528715</v>
      </c>
      <c r="K673" s="25">
        <f t="shared" si="46"/>
        <v>2018.0179555528716</v>
      </c>
    </row>
    <row r="674" spans="1:11" ht="15.75">
      <c r="A674" s="22" t="s">
        <v>1213</v>
      </c>
      <c r="B674" s="14" t="s">
        <v>1221</v>
      </c>
      <c r="D674" s="46" t="s">
        <v>1224</v>
      </c>
      <c r="E674" s="6" t="s">
        <v>14</v>
      </c>
      <c r="F674" s="6" t="s">
        <v>1223</v>
      </c>
      <c r="G674" s="22">
        <v>1</v>
      </c>
      <c r="H674" s="50">
        <v>17.85</v>
      </c>
      <c r="I674" s="25">
        <f t="shared" si="44"/>
        <v>1017.45</v>
      </c>
      <c r="J674" s="25">
        <f t="shared" si="45"/>
        <v>1219.7313979406968</v>
      </c>
      <c r="K674" s="25">
        <f t="shared" si="46"/>
        <v>1270.603897940697</v>
      </c>
    </row>
    <row r="675" spans="1:11" ht="15.75">
      <c r="A675" s="22" t="s">
        <v>1225</v>
      </c>
      <c r="B675" s="14" t="s">
        <v>1226</v>
      </c>
      <c r="D675" s="46" t="s">
        <v>956</v>
      </c>
      <c r="E675" s="6" t="s">
        <v>12</v>
      </c>
      <c r="F675" s="6" t="s">
        <v>1227</v>
      </c>
      <c r="G675" s="22">
        <v>1</v>
      </c>
      <c r="H675" s="50">
        <v>19.6</v>
      </c>
      <c r="I675" s="25">
        <f t="shared" si="44"/>
        <v>1117.2</v>
      </c>
      <c r="J675" s="25">
        <f t="shared" si="45"/>
        <v>1339.312907542726</v>
      </c>
      <c r="K675" s="25">
        <f t="shared" si="46"/>
        <v>1395.172907542726</v>
      </c>
    </row>
    <row r="676" spans="1:11" ht="15.75">
      <c r="A676" s="22" t="s">
        <v>1225</v>
      </c>
      <c r="B676" s="14" t="s">
        <v>1226</v>
      </c>
      <c r="D676" s="46" t="s">
        <v>1228</v>
      </c>
      <c r="E676" s="6" t="s">
        <v>12</v>
      </c>
      <c r="F676" s="6" t="s">
        <v>1227</v>
      </c>
      <c r="G676" s="22">
        <v>1</v>
      </c>
      <c r="H676" s="50">
        <v>16.8</v>
      </c>
      <c r="I676" s="25">
        <f t="shared" si="44"/>
        <v>957.6</v>
      </c>
      <c r="J676" s="25">
        <f t="shared" si="45"/>
        <v>1147.9824921794793</v>
      </c>
      <c r="K676" s="25">
        <f t="shared" si="46"/>
        <v>1195.8624921794794</v>
      </c>
    </row>
    <row r="677" spans="1:11" ht="15.75">
      <c r="A677" s="20" t="s">
        <v>855</v>
      </c>
      <c r="B677" s="14" t="s">
        <v>1162</v>
      </c>
      <c r="D677" s="46" t="s">
        <v>1163</v>
      </c>
      <c r="E677" s="6" t="s">
        <v>12</v>
      </c>
      <c r="F677" s="6" t="s">
        <v>1215</v>
      </c>
      <c r="G677" s="22">
        <v>1</v>
      </c>
      <c r="H677" s="50">
        <v>5.24</v>
      </c>
      <c r="I677" s="25">
        <f t="shared" si="44"/>
        <v>298.68</v>
      </c>
      <c r="J677" s="25">
        <f t="shared" si="45"/>
        <v>358.0612058940757</v>
      </c>
      <c r="K677" s="25">
        <f t="shared" si="46"/>
        <v>372.9952058940757</v>
      </c>
    </row>
    <row r="678" spans="1:11" ht="15.75">
      <c r="A678" s="20" t="s">
        <v>350</v>
      </c>
      <c r="B678" s="14" t="s">
        <v>1162</v>
      </c>
      <c r="D678" s="46" t="s">
        <v>1163</v>
      </c>
      <c r="E678" s="6" t="s">
        <v>12</v>
      </c>
      <c r="F678" s="6" t="s">
        <v>1215</v>
      </c>
      <c r="G678" s="22">
        <v>1</v>
      </c>
      <c r="H678" s="50">
        <v>5.24</v>
      </c>
      <c r="I678" s="25">
        <f t="shared" si="44"/>
        <v>298.68</v>
      </c>
      <c r="J678" s="25">
        <f t="shared" si="45"/>
        <v>358.0612058940757</v>
      </c>
      <c r="K678" s="25">
        <f t="shared" si="46"/>
        <v>372.9952058940757</v>
      </c>
    </row>
    <row r="679" spans="1:11" ht="15.75">
      <c r="A679" s="99" t="s">
        <v>538</v>
      </c>
      <c r="B679" s="14" t="s">
        <v>1162</v>
      </c>
      <c r="D679" s="46" t="s">
        <v>1163</v>
      </c>
      <c r="E679" s="6" t="s">
        <v>12</v>
      </c>
      <c r="F679" s="6" t="s">
        <v>1215</v>
      </c>
      <c r="G679" s="22">
        <v>1</v>
      </c>
      <c r="H679" s="50">
        <v>5.24</v>
      </c>
      <c r="I679" s="25">
        <f t="shared" si="44"/>
        <v>298.68</v>
      </c>
      <c r="J679" s="25">
        <f t="shared" si="45"/>
        <v>358.0612058940757</v>
      </c>
      <c r="K679" s="25">
        <f t="shared" si="46"/>
        <v>372.9952058940757</v>
      </c>
    </row>
    <row r="680" spans="1:11" ht="15.75">
      <c r="A680" s="22" t="s">
        <v>93</v>
      </c>
      <c r="B680" s="14" t="s">
        <v>1229</v>
      </c>
      <c r="D680" s="46" t="s">
        <v>1086</v>
      </c>
      <c r="E680" s="6" t="s">
        <v>7</v>
      </c>
      <c r="F680" s="6" t="s">
        <v>1230</v>
      </c>
      <c r="G680" s="22">
        <v>1</v>
      </c>
      <c r="H680" s="50">
        <v>14.99</v>
      </c>
      <c r="I680" s="25">
        <f t="shared" si="44"/>
        <v>854.4300000000001</v>
      </c>
      <c r="J680" s="25">
        <f t="shared" si="45"/>
        <v>1024.3010451053806</v>
      </c>
      <c r="K680" s="25">
        <f t="shared" si="46"/>
        <v>1067.0225451053807</v>
      </c>
    </row>
    <row r="681" spans="1:11" ht="15.75">
      <c r="A681" s="20" t="s">
        <v>538</v>
      </c>
      <c r="B681" s="14" t="s">
        <v>1229</v>
      </c>
      <c r="D681" s="46" t="s">
        <v>1086</v>
      </c>
      <c r="E681" s="6" t="s">
        <v>7</v>
      </c>
      <c r="F681" s="6" t="s">
        <v>1230</v>
      </c>
      <c r="G681" s="22">
        <v>1</v>
      </c>
      <c r="H681" s="50">
        <v>14.99</v>
      </c>
      <c r="I681" s="25">
        <f t="shared" si="44"/>
        <v>854.4300000000001</v>
      </c>
      <c r="J681" s="25">
        <f t="shared" si="45"/>
        <v>1024.3010451053806</v>
      </c>
      <c r="K681" s="25">
        <f t="shared" si="46"/>
        <v>1067.0225451053807</v>
      </c>
    </row>
    <row r="682" spans="1:11" ht="15.75">
      <c r="A682" s="20" t="s">
        <v>79</v>
      </c>
      <c r="B682" s="14" t="s">
        <v>1162</v>
      </c>
      <c r="D682" s="46" t="s">
        <v>1163</v>
      </c>
      <c r="E682" s="6" t="s">
        <v>12</v>
      </c>
      <c r="F682" s="6" t="s">
        <v>1219</v>
      </c>
      <c r="G682" s="22">
        <v>1</v>
      </c>
      <c r="H682" s="50">
        <v>5.24</v>
      </c>
      <c r="I682" s="25">
        <f t="shared" si="44"/>
        <v>298.68</v>
      </c>
      <c r="J682" s="25">
        <f t="shared" si="45"/>
        <v>358.0612058940757</v>
      </c>
      <c r="K682" s="25">
        <f t="shared" si="46"/>
        <v>372.9952058940757</v>
      </c>
    </row>
    <row r="683" spans="1:11" ht="15.75">
      <c r="A683" s="99" t="s">
        <v>538</v>
      </c>
      <c r="B683" s="14" t="s">
        <v>1162</v>
      </c>
      <c r="D683" s="46" t="s">
        <v>1163</v>
      </c>
      <c r="E683" s="6" t="s">
        <v>12</v>
      </c>
      <c r="F683" s="6" t="s">
        <v>1219</v>
      </c>
      <c r="G683" s="22">
        <v>1</v>
      </c>
      <c r="H683" s="50">
        <v>5.24</v>
      </c>
      <c r="I683" s="25">
        <f t="shared" si="44"/>
        <v>298.68</v>
      </c>
      <c r="J683" s="25">
        <f t="shared" si="45"/>
        <v>358.0612058940757</v>
      </c>
      <c r="K683" s="25">
        <f t="shared" si="46"/>
        <v>372.9952058940757</v>
      </c>
    </row>
    <row r="684" spans="1:11" ht="15.75">
      <c r="A684" s="99" t="s">
        <v>538</v>
      </c>
      <c r="B684" s="14" t="s">
        <v>1162</v>
      </c>
      <c r="D684" s="46" t="s">
        <v>1163</v>
      </c>
      <c r="E684" s="6" t="s">
        <v>12</v>
      </c>
      <c r="F684" s="6" t="s">
        <v>1219</v>
      </c>
      <c r="G684" s="22">
        <v>1</v>
      </c>
      <c r="H684" s="50">
        <v>5.24</v>
      </c>
      <c r="I684" s="25">
        <f t="shared" si="44"/>
        <v>298.68</v>
      </c>
      <c r="J684" s="25">
        <f t="shared" si="45"/>
        <v>358.0612058940757</v>
      </c>
      <c r="K684" s="25">
        <f t="shared" si="46"/>
        <v>372.9952058940757</v>
      </c>
    </row>
    <row r="685" spans="1:11" ht="15.75">
      <c r="A685" s="20" t="s">
        <v>79</v>
      </c>
      <c r="B685" s="14" t="s">
        <v>1162</v>
      </c>
      <c r="D685" s="46" t="s">
        <v>1163</v>
      </c>
      <c r="E685" s="6" t="s">
        <v>14</v>
      </c>
      <c r="F685" s="6" t="s">
        <v>1164</v>
      </c>
      <c r="G685" s="22">
        <v>1</v>
      </c>
      <c r="H685" s="50">
        <v>5.24</v>
      </c>
      <c r="I685" s="25">
        <f t="shared" si="44"/>
        <v>298.68</v>
      </c>
      <c r="J685" s="25">
        <f t="shared" si="45"/>
        <v>358.0612058940757</v>
      </c>
      <c r="K685" s="25">
        <f t="shared" si="46"/>
        <v>372.9952058940757</v>
      </c>
    </row>
    <row r="686" spans="1:11" ht="15.75">
      <c r="A686" s="20" t="s">
        <v>147</v>
      </c>
      <c r="B686" s="14" t="s">
        <v>1162</v>
      </c>
      <c r="D686" s="46" t="s">
        <v>1163</v>
      </c>
      <c r="E686" s="6" t="s">
        <v>14</v>
      </c>
      <c r="F686" s="6" t="s">
        <v>1164</v>
      </c>
      <c r="G686" s="22">
        <v>1</v>
      </c>
      <c r="H686" s="50">
        <v>5.24</v>
      </c>
      <c r="I686" s="25">
        <f t="shared" si="44"/>
        <v>298.68</v>
      </c>
      <c r="J686" s="25">
        <f t="shared" si="45"/>
        <v>358.0612058940757</v>
      </c>
      <c r="K686" s="25">
        <f t="shared" si="46"/>
        <v>372.9952058940757</v>
      </c>
    </row>
    <row r="687" spans="1:11" ht="15.75">
      <c r="A687" s="99" t="s">
        <v>538</v>
      </c>
      <c r="B687" s="14" t="s">
        <v>1162</v>
      </c>
      <c r="D687" s="46" t="s">
        <v>1163</v>
      </c>
      <c r="E687" s="6" t="s">
        <v>14</v>
      </c>
      <c r="F687" s="6" t="s">
        <v>1164</v>
      </c>
      <c r="G687" s="22">
        <v>1</v>
      </c>
      <c r="H687" s="50">
        <v>5.24</v>
      </c>
      <c r="I687" s="25">
        <f t="shared" si="44"/>
        <v>298.68</v>
      </c>
      <c r="J687" s="25">
        <f t="shared" si="45"/>
        <v>358.0612058940757</v>
      </c>
      <c r="K687" s="25">
        <f t="shared" si="46"/>
        <v>372.9952058940757</v>
      </c>
    </row>
    <row r="688" spans="1:11" ht="15.75">
      <c r="A688" s="99" t="s">
        <v>538</v>
      </c>
      <c r="B688" s="14" t="s">
        <v>1162</v>
      </c>
      <c r="D688" s="46" t="s">
        <v>1163</v>
      </c>
      <c r="E688" s="6" t="s">
        <v>14</v>
      </c>
      <c r="F688" s="6" t="s">
        <v>1164</v>
      </c>
      <c r="G688" s="22">
        <v>1</v>
      </c>
      <c r="H688" s="50">
        <v>5.24</v>
      </c>
      <c r="I688" s="25">
        <f t="shared" si="44"/>
        <v>298.68</v>
      </c>
      <c r="J688" s="25">
        <f t="shared" si="45"/>
        <v>358.0612058940757</v>
      </c>
      <c r="K688" s="25">
        <f t="shared" si="46"/>
        <v>372.9952058940757</v>
      </c>
    </row>
    <row r="689" spans="1:11" ht="15.75">
      <c r="A689" s="20" t="s">
        <v>79</v>
      </c>
      <c r="B689" s="14" t="s">
        <v>1231</v>
      </c>
      <c r="D689" s="46" t="s">
        <v>832</v>
      </c>
      <c r="E689" s="6" t="s">
        <v>14</v>
      </c>
      <c r="F689" s="6" t="s">
        <v>1232</v>
      </c>
      <c r="G689" s="22">
        <v>1</v>
      </c>
      <c r="H689" s="50">
        <v>3.49</v>
      </c>
      <c r="I689" s="25">
        <f t="shared" si="44"/>
        <v>198.93</v>
      </c>
      <c r="J689" s="25">
        <f t="shared" si="45"/>
        <v>238.47969629204664</v>
      </c>
      <c r="K689" s="25">
        <f t="shared" si="46"/>
        <v>248.42619629204665</v>
      </c>
    </row>
    <row r="690" spans="1:11" ht="15.75">
      <c r="A690" s="20" t="s">
        <v>79</v>
      </c>
      <c r="B690" s="14" t="s">
        <v>1233</v>
      </c>
      <c r="D690" s="46" t="s">
        <v>913</v>
      </c>
      <c r="E690" s="6" t="s">
        <v>13</v>
      </c>
      <c r="F690" s="6" t="s">
        <v>18</v>
      </c>
      <c r="G690" s="22">
        <v>1</v>
      </c>
      <c r="H690" s="50">
        <v>3.49</v>
      </c>
      <c r="I690" s="25">
        <f t="shared" si="44"/>
        <v>198.93</v>
      </c>
      <c r="J690" s="25">
        <f t="shared" si="45"/>
        <v>238.47969629204664</v>
      </c>
      <c r="K690" s="25">
        <f t="shared" si="46"/>
        <v>248.42619629204665</v>
      </c>
    </row>
    <row r="691" spans="1:11" ht="15.75">
      <c r="A691" s="20" t="s">
        <v>1149</v>
      </c>
      <c r="B691" s="14" t="s">
        <v>1234</v>
      </c>
      <c r="D691" s="46" t="s">
        <v>1235</v>
      </c>
      <c r="E691" s="6" t="s">
        <v>427</v>
      </c>
      <c r="F691" s="6" t="s">
        <v>998</v>
      </c>
      <c r="G691" s="22">
        <v>1</v>
      </c>
      <c r="H691" s="50">
        <v>12.6</v>
      </c>
      <c r="I691" s="25">
        <f t="shared" si="44"/>
        <v>718.1999999999999</v>
      </c>
      <c r="J691" s="25">
        <f t="shared" si="45"/>
        <v>860.9868691346095</v>
      </c>
      <c r="K691" s="25">
        <f t="shared" si="46"/>
        <v>896.8968691346096</v>
      </c>
    </row>
    <row r="692" spans="1:11" ht="15.75">
      <c r="A692" s="20" t="s">
        <v>858</v>
      </c>
      <c r="B692" s="14" t="s">
        <v>1162</v>
      </c>
      <c r="D692" s="46" t="s">
        <v>1163</v>
      </c>
      <c r="E692" s="6" t="s">
        <v>12</v>
      </c>
      <c r="F692" s="6" t="s">
        <v>1212</v>
      </c>
      <c r="G692" s="22">
        <v>1</v>
      </c>
      <c r="H692" s="50">
        <v>5.24</v>
      </c>
      <c r="I692" s="25">
        <f t="shared" si="44"/>
        <v>298.68</v>
      </c>
      <c r="J692" s="25">
        <f t="shared" si="45"/>
        <v>358.0612058940757</v>
      </c>
      <c r="K692" s="25">
        <f t="shared" si="46"/>
        <v>372.9952058940757</v>
      </c>
    </row>
    <row r="693" spans="1:11" ht="15.75">
      <c r="A693" s="20" t="s">
        <v>79</v>
      </c>
      <c r="B693" s="14" t="s">
        <v>1162</v>
      </c>
      <c r="D693" s="46" t="s">
        <v>1163</v>
      </c>
      <c r="E693" s="6" t="s">
        <v>12</v>
      </c>
      <c r="F693" s="6" t="s">
        <v>1212</v>
      </c>
      <c r="G693" s="22">
        <v>1</v>
      </c>
      <c r="H693" s="50">
        <v>5.24</v>
      </c>
      <c r="I693" s="25">
        <f t="shared" si="44"/>
        <v>298.68</v>
      </c>
      <c r="J693" s="25">
        <f t="shared" si="45"/>
        <v>358.0612058940757</v>
      </c>
      <c r="K693" s="25">
        <f t="shared" si="46"/>
        <v>372.9952058940757</v>
      </c>
    </row>
    <row r="694" spans="1:11" ht="15.75">
      <c r="A694" s="99" t="s">
        <v>538</v>
      </c>
      <c r="B694" s="14" t="s">
        <v>1162</v>
      </c>
      <c r="D694" s="46" t="s">
        <v>1163</v>
      </c>
      <c r="E694" s="6" t="s">
        <v>12</v>
      </c>
      <c r="F694" s="6" t="s">
        <v>1212</v>
      </c>
      <c r="G694" s="22">
        <v>1</v>
      </c>
      <c r="H694" s="50">
        <v>5.24</v>
      </c>
      <c r="I694" s="25">
        <f t="shared" si="44"/>
        <v>298.68</v>
      </c>
      <c r="J694" s="25">
        <f t="shared" si="45"/>
        <v>358.0612058940757</v>
      </c>
      <c r="K694" s="25">
        <f t="shared" si="46"/>
        <v>372.9952058940757</v>
      </c>
    </row>
    <row r="695" spans="1:11" ht="15.75">
      <c r="A695" s="20" t="s">
        <v>79</v>
      </c>
      <c r="B695" s="14" t="s">
        <v>1162</v>
      </c>
      <c r="D695" s="46" t="s">
        <v>1163</v>
      </c>
      <c r="E695" s="6" t="s">
        <v>14</v>
      </c>
      <c r="F695" s="6" t="s">
        <v>1220</v>
      </c>
      <c r="G695" s="22">
        <v>1</v>
      </c>
      <c r="H695" s="50">
        <v>5.24</v>
      </c>
      <c r="I695" s="25">
        <f t="shared" si="44"/>
        <v>298.68</v>
      </c>
      <c r="J695" s="25">
        <f t="shared" si="45"/>
        <v>358.0612058940757</v>
      </c>
      <c r="K695" s="25">
        <f t="shared" si="46"/>
        <v>372.9952058940757</v>
      </c>
    </row>
    <row r="696" spans="1:11" ht="15.75">
      <c r="A696" s="20" t="s">
        <v>624</v>
      </c>
      <c r="B696" s="14" t="s">
        <v>1162</v>
      </c>
      <c r="D696" s="46" t="s">
        <v>1163</v>
      </c>
      <c r="E696" s="6" t="s">
        <v>14</v>
      </c>
      <c r="F696" s="6" t="s">
        <v>1220</v>
      </c>
      <c r="G696" s="22">
        <v>1</v>
      </c>
      <c r="H696" s="50">
        <v>5.24</v>
      </c>
      <c r="I696" s="25">
        <f t="shared" si="44"/>
        <v>298.68</v>
      </c>
      <c r="J696" s="25">
        <f t="shared" si="45"/>
        <v>358.0612058940757</v>
      </c>
      <c r="K696" s="25">
        <f t="shared" si="46"/>
        <v>372.9952058940757</v>
      </c>
    </row>
    <row r="697" spans="1:11" ht="15.75">
      <c r="A697" s="20" t="s">
        <v>1225</v>
      </c>
      <c r="B697" s="14" t="s">
        <v>1162</v>
      </c>
      <c r="D697" s="46" t="s">
        <v>1163</v>
      </c>
      <c r="E697" s="6" t="s">
        <v>14</v>
      </c>
      <c r="F697" s="6" t="s">
        <v>1220</v>
      </c>
      <c r="G697" s="22">
        <v>1</v>
      </c>
      <c r="H697" s="50">
        <v>5.24</v>
      </c>
      <c r="I697" s="25">
        <f t="shared" si="44"/>
        <v>298.68</v>
      </c>
      <c r="J697" s="25">
        <f t="shared" si="45"/>
        <v>358.0612058940757</v>
      </c>
      <c r="K697" s="25">
        <f t="shared" si="46"/>
        <v>372.9952058940757</v>
      </c>
    </row>
    <row r="698" spans="1:11" ht="15.75">
      <c r="A698" s="20" t="s">
        <v>1191</v>
      </c>
      <c r="B698" s="14" t="s">
        <v>1236</v>
      </c>
      <c r="D698" s="46" t="s">
        <v>1237</v>
      </c>
      <c r="E698" s="6" t="s">
        <v>7</v>
      </c>
      <c r="F698" s="6" t="s">
        <v>1238</v>
      </c>
      <c r="G698" s="22">
        <v>1</v>
      </c>
      <c r="H698" s="50">
        <v>4.49</v>
      </c>
      <c r="I698" s="25">
        <f t="shared" si="44"/>
        <v>255.93</v>
      </c>
      <c r="J698" s="25">
        <f t="shared" si="45"/>
        <v>306.8119874932061</v>
      </c>
      <c r="K698" s="25">
        <f t="shared" si="46"/>
        <v>319.6084874932061</v>
      </c>
    </row>
    <row r="699" spans="1:11" ht="15.75">
      <c r="A699" s="20" t="s">
        <v>538</v>
      </c>
      <c r="B699" s="14" t="s">
        <v>1236</v>
      </c>
      <c r="D699" s="46" t="s">
        <v>1237</v>
      </c>
      <c r="E699" s="6" t="s">
        <v>7</v>
      </c>
      <c r="F699" s="6" t="s">
        <v>1238</v>
      </c>
      <c r="G699" s="22">
        <v>1</v>
      </c>
      <c r="H699" s="50">
        <v>4.49</v>
      </c>
      <c r="I699" s="25">
        <f t="shared" si="44"/>
        <v>255.93</v>
      </c>
      <c r="J699" s="25">
        <f t="shared" si="45"/>
        <v>306.8119874932061</v>
      </c>
      <c r="K699" s="25">
        <f t="shared" si="46"/>
        <v>319.6084874932061</v>
      </c>
    </row>
    <row r="700" spans="1:11" ht="15.75">
      <c r="A700" s="22" t="s">
        <v>147</v>
      </c>
      <c r="B700" s="14" t="s">
        <v>1239</v>
      </c>
      <c r="D700" s="46" t="s">
        <v>1240</v>
      </c>
      <c r="E700" s="6" t="s">
        <v>1241</v>
      </c>
      <c r="F700" s="6" t="s">
        <v>1242</v>
      </c>
      <c r="G700" s="22">
        <v>1</v>
      </c>
      <c r="H700" s="50">
        <v>18.74</v>
      </c>
      <c r="I700" s="25">
        <f t="shared" si="44"/>
        <v>1068.1799999999998</v>
      </c>
      <c r="J700" s="25">
        <f t="shared" si="45"/>
        <v>1280.5471371097285</v>
      </c>
      <c r="K700" s="25">
        <f t="shared" si="46"/>
        <v>1333.9561371097286</v>
      </c>
    </row>
    <row r="701" spans="1:11" ht="15.75">
      <c r="A701" s="20" t="s">
        <v>538</v>
      </c>
      <c r="B701" s="14" t="s">
        <v>1229</v>
      </c>
      <c r="D701" s="46" t="s">
        <v>1086</v>
      </c>
      <c r="E701" s="6" t="s">
        <v>14</v>
      </c>
      <c r="F701" s="6" t="s">
        <v>1089</v>
      </c>
      <c r="G701" s="22">
        <v>1</v>
      </c>
      <c r="H701" s="50">
        <v>14.99</v>
      </c>
      <c r="I701" s="25">
        <f t="shared" si="44"/>
        <v>854.4300000000001</v>
      </c>
      <c r="J701" s="25">
        <f t="shared" si="45"/>
        <v>1024.3010451053806</v>
      </c>
      <c r="K701" s="25">
        <f t="shared" si="46"/>
        <v>1067.0225451053807</v>
      </c>
    </row>
    <row r="702" spans="1:11" ht="15.75">
      <c r="A702" s="20" t="s">
        <v>538</v>
      </c>
      <c r="B702" s="14" t="s">
        <v>1243</v>
      </c>
      <c r="D702" s="46"/>
      <c r="E702" s="6" t="s">
        <v>273</v>
      </c>
      <c r="F702" s="6" t="s">
        <v>640</v>
      </c>
      <c r="G702" s="22">
        <v>1</v>
      </c>
      <c r="H702" s="50">
        <v>5.59</v>
      </c>
      <c r="I702" s="25">
        <f t="shared" si="44"/>
        <v>318.63</v>
      </c>
      <c r="J702" s="25">
        <f t="shared" si="45"/>
        <v>381.9775078144815</v>
      </c>
      <c r="K702" s="25">
        <f t="shared" si="46"/>
        <v>397.9090078144815</v>
      </c>
    </row>
    <row r="703" spans="1:11" ht="15.75">
      <c r="A703" s="20" t="s">
        <v>538</v>
      </c>
      <c r="B703" s="14" t="s">
        <v>1243</v>
      </c>
      <c r="D703" s="46"/>
      <c r="E703" s="6" t="s">
        <v>273</v>
      </c>
      <c r="F703" s="6" t="s">
        <v>640</v>
      </c>
      <c r="G703" s="22">
        <v>1</v>
      </c>
      <c r="H703" s="50">
        <v>5.59</v>
      </c>
      <c r="I703" s="25">
        <f t="shared" si="44"/>
        <v>318.63</v>
      </c>
      <c r="J703" s="25">
        <f t="shared" si="45"/>
        <v>381.9775078144815</v>
      </c>
      <c r="K703" s="25">
        <f t="shared" si="46"/>
        <v>397.9090078144815</v>
      </c>
    </row>
    <row r="704" spans="1:18" ht="16.5" thickBot="1">
      <c r="A704" s="26" t="s">
        <v>1247</v>
      </c>
      <c r="B704" s="67"/>
      <c r="D704" s="46"/>
      <c r="E704" s="6"/>
      <c r="F704" s="27" t="s">
        <v>1313</v>
      </c>
      <c r="H704" s="50"/>
      <c r="I704" s="68"/>
      <c r="J704" s="25"/>
      <c r="K704" s="25"/>
      <c r="L704" s="69"/>
      <c r="M704" s="69"/>
      <c r="N704" s="69"/>
      <c r="O704" s="69"/>
      <c r="P704" s="69"/>
      <c r="Q704" s="69"/>
      <c r="R704" s="69"/>
    </row>
    <row r="705" spans="1:18" ht="15.75">
      <c r="A705" s="70" t="s">
        <v>1248</v>
      </c>
      <c r="B705" s="71" t="s">
        <v>1030</v>
      </c>
      <c r="C705" s="70"/>
      <c r="D705" s="75" t="s">
        <v>945</v>
      </c>
      <c r="E705" s="5" t="s">
        <v>12</v>
      </c>
      <c r="F705" s="81" t="s">
        <v>1249</v>
      </c>
      <c r="G705" s="20">
        <v>1</v>
      </c>
      <c r="H705" s="53">
        <v>5.4</v>
      </c>
      <c r="I705" s="25">
        <f>H705*$Q$711</f>
        <v>307.8</v>
      </c>
      <c r="J705" s="25">
        <f>H705*$Q$708*$Q$711</f>
        <v>373.66770390872887</v>
      </c>
      <c r="K705" s="25">
        <f>H705*$Q$709*$Q$711</f>
        <v>389.0577039087289</v>
      </c>
      <c r="L705" s="72"/>
      <c r="M705" s="72"/>
      <c r="N705" s="72"/>
      <c r="O705" s="72"/>
      <c r="P705" s="16" t="s">
        <v>19</v>
      </c>
      <c r="Q705" s="13">
        <f>SUM(H705:H737)</f>
        <v>444.39000000000004</v>
      </c>
      <c r="R705" s="72"/>
    </row>
    <row r="706" spans="1:18" ht="15.75">
      <c r="A706" s="70" t="s">
        <v>1248</v>
      </c>
      <c r="B706" s="71" t="s">
        <v>1250</v>
      </c>
      <c r="C706" s="70"/>
      <c r="D706" s="75" t="s">
        <v>1251</v>
      </c>
      <c r="E706" s="5" t="s">
        <v>12</v>
      </c>
      <c r="F706" s="81" t="s">
        <v>18</v>
      </c>
      <c r="G706" s="20">
        <v>1</v>
      </c>
      <c r="H706" s="53">
        <v>5.4</v>
      </c>
      <c r="I706" s="25">
        <f aca="true" t="shared" si="47" ref="I706:I737">H706*$Q$711</f>
        <v>307.8</v>
      </c>
      <c r="J706" s="25">
        <f aca="true" t="shared" si="48" ref="J706:J737">H706*$Q$708*$Q$711</f>
        <v>373.66770390872887</v>
      </c>
      <c r="K706" s="25">
        <f aca="true" t="shared" si="49" ref="K706:K737">H706*$Q$709*$Q$711</f>
        <v>389.0577039087289</v>
      </c>
      <c r="L706" s="72"/>
      <c r="M706" s="72"/>
      <c r="N706" s="72"/>
      <c r="O706" s="72"/>
      <c r="P706" s="17" t="s">
        <v>15</v>
      </c>
      <c r="Q706" s="9">
        <v>63.99</v>
      </c>
      <c r="R706" s="72"/>
    </row>
    <row r="707" spans="1:18" ht="15.75">
      <c r="A707" s="70" t="s">
        <v>350</v>
      </c>
      <c r="B707" s="70" t="s">
        <v>1252</v>
      </c>
      <c r="C707" s="70"/>
      <c r="D707" s="75" t="s">
        <v>1253</v>
      </c>
      <c r="E707" s="20"/>
      <c r="F707" s="81" t="s">
        <v>534</v>
      </c>
      <c r="G707" s="20">
        <v>1</v>
      </c>
      <c r="H707" s="31">
        <v>6</v>
      </c>
      <c r="I707" s="25">
        <f t="shared" si="47"/>
        <v>342</v>
      </c>
      <c r="J707" s="25">
        <f t="shared" si="48"/>
        <v>415.1863376763654</v>
      </c>
      <c r="K707" s="25">
        <f t="shared" si="49"/>
        <v>432.2863376763654</v>
      </c>
      <c r="L707" s="69"/>
      <c r="M707" s="69"/>
      <c r="N707" s="69"/>
      <c r="O707" s="69"/>
      <c r="P707" s="73" t="s">
        <v>111</v>
      </c>
      <c r="Q707" s="74">
        <f>Q706/Q705</f>
        <v>0.14399513940457706</v>
      </c>
      <c r="R707" s="69"/>
    </row>
    <row r="708" spans="1:18" ht="15.75">
      <c r="A708" s="70" t="s">
        <v>350</v>
      </c>
      <c r="B708" s="70" t="s">
        <v>1254</v>
      </c>
      <c r="C708" s="70"/>
      <c r="D708" s="75" t="s">
        <v>1255</v>
      </c>
      <c r="E708" s="45" t="s">
        <v>257</v>
      </c>
      <c r="F708" s="75" t="s">
        <v>623</v>
      </c>
      <c r="G708" s="20">
        <v>1</v>
      </c>
      <c r="H708" s="53">
        <v>19.99</v>
      </c>
      <c r="I708" s="25">
        <f t="shared" si="47"/>
        <v>1139.4299999999998</v>
      </c>
      <c r="J708" s="25">
        <f t="shared" si="48"/>
        <v>1383.2624816917573</v>
      </c>
      <c r="K708" s="25">
        <f t="shared" si="49"/>
        <v>1440.2339816917574</v>
      </c>
      <c r="L708" s="69"/>
      <c r="M708" s="69"/>
      <c r="N708" s="69"/>
      <c r="O708" s="69"/>
      <c r="P708" s="17" t="s">
        <v>16</v>
      </c>
      <c r="Q708" s="10">
        <f>1+Q706/Q705+0.07</f>
        <v>1.2139951394045772</v>
      </c>
      <c r="R708" s="69"/>
    </row>
    <row r="709" spans="1:18" ht="15.75">
      <c r="A709" s="70" t="s">
        <v>147</v>
      </c>
      <c r="B709" s="71" t="s">
        <v>1256</v>
      </c>
      <c r="C709" s="20"/>
      <c r="D709" s="75" t="s">
        <v>1257</v>
      </c>
      <c r="E709" s="44" t="s">
        <v>14</v>
      </c>
      <c r="F709" s="81" t="s">
        <v>154</v>
      </c>
      <c r="G709" s="20">
        <v>1</v>
      </c>
      <c r="H709" s="53">
        <v>63.5</v>
      </c>
      <c r="I709" s="25">
        <f t="shared" si="47"/>
        <v>3619.5</v>
      </c>
      <c r="J709" s="25">
        <f t="shared" si="48"/>
        <v>4394.055407074867</v>
      </c>
      <c r="K709" s="25">
        <f t="shared" si="49"/>
        <v>4575.030407074867</v>
      </c>
      <c r="L709" s="69"/>
      <c r="M709" s="69"/>
      <c r="N709" s="69"/>
      <c r="O709" s="69"/>
      <c r="P709" s="17" t="s">
        <v>16</v>
      </c>
      <c r="Q709" s="10">
        <f>1+Q706/Q705+0.12</f>
        <v>1.2639951394045772</v>
      </c>
      <c r="R709" s="69"/>
    </row>
    <row r="710" spans="1:18" ht="15.75">
      <c r="A710" s="76" t="s">
        <v>538</v>
      </c>
      <c r="B710" s="71" t="s">
        <v>820</v>
      </c>
      <c r="C710" s="20"/>
      <c r="D710" s="82" t="s">
        <v>1258</v>
      </c>
      <c r="E710" s="83" t="s">
        <v>24</v>
      </c>
      <c r="F710" s="79" t="s">
        <v>443</v>
      </c>
      <c r="G710" s="20">
        <v>1</v>
      </c>
      <c r="H710" s="53">
        <v>9.99</v>
      </c>
      <c r="I710" s="25">
        <f t="shared" si="47"/>
        <v>569.4300000000001</v>
      </c>
      <c r="J710" s="25">
        <f t="shared" si="48"/>
        <v>691.2852522311484</v>
      </c>
      <c r="K710" s="25">
        <f t="shared" si="49"/>
        <v>719.7567522311483</v>
      </c>
      <c r="L710" s="69"/>
      <c r="M710" s="69"/>
      <c r="N710" s="69"/>
      <c r="O710" s="69"/>
      <c r="P710" s="18"/>
      <c r="Q710" s="10"/>
      <c r="R710" s="69"/>
    </row>
    <row r="711" spans="1:18" ht="16.5" thickBot="1">
      <c r="A711" s="76" t="s">
        <v>538</v>
      </c>
      <c r="B711" s="71" t="s">
        <v>820</v>
      </c>
      <c r="C711" s="20"/>
      <c r="D711" s="82" t="s">
        <v>1258</v>
      </c>
      <c r="E711" s="83" t="s">
        <v>24</v>
      </c>
      <c r="F711" s="79" t="s">
        <v>608</v>
      </c>
      <c r="G711" s="20">
        <v>1</v>
      </c>
      <c r="H711" s="53">
        <v>9.99</v>
      </c>
      <c r="I711" s="25">
        <f t="shared" si="47"/>
        <v>569.4300000000001</v>
      </c>
      <c r="J711" s="25">
        <f t="shared" si="48"/>
        <v>691.2852522311484</v>
      </c>
      <c r="K711" s="25">
        <f t="shared" si="49"/>
        <v>719.7567522311483</v>
      </c>
      <c r="L711" s="69"/>
      <c r="M711" s="69"/>
      <c r="N711" s="69"/>
      <c r="O711" s="69"/>
      <c r="P711" s="39" t="s">
        <v>17</v>
      </c>
      <c r="Q711" s="12">
        <v>57</v>
      </c>
      <c r="R711" s="69"/>
    </row>
    <row r="712" spans="1:18" ht="15.75">
      <c r="A712" s="70" t="s">
        <v>952</v>
      </c>
      <c r="B712" s="70" t="s">
        <v>1259</v>
      </c>
      <c r="C712" s="70"/>
      <c r="D712" s="75" t="s">
        <v>1260</v>
      </c>
      <c r="E712" s="20"/>
      <c r="F712" s="81" t="s">
        <v>1261</v>
      </c>
      <c r="G712" s="20">
        <v>1</v>
      </c>
      <c r="H712" s="53">
        <v>12.5</v>
      </c>
      <c r="I712" s="25">
        <f t="shared" si="47"/>
        <v>712.5</v>
      </c>
      <c r="J712" s="25">
        <f t="shared" si="48"/>
        <v>864.9715368257612</v>
      </c>
      <c r="K712" s="25">
        <f t="shared" si="49"/>
        <v>900.5965368257613</v>
      </c>
      <c r="L712" s="69"/>
      <c r="M712" s="69"/>
      <c r="N712" s="69"/>
      <c r="O712" s="69"/>
      <c r="P712" s="69"/>
      <c r="Q712" s="69"/>
      <c r="R712" s="69"/>
    </row>
    <row r="713" spans="1:18" ht="15.75">
      <c r="A713" s="70" t="s">
        <v>952</v>
      </c>
      <c r="B713" s="70" t="s">
        <v>1262</v>
      </c>
      <c r="C713" s="70"/>
      <c r="D713" s="75" t="s">
        <v>1263</v>
      </c>
      <c r="E713" s="20"/>
      <c r="F713" s="81" t="s">
        <v>1264</v>
      </c>
      <c r="G713" s="20">
        <v>1</v>
      </c>
      <c r="H713" s="53">
        <v>12.5</v>
      </c>
      <c r="I713" s="25">
        <f t="shared" si="47"/>
        <v>712.5</v>
      </c>
      <c r="J713" s="25">
        <f t="shared" si="48"/>
        <v>864.9715368257612</v>
      </c>
      <c r="K713" s="25">
        <f t="shared" si="49"/>
        <v>900.5965368257613</v>
      </c>
      <c r="L713" s="69"/>
      <c r="M713" s="69"/>
      <c r="N713" s="69"/>
      <c r="O713" s="69"/>
      <c r="P713" s="69"/>
      <c r="Q713" s="69"/>
      <c r="R713" s="69"/>
    </row>
    <row r="714" spans="1:18" ht="15.75">
      <c r="A714" s="70" t="s">
        <v>908</v>
      </c>
      <c r="B714" s="70" t="s">
        <v>1265</v>
      </c>
      <c r="C714" s="70"/>
      <c r="D714" s="75" t="s">
        <v>1266</v>
      </c>
      <c r="E714" s="20"/>
      <c r="F714" s="81" t="s">
        <v>1267</v>
      </c>
      <c r="G714" s="20">
        <v>1</v>
      </c>
      <c r="H714" s="53">
        <v>12.5</v>
      </c>
      <c r="I714" s="25">
        <f t="shared" si="47"/>
        <v>712.5</v>
      </c>
      <c r="J714" s="25">
        <f t="shared" si="48"/>
        <v>864.9715368257612</v>
      </c>
      <c r="K714" s="25">
        <f t="shared" si="49"/>
        <v>900.5965368257613</v>
      </c>
      <c r="L714" s="69"/>
      <c r="M714" s="69"/>
      <c r="N714" s="69"/>
      <c r="O714" s="69"/>
      <c r="P714" s="69"/>
      <c r="Q714" s="69"/>
      <c r="R714" s="69"/>
    </row>
    <row r="715" spans="1:18" ht="15.75">
      <c r="A715" s="70" t="s">
        <v>952</v>
      </c>
      <c r="B715" s="70" t="s">
        <v>1268</v>
      </c>
      <c r="C715" s="70"/>
      <c r="D715" s="75" t="s">
        <v>1269</v>
      </c>
      <c r="E715" s="7"/>
      <c r="F715" s="81" t="s">
        <v>1270</v>
      </c>
      <c r="G715" s="20">
        <v>1</v>
      </c>
      <c r="H715" s="53">
        <v>12.5</v>
      </c>
      <c r="I715" s="25">
        <f t="shared" si="47"/>
        <v>712.5</v>
      </c>
      <c r="J715" s="25">
        <f t="shared" si="48"/>
        <v>864.9715368257612</v>
      </c>
      <c r="K715" s="25">
        <f t="shared" si="49"/>
        <v>900.5965368257613</v>
      </c>
      <c r="L715" s="69"/>
      <c r="M715" s="69"/>
      <c r="N715" s="69"/>
      <c r="O715" s="69"/>
      <c r="P715" s="69"/>
      <c r="Q715" s="69"/>
      <c r="R715" s="69"/>
    </row>
    <row r="716" spans="1:18" ht="15.75">
      <c r="A716" s="70" t="s">
        <v>350</v>
      </c>
      <c r="B716" s="70" t="s">
        <v>1268</v>
      </c>
      <c r="C716" s="70"/>
      <c r="D716" s="75" t="s">
        <v>1269</v>
      </c>
      <c r="E716" s="7"/>
      <c r="F716" s="81" t="s">
        <v>1270</v>
      </c>
      <c r="G716" s="20">
        <v>1</v>
      </c>
      <c r="H716" s="53">
        <v>12.5</v>
      </c>
      <c r="I716" s="25">
        <f t="shared" si="47"/>
        <v>712.5</v>
      </c>
      <c r="J716" s="25">
        <f t="shared" si="48"/>
        <v>864.9715368257612</v>
      </c>
      <c r="K716" s="25">
        <f t="shared" si="49"/>
        <v>900.5965368257613</v>
      </c>
      <c r="L716" s="69"/>
      <c r="M716" s="69"/>
      <c r="N716" s="69"/>
      <c r="O716" s="69"/>
      <c r="P716" s="69"/>
      <c r="Q716" s="69"/>
      <c r="R716" s="69"/>
    </row>
    <row r="717" spans="1:18" ht="15.75">
      <c r="A717" s="70" t="s">
        <v>1248</v>
      </c>
      <c r="B717" s="71" t="s">
        <v>1030</v>
      </c>
      <c r="C717" s="70"/>
      <c r="D717" s="75" t="s">
        <v>945</v>
      </c>
      <c r="E717" s="5" t="s">
        <v>12</v>
      </c>
      <c r="F717" s="81" t="s">
        <v>1271</v>
      </c>
      <c r="G717" s="20">
        <v>1</v>
      </c>
      <c r="H717" s="53">
        <v>5.4</v>
      </c>
      <c r="I717" s="25">
        <f t="shared" si="47"/>
        <v>307.8</v>
      </c>
      <c r="J717" s="25">
        <f t="shared" si="48"/>
        <v>373.66770390872887</v>
      </c>
      <c r="K717" s="25">
        <f t="shared" si="49"/>
        <v>389.0577039087289</v>
      </c>
      <c r="L717" s="72"/>
      <c r="M717" s="72"/>
      <c r="N717" s="72"/>
      <c r="O717" s="72"/>
      <c r="P717" s="72"/>
      <c r="Q717" s="72"/>
      <c r="R717" s="72"/>
    </row>
    <row r="718" spans="1:18" ht="15.75">
      <c r="A718" s="70" t="s">
        <v>1248</v>
      </c>
      <c r="B718" s="71" t="s">
        <v>1030</v>
      </c>
      <c r="C718" s="70"/>
      <c r="D718" s="75" t="s">
        <v>945</v>
      </c>
      <c r="E718" s="5" t="s">
        <v>12</v>
      </c>
      <c r="F718" s="81" t="s">
        <v>1272</v>
      </c>
      <c r="G718" s="20">
        <v>1</v>
      </c>
      <c r="H718" s="53">
        <v>5.4</v>
      </c>
      <c r="I718" s="25">
        <f t="shared" si="47"/>
        <v>307.8</v>
      </c>
      <c r="J718" s="25">
        <f t="shared" si="48"/>
        <v>373.66770390872887</v>
      </c>
      <c r="K718" s="25">
        <f t="shared" si="49"/>
        <v>389.0577039087289</v>
      </c>
      <c r="L718" s="72"/>
      <c r="M718" s="72"/>
      <c r="N718" s="72"/>
      <c r="O718" s="72"/>
      <c r="P718" s="72"/>
      <c r="Q718" s="72"/>
      <c r="R718" s="72"/>
    </row>
    <row r="719" spans="1:18" ht="15.75">
      <c r="A719" s="70" t="s">
        <v>1248</v>
      </c>
      <c r="B719" s="71" t="s">
        <v>1030</v>
      </c>
      <c r="C719" s="70"/>
      <c r="D719" s="75" t="s">
        <v>945</v>
      </c>
      <c r="E719" s="5" t="s">
        <v>12</v>
      </c>
      <c r="F719" s="81" t="s">
        <v>946</v>
      </c>
      <c r="G719" s="20">
        <v>1</v>
      </c>
      <c r="H719" s="53">
        <v>5.4</v>
      </c>
      <c r="I719" s="25">
        <f t="shared" si="47"/>
        <v>307.8</v>
      </c>
      <c r="J719" s="25">
        <f t="shared" si="48"/>
        <v>373.66770390872887</v>
      </c>
      <c r="K719" s="25">
        <f t="shared" si="49"/>
        <v>389.0577039087289</v>
      </c>
      <c r="L719" s="72"/>
      <c r="M719" s="72"/>
      <c r="N719" s="72"/>
      <c r="O719" s="72"/>
      <c r="P719" s="72"/>
      <c r="Q719" s="72"/>
      <c r="R719" s="72"/>
    </row>
    <row r="720" spans="1:18" ht="15.75">
      <c r="A720" s="70" t="s">
        <v>115</v>
      </c>
      <c r="B720" s="70" t="s">
        <v>1273</v>
      </c>
      <c r="C720" s="70"/>
      <c r="D720" s="75" t="s">
        <v>1274</v>
      </c>
      <c r="E720" s="20"/>
      <c r="F720" s="81" t="s">
        <v>1275</v>
      </c>
      <c r="G720" s="20">
        <v>1</v>
      </c>
      <c r="H720" s="31">
        <v>15</v>
      </c>
      <c r="I720" s="25">
        <f t="shared" si="47"/>
        <v>855</v>
      </c>
      <c r="J720" s="25">
        <f t="shared" si="48"/>
        <v>1037.9658441909135</v>
      </c>
      <c r="K720" s="25">
        <f t="shared" si="49"/>
        <v>1080.7158441909135</v>
      </c>
      <c r="L720" s="69"/>
      <c r="M720" s="69"/>
      <c r="N720" s="69"/>
      <c r="O720" s="69"/>
      <c r="P720" s="69"/>
      <c r="Q720" s="69"/>
      <c r="R720" s="69"/>
    </row>
    <row r="721" spans="1:18" ht="15.75">
      <c r="A721" s="70" t="s">
        <v>115</v>
      </c>
      <c r="B721" s="70" t="s">
        <v>1276</v>
      </c>
      <c r="C721" s="70"/>
      <c r="D721" s="75" t="s">
        <v>1277</v>
      </c>
      <c r="E721" s="20"/>
      <c r="F721" s="81" t="s">
        <v>1278</v>
      </c>
      <c r="G721" s="20">
        <v>1</v>
      </c>
      <c r="H721" s="31">
        <v>15</v>
      </c>
      <c r="I721" s="25">
        <f t="shared" si="47"/>
        <v>855</v>
      </c>
      <c r="J721" s="25">
        <f t="shared" si="48"/>
        <v>1037.9658441909135</v>
      </c>
      <c r="K721" s="25">
        <f t="shared" si="49"/>
        <v>1080.7158441909135</v>
      </c>
      <c r="L721" s="69"/>
      <c r="M721" s="69"/>
      <c r="N721" s="69"/>
      <c r="O721" s="69"/>
      <c r="P721" s="69"/>
      <c r="Q721" s="69"/>
      <c r="R721" s="69"/>
    </row>
    <row r="722" spans="1:18" ht="15.75">
      <c r="A722" s="70" t="s">
        <v>1125</v>
      </c>
      <c r="B722" s="70" t="s">
        <v>1268</v>
      </c>
      <c r="C722" s="70"/>
      <c r="D722" s="75" t="s">
        <v>1269</v>
      </c>
      <c r="E722" s="7"/>
      <c r="F722" s="81" t="s">
        <v>1270</v>
      </c>
      <c r="G722" s="20">
        <v>1</v>
      </c>
      <c r="H722" s="53">
        <v>12.5</v>
      </c>
      <c r="I722" s="25">
        <f t="shared" si="47"/>
        <v>712.5</v>
      </c>
      <c r="J722" s="25">
        <f t="shared" si="48"/>
        <v>864.9715368257612</v>
      </c>
      <c r="K722" s="25">
        <f t="shared" si="49"/>
        <v>900.5965368257613</v>
      </c>
      <c r="L722" s="69"/>
      <c r="M722" s="69"/>
      <c r="N722" s="69"/>
      <c r="O722" s="69"/>
      <c r="P722" s="69"/>
      <c r="Q722" s="69"/>
      <c r="R722" s="69"/>
    </row>
    <row r="723" spans="1:18" ht="15.75">
      <c r="A723" s="70" t="s">
        <v>545</v>
      </c>
      <c r="B723" s="70" t="s">
        <v>1268</v>
      </c>
      <c r="C723" s="70"/>
      <c r="D723" s="75" t="s">
        <v>1269</v>
      </c>
      <c r="E723" s="7"/>
      <c r="F723" s="81" t="s">
        <v>1270</v>
      </c>
      <c r="G723" s="20">
        <v>1</v>
      </c>
      <c r="H723" s="53">
        <v>12.5</v>
      </c>
      <c r="I723" s="25">
        <f t="shared" si="47"/>
        <v>712.5</v>
      </c>
      <c r="J723" s="25">
        <f t="shared" si="48"/>
        <v>864.9715368257612</v>
      </c>
      <c r="K723" s="25">
        <f t="shared" si="49"/>
        <v>900.5965368257613</v>
      </c>
      <c r="L723" s="69"/>
      <c r="M723" s="69"/>
      <c r="N723" s="69"/>
      <c r="O723" s="69"/>
      <c r="P723" s="69"/>
      <c r="Q723" s="69"/>
      <c r="R723" s="69"/>
    </row>
    <row r="724" spans="1:18" ht="15.75">
      <c r="A724" s="70" t="s">
        <v>350</v>
      </c>
      <c r="B724" s="70" t="s">
        <v>1279</v>
      </c>
      <c r="C724" s="70"/>
      <c r="D724" s="75" t="s">
        <v>1280</v>
      </c>
      <c r="E724" s="7"/>
      <c r="F724" s="81" t="s">
        <v>1281</v>
      </c>
      <c r="G724" s="20">
        <v>1</v>
      </c>
      <c r="H724" s="53">
        <v>12.5</v>
      </c>
      <c r="I724" s="25">
        <f t="shared" si="47"/>
        <v>712.5</v>
      </c>
      <c r="J724" s="25">
        <f t="shared" si="48"/>
        <v>864.9715368257612</v>
      </c>
      <c r="K724" s="25">
        <f t="shared" si="49"/>
        <v>900.5965368257613</v>
      </c>
      <c r="L724" s="69"/>
      <c r="M724" s="69"/>
      <c r="N724" s="69"/>
      <c r="O724" s="69"/>
      <c r="P724" s="69"/>
      <c r="Q724" s="69"/>
      <c r="R724" s="69"/>
    </row>
    <row r="725" spans="1:18" ht="15.75">
      <c r="A725" s="70" t="s">
        <v>538</v>
      </c>
      <c r="B725" s="70" t="s">
        <v>1279</v>
      </c>
      <c r="C725" s="70"/>
      <c r="D725" s="75" t="s">
        <v>1280</v>
      </c>
      <c r="E725" s="7"/>
      <c r="F725" s="81" t="s">
        <v>1281</v>
      </c>
      <c r="G725" s="20">
        <v>1</v>
      </c>
      <c r="H725" s="53">
        <v>12.5</v>
      </c>
      <c r="I725" s="25">
        <f t="shared" si="47"/>
        <v>712.5</v>
      </c>
      <c r="J725" s="25">
        <f t="shared" si="48"/>
        <v>864.9715368257612</v>
      </c>
      <c r="K725" s="25">
        <f t="shared" si="49"/>
        <v>900.5965368257613</v>
      </c>
      <c r="L725" s="69"/>
      <c r="M725" s="69"/>
      <c r="N725" s="69"/>
      <c r="O725" s="69"/>
      <c r="P725" s="69"/>
      <c r="Q725" s="69"/>
      <c r="R725" s="69"/>
    </row>
    <row r="726" spans="1:18" ht="15.75">
      <c r="A726" s="70" t="s">
        <v>952</v>
      </c>
      <c r="B726" s="70" t="s">
        <v>1282</v>
      </c>
      <c r="C726" s="70"/>
      <c r="D726" s="75" t="s">
        <v>1283</v>
      </c>
      <c r="E726" s="45"/>
      <c r="F726" s="81" t="s">
        <v>1284</v>
      </c>
      <c r="G726" s="20">
        <v>1</v>
      </c>
      <c r="H726" s="53">
        <v>12.5</v>
      </c>
      <c r="I726" s="25">
        <f t="shared" si="47"/>
        <v>712.5</v>
      </c>
      <c r="J726" s="25">
        <f t="shared" si="48"/>
        <v>864.9715368257612</v>
      </c>
      <c r="K726" s="25">
        <f t="shared" si="49"/>
        <v>900.5965368257613</v>
      </c>
      <c r="L726" s="69"/>
      <c r="M726" s="69"/>
      <c r="N726" s="69"/>
      <c r="O726" s="69"/>
      <c r="P726" s="69"/>
      <c r="Q726" s="69"/>
      <c r="R726" s="69"/>
    </row>
    <row r="727" spans="1:18" ht="15.75">
      <c r="A727" s="70" t="s">
        <v>463</v>
      </c>
      <c r="B727" s="70" t="s">
        <v>1285</v>
      </c>
      <c r="C727" s="70"/>
      <c r="D727" s="75" t="s">
        <v>1286</v>
      </c>
      <c r="E727" s="20"/>
      <c r="F727" s="81" t="s">
        <v>1287</v>
      </c>
      <c r="G727" s="20">
        <v>1</v>
      </c>
      <c r="H727" s="31">
        <v>6</v>
      </c>
      <c r="I727" s="25">
        <f t="shared" si="47"/>
        <v>342</v>
      </c>
      <c r="J727" s="25">
        <f t="shared" si="48"/>
        <v>415.1863376763654</v>
      </c>
      <c r="K727" s="25">
        <f t="shared" si="49"/>
        <v>432.2863376763654</v>
      </c>
      <c r="L727" s="69"/>
      <c r="M727" s="69"/>
      <c r="N727" s="69"/>
      <c r="O727" s="69"/>
      <c r="P727" s="69"/>
      <c r="Q727" s="69"/>
      <c r="R727" s="69"/>
    </row>
    <row r="728" spans="1:18" ht="15.75">
      <c r="A728" s="76" t="s">
        <v>538</v>
      </c>
      <c r="B728" s="76" t="s">
        <v>1288</v>
      </c>
      <c r="C728" s="76"/>
      <c r="D728" s="82" t="s">
        <v>1289</v>
      </c>
      <c r="F728" s="79" t="s">
        <v>1290</v>
      </c>
      <c r="G728" s="22">
        <v>1</v>
      </c>
      <c r="H728" s="23">
        <v>6</v>
      </c>
      <c r="I728" s="25">
        <f t="shared" si="47"/>
        <v>342</v>
      </c>
      <c r="J728" s="25">
        <f t="shared" si="48"/>
        <v>415.1863376763654</v>
      </c>
      <c r="K728" s="25">
        <f t="shared" si="49"/>
        <v>432.2863376763654</v>
      </c>
      <c r="L728" s="69"/>
      <c r="M728" s="69"/>
      <c r="N728" s="69"/>
      <c r="O728" s="69"/>
      <c r="P728" s="69"/>
      <c r="Q728" s="69"/>
      <c r="R728" s="69"/>
    </row>
    <row r="729" spans="1:18" ht="15.75">
      <c r="A729" s="76" t="s">
        <v>538</v>
      </c>
      <c r="B729" s="76" t="s">
        <v>1291</v>
      </c>
      <c r="C729" s="76"/>
      <c r="D729" s="82" t="s">
        <v>1292</v>
      </c>
      <c r="F729" s="79" t="s">
        <v>1293</v>
      </c>
      <c r="G729" s="22">
        <v>1</v>
      </c>
      <c r="H729" s="23">
        <v>6</v>
      </c>
      <c r="I729" s="25">
        <f t="shared" si="47"/>
        <v>342</v>
      </c>
      <c r="J729" s="25">
        <f t="shared" si="48"/>
        <v>415.1863376763654</v>
      </c>
      <c r="K729" s="25">
        <f t="shared" si="49"/>
        <v>432.2863376763654</v>
      </c>
      <c r="L729" s="69"/>
      <c r="M729" s="69"/>
      <c r="N729" s="69"/>
      <c r="O729" s="69"/>
      <c r="P729" s="69"/>
      <c r="Q729" s="69"/>
      <c r="R729" s="69"/>
    </row>
    <row r="730" spans="1:18" ht="15.75">
      <c r="A730" s="22" t="s">
        <v>602</v>
      </c>
      <c r="B730" s="76" t="s">
        <v>1294</v>
      </c>
      <c r="C730" s="76"/>
      <c r="D730" s="46" t="s">
        <v>1295</v>
      </c>
      <c r="E730" s="22" t="s">
        <v>273</v>
      </c>
      <c r="F730" s="6" t="s">
        <v>1296</v>
      </c>
      <c r="G730" s="22">
        <v>1</v>
      </c>
      <c r="H730" s="23">
        <v>26.95</v>
      </c>
      <c r="I730" s="25">
        <f t="shared" si="47"/>
        <v>1536.1499999999999</v>
      </c>
      <c r="J730" s="25">
        <f t="shared" si="48"/>
        <v>1864.8786333963412</v>
      </c>
      <c r="K730" s="25">
        <f t="shared" si="49"/>
        <v>1941.6861333963411</v>
      </c>
      <c r="L730" s="69"/>
      <c r="M730" s="69"/>
      <c r="N730" s="69"/>
      <c r="O730" s="69"/>
      <c r="P730" s="69"/>
      <c r="Q730" s="69"/>
      <c r="R730" s="69"/>
    </row>
    <row r="731" spans="1:18" ht="15.75">
      <c r="A731" s="76" t="s">
        <v>538</v>
      </c>
      <c r="B731" s="67" t="s">
        <v>1297</v>
      </c>
      <c r="C731" s="76"/>
      <c r="D731" s="82" t="s">
        <v>1298</v>
      </c>
      <c r="E731" s="14" t="s">
        <v>13</v>
      </c>
      <c r="F731" s="79" t="s">
        <v>1299</v>
      </c>
      <c r="G731" s="22">
        <v>1</v>
      </c>
      <c r="H731" s="50">
        <v>16.99</v>
      </c>
      <c r="I731" s="25">
        <f t="shared" si="47"/>
        <v>968.43</v>
      </c>
      <c r="J731" s="25">
        <f t="shared" si="48"/>
        <v>1175.6693128535746</v>
      </c>
      <c r="K731" s="25">
        <f t="shared" si="49"/>
        <v>1224.0908128535746</v>
      </c>
      <c r="L731" s="69"/>
      <c r="M731" s="69"/>
      <c r="N731" s="69"/>
      <c r="O731" s="69"/>
      <c r="P731" s="69"/>
      <c r="Q731" s="69"/>
      <c r="R731" s="69"/>
    </row>
    <row r="732" spans="1:18" ht="15.75">
      <c r="A732" s="76" t="s">
        <v>538</v>
      </c>
      <c r="B732" s="67" t="s">
        <v>1297</v>
      </c>
      <c r="C732" s="76"/>
      <c r="D732" s="82" t="s">
        <v>1298</v>
      </c>
      <c r="E732" s="14" t="s">
        <v>13</v>
      </c>
      <c r="F732" s="79" t="s">
        <v>1300</v>
      </c>
      <c r="G732" s="22">
        <v>1</v>
      </c>
      <c r="H732" s="50">
        <v>16.99</v>
      </c>
      <c r="I732" s="25">
        <f t="shared" si="47"/>
        <v>968.43</v>
      </c>
      <c r="J732" s="25">
        <f t="shared" si="48"/>
        <v>1175.6693128535746</v>
      </c>
      <c r="K732" s="25">
        <f t="shared" si="49"/>
        <v>1224.0908128535746</v>
      </c>
      <c r="L732" s="69"/>
      <c r="M732" s="69"/>
      <c r="N732" s="69"/>
      <c r="O732" s="69"/>
      <c r="P732" s="69"/>
      <c r="Q732" s="69"/>
      <c r="R732" s="69"/>
    </row>
    <row r="733" spans="1:18" ht="15.75">
      <c r="A733" s="70" t="s">
        <v>115</v>
      </c>
      <c r="B733" s="70" t="s">
        <v>1301</v>
      </c>
      <c r="C733" s="70"/>
      <c r="D733" s="75" t="s">
        <v>1302</v>
      </c>
      <c r="E733" s="20" t="s">
        <v>12</v>
      </c>
      <c r="F733" s="51" t="s">
        <v>1303</v>
      </c>
      <c r="G733" s="20">
        <v>1</v>
      </c>
      <c r="H733" s="31">
        <v>49.99</v>
      </c>
      <c r="I733" s="25">
        <f t="shared" si="47"/>
        <v>2849.4300000000003</v>
      </c>
      <c r="J733" s="25">
        <f t="shared" si="48"/>
        <v>3459.1941700735842</v>
      </c>
      <c r="K733" s="25">
        <f t="shared" si="49"/>
        <v>3601.665670073585</v>
      </c>
      <c r="L733" s="72"/>
      <c r="M733" s="72"/>
      <c r="N733" s="72"/>
      <c r="O733" s="72"/>
      <c r="P733" s="72"/>
      <c r="Q733" s="72"/>
      <c r="R733" s="72"/>
    </row>
    <row r="734" spans="1:18" ht="15.75">
      <c r="A734" s="70" t="s">
        <v>1213</v>
      </c>
      <c r="B734" s="70" t="s">
        <v>1304</v>
      </c>
      <c r="C734" s="70"/>
      <c r="D734" s="75" t="s">
        <v>1305</v>
      </c>
      <c r="E734" s="20"/>
      <c r="F734" s="81" t="s">
        <v>1306</v>
      </c>
      <c r="G734" s="20">
        <v>1</v>
      </c>
      <c r="H734" s="31">
        <v>6</v>
      </c>
      <c r="I734" s="25">
        <f t="shared" si="47"/>
        <v>342</v>
      </c>
      <c r="J734" s="25">
        <f t="shared" si="48"/>
        <v>415.1863376763654</v>
      </c>
      <c r="K734" s="25">
        <f t="shared" si="49"/>
        <v>432.2863376763654</v>
      </c>
      <c r="L734" s="69"/>
      <c r="M734" s="69"/>
      <c r="N734" s="69"/>
      <c r="O734" s="69"/>
      <c r="P734" s="69"/>
      <c r="Q734" s="69"/>
      <c r="R734" s="69"/>
    </row>
    <row r="735" spans="1:18" ht="15.75">
      <c r="A735" s="70" t="s">
        <v>1125</v>
      </c>
      <c r="B735" s="71" t="s">
        <v>1307</v>
      </c>
      <c r="C735" s="70"/>
      <c r="D735" s="75" t="s">
        <v>1308</v>
      </c>
      <c r="E735" s="5"/>
      <c r="F735" s="75" t="s">
        <v>1309</v>
      </c>
      <c r="G735" s="20">
        <v>1</v>
      </c>
      <c r="H735" s="31">
        <v>6</v>
      </c>
      <c r="I735" s="25">
        <f t="shared" si="47"/>
        <v>342</v>
      </c>
      <c r="J735" s="25">
        <f t="shared" si="48"/>
        <v>415.1863376763654</v>
      </c>
      <c r="K735" s="25">
        <f t="shared" si="49"/>
        <v>432.2863376763654</v>
      </c>
      <c r="L735" s="69"/>
      <c r="M735" s="69"/>
      <c r="N735" s="69"/>
      <c r="O735" s="69"/>
      <c r="P735" s="69"/>
      <c r="Q735" s="69"/>
      <c r="R735" s="69"/>
    </row>
    <row r="736" spans="1:18" ht="15.75">
      <c r="A736" s="70" t="s">
        <v>350</v>
      </c>
      <c r="B736" s="71" t="s">
        <v>1307</v>
      </c>
      <c r="C736" s="70"/>
      <c r="D736" s="75" t="s">
        <v>1308</v>
      </c>
      <c r="E736" s="5"/>
      <c r="F736" s="75" t="s">
        <v>1309</v>
      </c>
      <c r="G736" s="20">
        <v>1</v>
      </c>
      <c r="H736" s="31">
        <v>6</v>
      </c>
      <c r="I736" s="25">
        <f t="shared" si="47"/>
        <v>342</v>
      </c>
      <c r="J736" s="25">
        <f t="shared" si="48"/>
        <v>415.1863376763654</v>
      </c>
      <c r="K736" s="25">
        <f t="shared" si="49"/>
        <v>432.2863376763654</v>
      </c>
      <c r="L736" s="72"/>
      <c r="M736" s="72"/>
      <c r="N736" s="72"/>
      <c r="O736" s="72"/>
      <c r="P736" s="72"/>
      <c r="Q736" s="72"/>
      <c r="R736" s="72"/>
    </row>
    <row r="737" spans="1:18" ht="15.75">
      <c r="A737" s="70" t="s">
        <v>350</v>
      </c>
      <c r="B737" s="71" t="s">
        <v>1310</v>
      </c>
      <c r="C737" s="70"/>
      <c r="D737" s="75" t="s">
        <v>1311</v>
      </c>
      <c r="E737" s="5"/>
      <c r="F737" s="81" t="s">
        <v>1312</v>
      </c>
      <c r="G737" s="20">
        <v>1</v>
      </c>
      <c r="H737" s="31">
        <v>6</v>
      </c>
      <c r="I737" s="25">
        <f t="shared" si="47"/>
        <v>342</v>
      </c>
      <c r="J737" s="25">
        <f t="shared" si="48"/>
        <v>415.1863376763654</v>
      </c>
      <c r="K737" s="25">
        <f t="shared" si="49"/>
        <v>432.2863376763654</v>
      </c>
      <c r="L737" s="72"/>
      <c r="M737" s="72"/>
      <c r="N737" s="72"/>
      <c r="O737" s="72"/>
      <c r="P737" s="72"/>
      <c r="Q737" s="72"/>
      <c r="R737" s="72"/>
    </row>
    <row r="738" spans="1:11" s="72" customFormat="1" ht="15.75">
      <c r="A738" s="84" t="s">
        <v>1191</v>
      </c>
      <c r="B738" s="85" t="s">
        <v>1318</v>
      </c>
      <c r="C738" s="84"/>
      <c r="D738" s="86" t="s">
        <v>1319</v>
      </c>
      <c r="E738" s="42" t="s">
        <v>7</v>
      </c>
      <c r="F738" s="90" t="s">
        <v>1320</v>
      </c>
      <c r="G738" s="84"/>
      <c r="H738" s="91"/>
      <c r="I738" s="89" t="s">
        <v>205</v>
      </c>
      <c r="J738" s="84"/>
      <c r="K738" s="84"/>
    </row>
    <row r="739" spans="1:11" s="72" customFormat="1" ht="15.75">
      <c r="A739" s="84" t="s">
        <v>91</v>
      </c>
      <c r="B739" s="84" t="s">
        <v>1321</v>
      </c>
      <c r="C739" s="84"/>
      <c r="D739" s="87" t="s">
        <v>1322</v>
      </c>
      <c r="E739" s="87" t="s">
        <v>1323</v>
      </c>
      <c r="F739" s="92" t="s">
        <v>1324</v>
      </c>
      <c r="G739" s="84"/>
      <c r="I739" s="89" t="s">
        <v>205</v>
      </c>
      <c r="J739" s="84"/>
      <c r="K739" s="84"/>
    </row>
    <row r="740" spans="1:11" s="72" customFormat="1" ht="15.75">
      <c r="A740" s="84" t="s">
        <v>350</v>
      </c>
      <c r="B740" s="84" t="s">
        <v>1325</v>
      </c>
      <c r="C740" s="84"/>
      <c r="D740" s="86" t="s">
        <v>1326</v>
      </c>
      <c r="E740" s="92" t="s">
        <v>257</v>
      </c>
      <c r="F740" s="93" t="s">
        <v>1327</v>
      </c>
      <c r="G740" s="84"/>
      <c r="I740" s="89" t="s">
        <v>205</v>
      </c>
      <c r="J740" s="84"/>
      <c r="K740" s="84"/>
    </row>
    <row r="741" spans="1:11" s="72" customFormat="1" ht="15.75">
      <c r="A741" s="84" t="s">
        <v>350</v>
      </c>
      <c r="B741" s="84" t="s">
        <v>1328</v>
      </c>
      <c r="C741" s="84"/>
      <c r="D741" s="86" t="s">
        <v>1329</v>
      </c>
      <c r="E741" s="92" t="s">
        <v>257</v>
      </c>
      <c r="F741" s="93" t="s">
        <v>1330</v>
      </c>
      <c r="G741" s="84"/>
      <c r="H741" s="88"/>
      <c r="I741" s="89" t="s">
        <v>205</v>
      </c>
      <c r="J741" s="84"/>
      <c r="K741" s="84"/>
    </row>
    <row r="742" spans="1:11" s="72" customFormat="1" ht="15.75">
      <c r="A742" s="84" t="s">
        <v>350</v>
      </c>
      <c r="B742" s="84" t="s">
        <v>1331</v>
      </c>
      <c r="C742" s="84"/>
      <c r="D742" s="86" t="s">
        <v>1332</v>
      </c>
      <c r="E742" s="92" t="s">
        <v>257</v>
      </c>
      <c r="F742" s="93" t="s">
        <v>1333</v>
      </c>
      <c r="G742" s="84"/>
      <c r="H742" s="88"/>
      <c r="I742" s="89" t="s">
        <v>205</v>
      </c>
      <c r="J742" s="84"/>
      <c r="K742" s="84"/>
    </row>
    <row r="743" spans="1:11" s="72" customFormat="1" ht="15.75">
      <c r="A743" s="84" t="s">
        <v>350</v>
      </c>
      <c r="B743" s="84" t="s">
        <v>1334</v>
      </c>
      <c r="C743" s="84"/>
      <c r="D743" s="86" t="s">
        <v>1335</v>
      </c>
      <c r="E743" s="93" t="s">
        <v>1336</v>
      </c>
      <c r="F743" s="93" t="s">
        <v>1337</v>
      </c>
      <c r="G743" s="84">
        <v>1</v>
      </c>
      <c r="H743" s="88">
        <v>9.99</v>
      </c>
      <c r="I743" s="89" t="s">
        <v>205</v>
      </c>
      <c r="J743" s="84"/>
      <c r="K743" s="84"/>
    </row>
    <row r="744" spans="1:11" s="72" customFormat="1" ht="15.75">
      <c r="A744" s="84" t="s">
        <v>350</v>
      </c>
      <c r="B744" s="84" t="s">
        <v>1338</v>
      </c>
      <c r="C744" s="84"/>
      <c r="D744" s="86" t="s">
        <v>1339</v>
      </c>
      <c r="E744" s="92" t="s">
        <v>257</v>
      </c>
      <c r="F744" s="93" t="s">
        <v>1340</v>
      </c>
      <c r="G744" s="84">
        <v>1</v>
      </c>
      <c r="H744" s="88">
        <v>14.99</v>
      </c>
      <c r="I744" s="89" t="s">
        <v>205</v>
      </c>
      <c r="J744" s="84"/>
      <c r="K744" s="84"/>
    </row>
    <row r="745" spans="1:11" s="72" customFormat="1" ht="15.75">
      <c r="A745" s="84" t="s">
        <v>350</v>
      </c>
      <c r="B745" s="84" t="s">
        <v>1325</v>
      </c>
      <c r="C745" s="84"/>
      <c r="D745" s="87" t="s">
        <v>1326</v>
      </c>
      <c r="E745" s="92" t="s">
        <v>257</v>
      </c>
      <c r="F745" s="92" t="s">
        <v>1341</v>
      </c>
      <c r="G745" s="84">
        <v>1</v>
      </c>
      <c r="H745" s="88">
        <v>9.99</v>
      </c>
      <c r="I745" s="89" t="s">
        <v>205</v>
      </c>
      <c r="J745" s="84"/>
      <c r="K745" s="84"/>
    </row>
    <row r="746" spans="1:11" s="72" customFormat="1" ht="15.75">
      <c r="A746" s="84" t="s">
        <v>350</v>
      </c>
      <c r="B746" s="84" t="s">
        <v>1342</v>
      </c>
      <c r="C746" s="84"/>
      <c r="D746" s="87" t="s">
        <v>1343</v>
      </c>
      <c r="E746" s="84" t="s">
        <v>257</v>
      </c>
      <c r="F746" s="87" t="s">
        <v>18</v>
      </c>
      <c r="G746" s="84">
        <v>1</v>
      </c>
      <c r="H746" s="89">
        <v>9.99</v>
      </c>
      <c r="I746" s="89" t="s">
        <v>205</v>
      </c>
      <c r="J746" s="84"/>
      <c r="K746" s="84"/>
    </row>
    <row r="747" spans="1:11" s="72" customFormat="1" ht="15.75">
      <c r="A747" s="84" t="s">
        <v>350</v>
      </c>
      <c r="B747" s="84" t="s">
        <v>1344</v>
      </c>
      <c r="C747" s="84"/>
      <c r="D747" s="87" t="s">
        <v>1345</v>
      </c>
      <c r="E747" s="84" t="s">
        <v>1346</v>
      </c>
      <c r="F747" s="94" t="s">
        <v>268</v>
      </c>
      <c r="G747" s="84">
        <v>1</v>
      </c>
      <c r="H747" s="89">
        <v>6.99</v>
      </c>
      <c r="I747" s="89" t="s">
        <v>205</v>
      </c>
      <c r="J747" s="84"/>
      <c r="K747" s="84"/>
    </row>
    <row r="748" spans="1:11" s="72" customFormat="1" ht="15.75">
      <c r="A748" s="84" t="s">
        <v>350</v>
      </c>
      <c r="B748" s="84" t="s">
        <v>1347</v>
      </c>
      <c r="C748" s="84"/>
      <c r="D748" s="87" t="s">
        <v>1348</v>
      </c>
      <c r="E748" s="84" t="s">
        <v>13</v>
      </c>
      <c r="F748" s="95" t="s">
        <v>481</v>
      </c>
      <c r="G748" s="84">
        <v>1</v>
      </c>
      <c r="H748" s="89">
        <f>5.99*0.7</f>
        <v>4.193</v>
      </c>
      <c r="I748" s="89" t="s">
        <v>205</v>
      </c>
      <c r="J748" s="84"/>
      <c r="K748" s="84"/>
    </row>
    <row r="749" spans="1:11" s="72" customFormat="1" ht="15.75">
      <c r="A749" s="84" t="s">
        <v>292</v>
      </c>
      <c r="B749" s="84" t="s">
        <v>1349</v>
      </c>
      <c r="C749" s="84"/>
      <c r="D749" s="87" t="s">
        <v>1350</v>
      </c>
      <c r="E749" s="42" t="s">
        <v>554</v>
      </c>
      <c r="F749" s="87" t="s">
        <v>1351</v>
      </c>
      <c r="G749" s="84">
        <v>1</v>
      </c>
      <c r="H749" s="28">
        <v>22.99</v>
      </c>
      <c r="I749" s="89" t="s">
        <v>205</v>
      </c>
      <c r="J749" s="84"/>
      <c r="K749" s="84"/>
    </row>
    <row r="750" spans="1:11" s="72" customFormat="1" ht="15.75">
      <c r="A750" s="84" t="s">
        <v>952</v>
      </c>
      <c r="B750" s="85" t="s">
        <v>1314</v>
      </c>
      <c r="C750" s="84"/>
      <c r="D750" s="86" t="s">
        <v>1315</v>
      </c>
      <c r="F750" s="87"/>
      <c r="G750" s="84">
        <v>1</v>
      </c>
      <c r="H750" s="88">
        <v>6</v>
      </c>
      <c r="I750" s="89" t="s">
        <v>205</v>
      </c>
      <c r="J750" s="84"/>
      <c r="K750" s="84"/>
    </row>
    <row r="751" spans="1:11" s="72" customFormat="1" ht="15">
      <c r="A751" s="84" t="s">
        <v>952</v>
      </c>
      <c r="B751" s="84" t="s">
        <v>1316</v>
      </c>
      <c r="C751" s="84"/>
      <c r="D751" s="84"/>
      <c r="E751" s="84"/>
      <c r="F751" s="84"/>
      <c r="G751" s="84"/>
      <c r="H751" s="89"/>
      <c r="I751" s="89" t="s">
        <v>205</v>
      </c>
      <c r="J751" s="84"/>
      <c r="K751" s="84"/>
    </row>
    <row r="752" spans="1:11" s="72" customFormat="1" ht="15.75">
      <c r="A752" s="84" t="s">
        <v>115</v>
      </c>
      <c r="B752" s="84" t="s">
        <v>1317</v>
      </c>
      <c r="C752" s="84"/>
      <c r="D752" s="87"/>
      <c r="E752" s="84"/>
      <c r="F752" s="87"/>
      <c r="G752" s="84">
        <v>1</v>
      </c>
      <c r="H752" s="88">
        <v>10</v>
      </c>
      <c r="I752" s="89" t="s">
        <v>205</v>
      </c>
      <c r="J752" s="84"/>
      <c r="K752" s="84"/>
    </row>
    <row r="753" spans="1:8" ht="15.75">
      <c r="A753" s="76"/>
      <c r="B753" s="67"/>
      <c r="C753" s="76"/>
      <c r="D753" s="80"/>
      <c r="E753" s="67"/>
      <c r="F753" s="27" t="s">
        <v>1352</v>
      </c>
      <c r="G753" s="76"/>
      <c r="H753" s="96"/>
    </row>
    <row r="754" spans="1:8" ht="15.75">
      <c r="A754" s="70" t="s">
        <v>115</v>
      </c>
      <c r="B754" s="76" t="s">
        <v>1353</v>
      </c>
      <c r="C754" s="76"/>
      <c r="D754" s="80" t="s">
        <v>1354</v>
      </c>
      <c r="E754" s="76" t="s">
        <v>273</v>
      </c>
      <c r="F754" s="97" t="s">
        <v>1355</v>
      </c>
      <c r="G754" s="76">
        <v>1</v>
      </c>
      <c r="H754" s="98">
        <f>49.5/2</f>
        <v>24.75</v>
      </c>
    </row>
    <row r="755" spans="1:8" ht="15.75">
      <c r="A755" s="76" t="s">
        <v>147</v>
      </c>
      <c r="B755" s="67" t="s">
        <v>1356</v>
      </c>
      <c r="C755" s="76"/>
      <c r="D755" s="77" t="s">
        <v>1357</v>
      </c>
      <c r="E755" s="67" t="s">
        <v>24</v>
      </c>
      <c r="F755" s="78" t="s">
        <v>434</v>
      </c>
      <c r="G755" s="76">
        <v>1</v>
      </c>
      <c r="H755" s="98">
        <f>49.5/2</f>
        <v>24.75</v>
      </c>
    </row>
  </sheetData>
  <sheetProtection formatCells="0" formatColumns="0" formatRows="0" insertColumns="0" insertRows="0" deleteColumns="0" deleteRows="0" sort="0"/>
  <autoFilter ref="A1:R749"/>
  <hyperlinks>
    <hyperlink ref="B8" r:id="rId1" display="https://www.victoriassecret.com/sale/clearancepanties/lace-floral-v-string-panty-pink?ProductID=247505&amp;CatalogueType=OLS "/>
    <hyperlink ref="B3" r:id="rId2" display="https://www.victoriassecret.com/clothing/tees-steals/the-essential-bra-top-cami?ProductID=241965&amp;CatalogueType=OLS"/>
    <hyperlink ref="B4" r:id="rId3" display="https://www.victoriassecret.com/clothing/tees-steals/the-essential-bra-top-cami?ProductID=241965&amp;CatalogueType=OLS"/>
    <hyperlink ref="B33" r:id="rId4" display="https://www.victoriassecret.com/swimwear/shop-by-size/the-unforgettable-demi-top-forever-sexy?ProductID=232163&amp;CatalogueType=OLS"/>
    <hyperlink ref="B273" r:id="rId5" display="https://www.victoriassecret.com//swimwear/all-bottoms/the-knockout-bikini-beach-sexy?ProductID=246068&amp;CatalogueType=OLS&amp;origin=search"/>
    <hyperlink ref="B269" r:id="rId6" display="https://www.victoriassecret.com/swimwear/shop-by-size/the-strappy-bandeau-beach-sexy?ProductID=246132&amp;CatalogueType=OLS "/>
    <hyperlink ref="B270" r:id="rId7" display="https://www.victoriassecret.com/swimwear/shop-by-size/the-itsy-beach-sexy?ProductID=246124&amp;CatalogueType=OLS"/>
    <hyperlink ref="B512" r:id="rId8" display="https://www.victoriassecret.com/swimwear/shop-by-size/fringe-bandeau-beach-sexy?ProductID=228890&amp;CatalogueType=OLS"/>
  </hyperlinks>
  <printOptions/>
  <pageMargins left="0.7" right="0.7" top="0.75" bottom="0.75" header="0.3" footer="0.3"/>
  <pageSetup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dcterms:created xsi:type="dcterms:W3CDTF">2011-09-07T07:17:52Z</dcterms:created>
  <dcterms:modified xsi:type="dcterms:W3CDTF">2015-07-16T06:57:31Z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