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ПВ\Молодежная одежда  GOOD\Галерея 2 закупка\"/>
    </mc:Choice>
  </mc:AlternateContent>
  <bookViews>
    <workbookView xWindow="0" yWindow="0" windowWidth="20490" windowHeight="9630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305" i="1" l="1"/>
  <c r="U1305" i="1"/>
  <c r="T1305" i="1"/>
  <c r="S1305" i="1"/>
  <c r="R1305" i="1"/>
  <c r="Q1305" i="1"/>
  <c r="P1305" i="1"/>
  <c r="L1305" i="1"/>
  <c r="V1304" i="1"/>
  <c r="U1304" i="1"/>
  <c r="T1304" i="1"/>
  <c r="S1304" i="1"/>
  <c r="R1304" i="1"/>
  <c r="Q1304" i="1"/>
  <c r="P1304" i="1"/>
  <c r="L1304" i="1"/>
  <c r="V1303" i="1"/>
  <c r="U1303" i="1"/>
  <c r="T1303" i="1"/>
  <c r="S1303" i="1"/>
  <c r="R1303" i="1"/>
  <c r="Q1303" i="1"/>
  <c r="P1303" i="1"/>
  <c r="L1303" i="1"/>
  <c r="V1302" i="1"/>
  <c r="U1302" i="1"/>
  <c r="T1302" i="1"/>
  <c r="S1302" i="1"/>
  <c r="R1302" i="1"/>
  <c r="Q1302" i="1"/>
  <c r="P1302" i="1"/>
  <c r="L1302" i="1"/>
  <c r="V1301" i="1"/>
  <c r="U1301" i="1"/>
  <c r="T1301" i="1"/>
  <c r="S1301" i="1"/>
  <c r="R1301" i="1"/>
  <c r="Q1301" i="1"/>
  <c r="P1301" i="1"/>
  <c r="L1301" i="1"/>
  <c r="V1300" i="1"/>
  <c r="U1300" i="1"/>
  <c r="T1300" i="1"/>
  <c r="S1300" i="1"/>
  <c r="R1300" i="1"/>
  <c r="Q1300" i="1"/>
  <c r="P1300" i="1"/>
  <c r="L1300" i="1"/>
  <c r="U1299" i="1"/>
  <c r="T1299" i="1"/>
  <c r="S1299" i="1"/>
  <c r="R1299" i="1"/>
  <c r="Q1299" i="1"/>
  <c r="L1299" i="1"/>
  <c r="U1298" i="1"/>
  <c r="T1298" i="1"/>
  <c r="S1298" i="1"/>
  <c r="R1298" i="1"/>
  <c r="Q1298" i="1"/>
  <c r="L1298" i="1"/>
  <c r="V1297" i="1"/>
  <c r="U1297" i="1"/>
  <c r="T1297" i="1"/>
  <c r="S1297" i="1"/>
  <c r="R1297" i="1"/>
  <c r="Q1297" i="1"/>
  <c r="P1297" i="1"/>
  <c r="L1297" i="1"/>
  <c r="V1296" i="1"/>
  <c r="U1296" i="1"/>
  <c r="T1296" i="1"/>
  <c r="S1296" i="1"/>
  <c r="R1296" i="1"/>
  <c r="Q1296" i="1"/>
  <c r="P1296" i="1"/>
  <c r="L1296" i="1"/>
  <c r="V1295" i="1"/>
  <c r="U1295" i="1"/>
  <c r="T1295" i="1"/>
  <c r="S1295" i="1"/>
  <c r="R1295" i="1"/>
  <c r="Q1295" i="1"/>
  <c r="P1295" i="1"/>
  <c r="L1295" i="1"/>
  <c r="V1294" i="1"/>
  <c r="U1294" i="1"/>
  <c r="T1294" i="1"/>
  <c r="S1294" i="1"/>
  <c r="R1294" i="1"/>
  <c r="Q1294" i="1"/>
  <c r="P1294" i="1"/>
  <c r="L1294" i="1"/>
  <c r="V1293" i="1"/>
  <c r="U1293" i="1"/>
  <c r="T1293" i="1"/>
  <c r="S1293" i="1"/>
  <c r="R1293" i="1"/>
  <c r="Q1293" i="1"/>
  <c r="P1293" i="1"/>
  <c r="L1293" i="1"/>
  <c r="V1292" i="1"/>
  <c r="U1292" i="1"/>
  <c r="T1292" i="1"/>
  <c r="S1292" i="1"/>
  <c r="R1292" i="1"/>
  <c r="Q1292" i="1"/>
  <c r="P1292" i="1"/>
  <c r="L1292" i="1"/>
  <c r="V1291" i="1"/>
  <c r="U1291" i="1"/>
  <c r="T1291" i="1"/>
  <c r="S1291" i="1"/>
  <c r="R1291" i="1"/>
  <c r="Q1291" i="1"/>
  <c r="P1291" i="1"/>
  <c r="L1291" i="1"/>
  <c r="V1290" i="1"/>
  <c r="U1290" i="1"/>
  <c r="T1290" i="1"/>
  <c r="S1290" i="1"/>
  <c r="R1290" i="1"/>
  <c r="Q1290" i="1"/>
  <c r="P1290" i="1"/>
  <c r="L1290" i="1"/>
  <c r="V1289" i="1"/>
  <c r="U1289" i="1"/>
  <c r="T1289" i="1"/>
  <c r="S1289" i="1"/>
  <c r="R1289" i="1"/>
  <c r="Q1289" i="1"/>
  <c r="P1289" i="1"/>
  <c r="L1289" i="1"/>
  <c r="V1288" i="1"/>
  <c r="U1288" i="1"/>
  <c r="T1288" i="1"/>
  <c r="S1288" i="1"/>
  <c r="R1288" i="1"/>
  <c r="Q1288" i="1"/>
  <c r="P1288" i="1"/>
  <c r="L1288" i="1"/>
  <c r="V1287" i="1"/>
  <c r="U1287" i="1"/>
  <c r="T1287" i="1"/>
  <c r="S1287" i="1"/>
  <c r="R1287" i="1"/>
  <c r="Q1287" i="1"/>
  <c r="P1287" i="1"/>
  <c r="L1287" i="1"/>
  <c r="V1286" i="1"/>
  <c r="U1286" i="1"/>
  <c r="T1286" i="1"/>
  <c r="S1286" i="1"/>
  <c r="R1286" i="1"/>
  <c r="Q1286" i="1"/>
  <c r="P1286" i="1"/>
  <c r="L1286" i="1"/>
  <c r="V1285" i="1"/>
  <c r="U1285" i="1"/>
  <c r="T1285" i="1"/>
  <c r="S1285" i="1"/>
  <c r="R1285" i="1"/>
  <c r="Q1285" i="1"/>
  <c r="P1285" i="1"/>
  <c r="L1285" i="1"/>
  <c r="V1284" i="1"/>
  <c r="U1284" i="1"/>
  <c r="T1284" i="1"/>
  <c r="S1284" i="1"/>
  <c r="R1284" i="1"/>
  <c r="Q1284" i="1"/>
  <c r="P1284" i="1"/>
  <c r="L1284" i="1"/>
  <c r="V1283" i="1"/>
  <c r="U1283" i="1"/>
  <c r="T1283" i="1"/>
  <c r="S1283" i="1"/>
  <c r="R1283" i="1"/>
  <c r="Q1283" i="1"/>
  <c r="P1283" i="1"/>
  <c r="L1283" i="1"/>
  <c r="V1282" i="1"/>
  <c r="U1282" i="1"/>
  <c r="T1282" i="1"/>
  <c r="S1282" i="1"/>
  <c r="R1282" i="1"/>
  <c r="Q1282" i="1"/>
  <c r="P1282" i="1"/>
  <c r="L1282" i="1"/>
  <c r="V1281" i="1"/>
  <c r="U1281" i="1"/>
  <c r="T1281" i="1"/>
  <c r="S1281" i="1"/>
  <c r="R1281" i="1"/>
  <c r="Q1281" i="1"/>
  <c r="P1281" i="1"/>
  <c r="L1281" i="1"/>
  <c r="V1280" i="1"/>
  <c r="U1280" i="1"/>
  <c r="T1280" i="1"/>
  <c r="S1280" i="1"/>
  <c r="R1280" i="1"/>
  <c r="Q1280" i="1"/>
  <c r="P1280" i="1"/>
  <c r="L1280" i="1"/>
  <c r="V1279" i="1"/>
  <c r="U1279" i="1"/>
  <c r="T1279" i="1"/>
  <c r="S1279" i="1"/>
  <c r="R1279" i="1"/>
  <c r="Q1279" i="1"/>
  <c r="P1279" i="1"/>
  <c r="L1279" i="1"/>
  <c r="V1278" i="1"/>
  <c r="U1278" i="1"/>
  <c r="T1278" i="1"/>
  <c r="S1278" i="1"/>
  <c r="R1278" i="1"/>
  <c r="Q1278" i="1"/>
  <c r="P1278" i="1"/>
  <c r="L1278" i="1"/>
  <c r="V1277" i="1"/>
  <c r="U1277" i="1"/>
  <c r="T1277" i="1"/>
  <c r="S1277" i="1"/>
  <c r="R1277" i="1"/>
  <c r="Q1277" i="1"/>
  <c r="P1277" i="1"/>
  <c r="L1277" i="1"/>
  <c r="V1276" i="1"/>
  <c r="U1276" i="1"/>
  <c r="T1276" i="1"/>
  <c r="S1276" i="1"/>
  <c r="R1276" i="1"/>
  <c r="Q1276" i="1"/>
  <c r="P1276" i="1"/>
  <c r="L1276" i="1"/>
  <c r="V1275" i="1"/>
  <c r="U1275" i="1"/>
  <c r="T1275" i="1"/>
  <c r="S1275" i="1"/>
  <c r="R1275" i="1"/>
  <c r="Q1275" i="1"/>
  <c r="P1275" i="1"/>
  <c r="L1275" i="1"/>
  <c r="V1274" i="1"/>
  <c r="U1274" i="1"/>
  <c r="T1274" i="1"/>
  <c r="S1274" i="1"/>
  <c r="R1274" i="1"/>
  <c r="Q1274" i="1"/>
  <c r="P1274" i="1"/>
  <c r="L1274" i="1"/>
  <c r="V1273" i="1"/>
  <c r="U1273" i="1"/>
  <c r="T1273" i="1"/>
  <c r="S1273" i="1"/>
  <c r="R1273" i="1"/>
  <c r="Q1273" i="1"/>
  <c r="P1273" i="1"/>
  <c r="L1273" i="1"/>
  <c r="V1272" i="1"/>
  <c r="U1272" i="1"/>
  <c r="T1272" i="1"/>
  <c r="S1272" i="1"/>
  <c r="R1272" i="1"/>
  <c r="Q1272" i="1"/>
  <c r="P1272" i="1"/>
  <c r="L1272" i="1"/>
  <c r="V1271" i="1"/>
  <c r="U1271" i="1"/>
  <c r="T1271" i="1"/>
  <c r="S1271" i="1"/>
  <c r="R1271" i="1"/>
  <c r="Q1271" i="1"/>
  <c r="P1271" i="1"/>
  <c r="L1271" i="1"/>
  <c r="V1270" i="1"/>
  <c r="U1270" i="1"/>
  <c r="T1270" i="1"/>
  <c r="S1270" i="1"/>
  <c r="R1270" i="1"/>
  <c r="Q1270" i="1"/>
  <c r="P1270" i="1"/>
  <c r="L1270" i="1"/>
  <c r="V1269" i="1"/>
  <c r="U1269" i="1"/>
  <c r="T1269" i="1"/>
  <c r="S1269" i="1"/>
  <c r="R1269" i="1"/>
  <c r="Q1269" i="1"/>
  <c r="P1269" i="1"/>
  <c r="L1269" i="1"/>
  <c r="V1268" i="1"/>
  <c r="U1268" i="1"/>
  <c r="T1268" i="1"/>
  <c r="S1268" i="1"/>
  <c r="R1268" i="1"/>
  <c r="Q1268" i="1"/>
  <c r="P1268" i="1"/>
  <c r="L1268" i="1"/>
  <c r="V1267" i="1"/>
  <c r="U1267" i="1"/>
  <c r="T1267" i="1"/>
  <c r="S1267" i="1"/>
  <c r="R1267" i="1"/>
  <c r="Q1267" i="1"/>
  <c r="P1267" i="1"/>
  <c r="L1267" i="1"/>
  <c r="V1266" i="1"/>
  <c r="U1266" i="1"/>
  <c r="T1266" i="1"/>
  <c r="S1266" i="1"/>
  <c r="R1266" i="1"/>
  <c r="Q1266" i="1"/>
  <c r="P1266" i="1"/>
  <c r="L1266" i="1"/>
  <c r="V1265" i="1"/>
  <c r="U1265" i="1"/>
  <c r="T1265" i="1"/>
  <c r="S1265" i="1"/>
  <c r="R1265" i="1"/>
  <c r="Q1265" i="1"/>
  <c r="P1265" i="1"/>
  <c r="L1265" i="1"/>
  <c r="V1264" i="1"/>
  <c r="U1264" i="1"/>
  <c r="T1264" i="1"/>
  <c r="S1264" i="1"/>
  <c r="R1264" i="1"/>
  <c r="Q1264" i="1"/>
  <c r="P1264" i="1"/>
  <c r="L1264" i="1"/>
  <c r="V1263" i="1"/>
  <c r="U1263" i="1"/>
  <c r="T1263" i="1"/>
  <c r="S1263" i="1"/>
  <c r="R1263" i="1"/>
  <c r="Q1263" i="1"/>
  <c r="P1263" i="1"/>
  <c r="L1263" i="1"/>
  <c r="V1262" i="1"/>
  <c r="U1262" i="1"/>
  <c r="T1262" i="1"/>
  <c r="S1262" i="1"/>
  <c r="R1262" i="1"/>
  <c r="Q1262" i="1"/>
  <c r="P1262" i="1"/>
  <c r="L1262" i="1"/>
  <c r="V1261" i="1"/>
  <c r="U1261" i="1"/>
  <c r="T1261" i="1"/>
  <c r="S1261" i="1"/>
  <c r="R1261" i="1"/>
  <c r="Q1261" i="1"/>
  <c r="P1261" i="1"/>
  <c r="L1261" i="1"/>
  <c r="V1260" i="1"/>
  <c r="U1260" i="1"/>
  <c r="T1260" i="1"/>
  <c r="S1260" i="1"/>
  <c r="R1260" i="1"/>
  <c r="Q1260" i="1"/>
  <c r="P1260" i="1"/>
  <c r="L1260" i="1"/>
  <c r="V1259" i="1"/>
  <c r="U1259" i="1"/>
  <c r="T1259" i="1"/>
  <c r="S1259" i="1"/>
  <c r="R1259" i="1"/>
  <c r="Q1259" i="1"/>
  <c r="P1259" i="1"/>
  <c r="L1259" i="1"/>
  <c r="V1258" i="1"/>
  <c r="U1258" i="1"/>
  <c r="T1258" i="1"/>
  <c r="S1258" i="1"/>
  <c r="R1258" i="1"/>
  <c r="Q1258" i="1"/>
  <c r="P1258" i="1"/>
  <c r="L1258" i="1"/>
  <c r="V1257" i="1"/>
  <c r="U1257" i="1"/>
  <c r="T1257" i="1"/>
  <c r="S1257" i="1"/>
  <c r="R1257" i="1"/>
  <c r="Q1257" i="1"/>
  <c r="P1257" i="1"/>
  <c r="L1257" i="1"/>
  <c r="V1255" i="1"/>
  <c r="U1255" i="1"/>
  <c r="T1255" i="1"/>
  <c r="S1255" i="1"/>
  <c r="R1255" i="1"/>
  <c r="Q1255" i="1"/>
  <c r="P1255" i="1"/>
  <c r="L1255" i="1"/>
  <c r="V1254" i="1"/>
  <c r="U1254" i="1"/>
  <c r="T1254" i="1"/>
  <c r="S1254" i="1"/>
  <c r="R1254" i="1"/>
  <c r="Q1254" i="1"/>
  <c r="P1254" i="1"/>
  <c r="L1254" i="1"/>
  <c r="V1253" i="1"/>
  <c r="U1253" i="1"/>
  <c r="T1253" i="1"/>
  <c r="S1253" i="1"/>
  <c r="R1253" i="1"/>
  <c r="Q1253" i="1"/>
  <c r="P1253" i="1"/>
  <c r="L1253" i="1"/>
  <c r="V1252" i="1"/>
  <c r="U1252" i="1"/>
  <c r="T1252" i="1"/>
  <c r="S1252" i="1"/>
  <c r="R1252" i="1"/>
  <c r="Q1252" i="1"/>
  <c r="P1252" i="1"/>
  <c r="L1252" i="1"/>
  <c r="V1250" i="1"/>
  <c r="U1250" i="1"/>
  <c r="T1250" i="1"/>
  <c r="S1250" i="1"/>
  <c r="R1250" i="1"/>
  <c r="Q1250" i="1"/>
  <c r="P1250" i="1"/>
  <c r="L1250" i="1"/>
  <c r="V1249" i="1"/>
  <c r="U1249" i="1"/>
  <c r="T1249" i="1"/>
  <c r="S1249" i="1"/>
  <c r="R1249" i="1"/>
  <c r="Q1249" i="1"/>
  <c r="P1249" i="1"/>
  <c r="L1249" i="1"/>
  <c r="V1248" i="1"/>
  <c r="U1248" i="1"/>
  <c r="T1248" i="1"/>
  <c r="S1248" i="1"/>
  <c r="R1248" i="1"/>
  <c r="Q1248" i="1"/>
  <c r="P1248" i="1"/>
  <c r="L1248" i="1"/>
  <c r="V1247" i="1"/>
  <c r="U1247" i="1"/>
  <c r="T1247" i="1"/>
  <c r="S1247" i="1"/>
  <c r="R1247" i="1"/>
  <c r="Q1247" i="1"/>
  <c r="P1247" i="1"/>
  <c r="L1247" i="1"/>
  <c r="V1246" i="1"/>
  <c r="U1246" i="1"/>
  <c r="T1246" i="1"/>
  <c r="S1246" i="1"/>
  <c r="R1246" i="1"/>
  <c r="Q1246" i="1"/>
  <c r="P1246" i="1"/>
  <c r="L1246" i="1"/>
  <c r="V1245" i="1"/>
  <c r="U1245" i="1"/>
  <c r="T1245" i="1"/>
  <c r="S1245" i="1"/>
  <c r="R1245" i="1"/>
  <c r="Q1245" i="1"/>
  <c r="P1245" i="1"/>
  <c r="L1245" i="1"/>
  <c r="V1244" i="1"/>
  <c r="U1244" i="1"/>
  <c r="T1244" i="1"/>
  <c r="S1244" i="1"/>
  <c r="R1244" i="1"/>
  <c r="Q1244" i="1"/>
  <c r="P1244" i="1"/>
  <c r="L1244" i="1"/>
  <c r="V1243" i="1"/>
  <c r="U1243" i="1"/>
  <c r="T1243" i="1"/>
  <c r="S1243" i="1"/>
  <c r="R1243" i="1"/>
  <c r="Q1243" i="1"/>
  <c r="P1243" i="1"/>
  <c r="L1243" i="1"/>
  <c r="V1242" i="1"/>
  <c r="U1242" i="1"/>
  <c r="T1242" i="1"/>
  <c r="S1242" i="1"/>
  <c r="R1242" i="1"/>
  <c r="Q1242" i="1"/>
  <c r="P1242" i="1"/>
  <c r="L1242" i="1"/>
  <c r="V1241" i="1"/>
  <c r="U1241" i="1"/>
  <c r="T1241" i="1"/>
  <c r="S1241" i="1"/>
  <c r="R1241" i="1"/>
  <c r="Q1241" i="1"/>
  <c r="P1241" i="1"/>
  <c r="L1241" i="1"/>
  <c r="V1240" i="1"/>
  <c r="U1240" i="1"/>
  <c r="T1240" i="1"/>
  <c r="S1240" i="1"/>
  <c r="R1240" i="1"/>
  <c r="Q1240" i="1"/>
  <c r="P1240" i="1"/>
  <c r="L1240" i="1"/>
  <c r="V1239" i="1"/>
  <c r="U1239" i="1"/>
  <c r="T1239" i="1"/>
  <c r="S1239" i="1"/>
  <c r="R1239" i="1"/>
  <c r="Q1239" i="1"/>
  <c r="P1239" i="1"/>
  <c r="L1239" i="1"/>
  <c r="V1238" i="1"/>
  <c r="U1238" i="1"/>
  <c r="T1238" i="1"/>
  <c r="S1238" i="1"/>
  <c r="R1238" i="1"/>
  <c r="Q1238" i="1"/>
  <c r="P1238" i="1"/>
  <c r="L1238" i="1"/>
  <c r="V1237" i="1"/>
  <c r="U1237" i="1"/>
  <c r="T1237" i="1"/>
  <c r="S1237" i="1"/>
  <c r="R1237" i="1"/>
  <c r="Q1237" i="1"/>
  <c r="P1237" i="1"/>
  <c r="L1237" i="1"/>
  <c r="V1236" i="1"/>
  <c r="U1236" i="1"/>
  <c r="T1236" i="1"/>
  <c r="S1236" i="1"/>
  <c r="R1236" i="1"/>
  <c r="Q1236" i="1"/>
  <c r="P1236" i="1"/>
  <c r="L1236" i="1"/>
  <c r="V1235" i="1"/>
  <c r="U1235" i="1"/>
  <c r="T1235" i="1"/>
  <c r="S1235" i="1"/>
  <c r="R1235" i="1"/>
  <c r="Q1235" i="1"/>
  <c r="P1235" i="1"/>
  <c r="L1235" i="1"/>
  <c r="V1234" i="1"/>
  <c r="U1234" i="1"/>
  <c r="T1234" i="1"/>
  <c r="S1234" i="1"/>
  <c r="R1234" i="1"/>
  <c r="Q1234" i="1"/>
  <c r="P1234" i="1"/>
  <c r="L1234" i="1"/>
  <c r="V1233" i="1"/>
  <c r="U1233" i="1"/>
  <c r="T1233" i="1"/>
  <c r="S1233" i="1"/>
  <c r="R1233" i="1"/>
  <c r="Q1233" i="1"/>
  <c r="P1233" i="1"/>
  <c r="L1233" i="1"/>
  <c r="V1232" i="1"/>
  <c r="U1232" i="1"/>
  <c r="T1232" i="1"/>
  <c r="S1232" i="1"/>
  <c r="R1232" i="1"/>
  <c r="Q1232" i="1"/>
  <c r="P1232" i="1"/>
  <c r="L1232" i="1"/>
  <c r="V1231" i="1"/>
  <c r="U1231" i="1"/>
  <c r="T1231" i="1"/>
  <c r="S1231" i="1"/>
  <c r="R1231" i="1"/>
  <c r="Q1231" i="1"/>
  <c r="P1231" i="1"/>
  <c r="L1231" i="1"/>
  <c r="V1230" i="1"/>
  <c r="U1230" i="1"/>
  <c r="T1230" i="1"/>
  <c r="S1230" i="1"/>
  <c r="R1230" i="1"/>
  <c r="Q1230" i="1"/>
  <c r="P1230" i="1"/>
  <c r="L1230" i="1"/>
  <c r="V1229" i="1"/>
  <c r="U1229" i="1"/>
  <c r="T1229" i="1"/>
  <c r="S1229" i="1"/>
  <c r="R1229" i="1"/>
  <c r="Q1229" i="1"/>
  <c r="P1229" i="1"/>
  <c r="L1229" i="1"/>
  <c r="V1228" i="1"/>
  <c r="U1228" i="1"/>
  <c r="T1228" i="1"/>
  <c r="S1228" i="1"/>
  <c r="R1228" i="1"/>
  <c r="Q1228" i="1"/>
  <c r="P1228" i="1"/>
  <c r="L1228" i="1"/>
  <c r="V1227" i="1"/>
  <c r="U1227" i="1"/>
  <c r="T1227" i="1"/>
  <c r="S1227" i="1"/>
  <c r="R1227" i="1"/>
  <c r="Q1227" i="1"/>
  <c r="P1227" i="1"/>
  <c r="L1227" i="1"/>
  <c r="V1226" i="1"/>
  <c r="U1226" i="1"/>
  <c r="T1226" i="1"/>
  <c r="S1226" i="1"/>
  <c r="R1226" i="1"/>
  <c r="Q1226" i="1"/>
  <c r="P1226" i="1"/>
  <c r="L1226" i="1"/>
  <c r="V1225" i="1"/>
  <c r="U1225" i="1"/>
  <c r="T1225" i="1"/>
  <c r="S1225" i="1"/>
  <c r="R1225" i="1"/>
  <c r="Q1225" i="1"/>
  <c r="P1225" i="1"/>
  <c r="L1225" i="1"/>
  <c r="V1224" i="1"/>
  <c r="U1224" i="1"/>
  <c r="T1224" i="1"/>
  <c r="S1224" i="1"/>
  <c r="R1224" i="1"/>
  <c r="Q1224" i="1"/>
  <c r="P1224" i="1"/>
  <c r="L1224" i="1"/>
  <c r="V1223" i="1"/>
  <c r="U1223" i="1"/>
  <c r="T1223" i="1"/>
  <c r="S1223" i="1"/>
  <c r="R1223" i="1"/>
  <c r="Q1223" i="1"/>
  <c r="P1223" i="1"/>
  <c r="L1223" i="1"/>
  <c r="V1222" i="1"/>
  <c r="U1222" i="1"/>
  <c r="T1222" i="1"/>
  <c r="S1222" i="1"/>
  <c r="R1222" i="1"/>
  <c r="Q1222" i="1"/>
  <c r="P1222" i="1"/>
  <c r="L1222" i="1"/>
  <c r="V1221" i="1"/>
  <c r="U1221" i="1"/>
  <c r="T1221" i="1"/>
  <c r="S1221" i="1"/>
  <c r="R1221" i="1"/>
  <c r="Q1221" i="1"/>
  <c r="P1221" i="1"/>
  <c r="L1221" i="1"/>
  <c r="V1220" i="1"/>
  <c r="U1220" i="1"/>
  <c r="T1220" i="1"/>
  <c r="S1220" i="1"/>
  <c r="R1220" i="1"/>
  <c r="Q1220" i="1"/>
  <c r="P1220" i="1"/>
  <c r="L1220" i="1"/>
  <c r="V1219" i="1"/>
  <c r="U1219" i="1"/>
  <c r="T1219" i="1"/>
  <c r="S1219" i="1"/>
  <c r="R1219" i="1"/>
  <c r="Q1219" i="1"/>
  <c r="P1219" i="1"/>
  <c r="L1219" i="1"/>
  <c r="V1218" i="1"/>
  <c r="U1218" i="1"/>
  <c r="T1218" i="1"/>
  <c r="S1218" i="1"/>
  <c r="R1218" i="1"/>
  <c r="Q1218" i="1"/>
  <c r="P1218" i="1"/>
  <c r="L1218" i="1"/>
  <c r="V1217" i="1"/>
  <c r="U1217" i="1"/>
  <c r="T1217" i="1"/>
  <c r="S1217" i="1"/>
  <c r="R1217" i="1"/>
  <c r="Q1217" i="1"/>
  <c r="P1217" i="1"/>
  <c r="L1217" i="1"/>
  <c r="V1216" i="1"/>
  <c r="U1216" i="1"/>
  <c r="T1216" i="1"/>
  <c r="S1216" i="1"/>
  <c r="R1216" i="1"/>
  <c r="Q1216" i="1"/>
  <c r="P1216" i="1"/>
  <c r="L1216" i="1"/>
  <c r="V1215" i="1"/>
  <c r="U1215" i="1"/>
  <c r="T1215" i="1"/>
  <c r="S1215" i="1"/>
  <c r="R1215" i="1"/>
  <c r="Q1215" i="1"/>
  <c r="P1215" i="1"/>
  <c r="L1215" i="1"/>
  <c r="V1214" i="1"/>
  <c r="U1214" i="1"/>
  <c r="T1214" i="1"/>
  <c r="S1214" i="1"/>
  <c r="R1214" i="1"/>
  <c r="Q1214" i="1"/>
  <c r="P1214" i="1"/>
  <c r="L1214" i="1"/>
  <c r="V1213" i="1"/>
  <c r="U1213" i="1"/>
  <c r="T1213" i="1"/>
  <c r="S1213" i="1"/>
  <c r="R1213" i="1"/>
  <c r="Q1213" i="1"/>
  <c r="P1213" i="1"/>
  <c r="L1213" i="1"/>
  <c r="V1212" i="1"/>
  <c r="U1212" i="1"/>
  <c r="T1212" i="1"/>
  <c r="S1212" i="1"/>
  <c r="R1212" i="1"/>
  <c r="Q1212" i="1"/>
  <c r="P1212" i="1"/>
  <c r="L1212" i="1"/>
  <c r="V1211" i="1"/>
  <c r="U1211" i="1"/>
  <c r="T1211" i="1"/>
  <c r="S1211" i="1"/>
  <c r="R1211" i="1"/>
  <c r="Q1211" i="1"/>
  <c r="P1211" i="1"/>
  <c r="L1211" i="1"/>
  <c r="V1210" i="1"/>
  <c r="U1210" i="1"/>
  <c r="T1210" i="1"/>
  <c r="S1210" i="1"/>
  <c r="R1210" i="1"/>
  <c r="Q1210" i="1"/>
  <c r="P1210" i="1"/>
  <c r="L1210" i="1"/>
  <c r="V1209" i="1"/>
  <c r="U1209" i="1"/>
  <c r="T1209" i="1"/>
  <c r="S1209" i="1"/>
  <c r="R1209" i="1"/>
  <c r="Q1209" i="1"/>
  <c r="P1209" i="1"/>
  <c r="L1209" i="1"/>
  <c r="V1208" i="1"/>
  <c r="U1208" i="1"/>
  <c r="T1208" i="1"/>
  <c r="S1208" i="1"/>
  <c r="R1208" i="1"/>
  <c r="Q1208" i="1"/>
  <c r="P1208" i="1"/>
  <c r="L1208" i="1"/>
  <c r="V1207" i="1"/>
  <c r="U1207" i="1"/>
  <c r="T1207" i="1"/>
  <c r="S1207" i="1"/>
  <c r="R1207" i="1"/>
  <c r="Q1207" i="1"/>
  <c r="P1207" i="1"/>
  <c r="L1207" i="1"/>
  <c r="V1205" i="1"/>
  <c r="U1205" i="1"/>
  <c r="T1205" i="1"/>
  <c r="S1205" i="1"/>
  <c r="R1205" i="1"/>
  <c r="Q1205" i="1"/>
  <c r="P1205" i="1"/>
  <c r="L1205" i="1"/>
  <c r="V1204" i="1"/>
  <c r="U1204" i="1"/>
  <c r="T1204" i="1"/>
  <c r="S1204" i="1"/>
  <c r="R1204" i="1"/>
  <c r="Q1204" i="1"/>
  <c r="P1204" i="1"/>
  <c r="L1204" i="1"/>
  <c r="V1202" i="1"/>
  <c r="U1202" i="1"/>
  <c r="T1202" i="1"/>
  <c r="S1202" i="1"/>
  <c r="R1202" i="1"/>
  <c r="Q1202" i="1"/>
  <c r="P1202" i="1"/>
  <c r="L1202" i="1"/>
  <c r="V1201" i="1"/>
  <c r="U1201" i="1"/>
  <c r="T1201" i="1"/>
  <c r="S1201" i="1"/>
  <c r="R1201" i="1"/>
  <c r="Q1201" i="1"/>
  <c r="P1201" i="1"/>
  <c r="L1201" i="1"/>
  <c r="V1200" i="1"/>
  <c r="U1200" i="1"/>
  <c r="T1200" i="1"/>
  <c r="S1200" i="1"/>
  <c r="R1200" i="1"/>
  <c r="Q1200" i="1"/>
  <c r="P1200" i="1"/>
  <c r="L1200" i="1"/>
  <c r="V1197" i="1"/>
  <c r="U1197" i="1"/>
  <c r="T1197" i="1"/>
  <c r="S1197" i="1"/>
  <c r="R1197" i="1"/>
  <c r="Q1197" i="1"/>
  <c r="P1197" i="1"/>
  <c r="L1197" i="1"/>
  <c r="V1196" i="1"/>
  <c r="U1196" i="1"/>
  <c r="T1196" i="1"/>
  <c r="S1196" i="1"/>
  <c r="R1196" i="1"/>
  <c r="Q1196" i="1"/>
  <c r="P1196" i="1"/>
  <c r="L1196" i="1"/>
  <c r="V1194" i="1"/>
  <c r="U1194" i="1"/>
  <c r="T1194" i="1"/>
  <c r="S1194" i="1"/>
  <c r="R1194" i="1"/>
  <c r="Q1194" i="1"/>
  <c r="P1194" i="1"/>
  <c r="L1194" i="1"/>
  <c r="V1193" i="1"/>
  <c r="U1193" i="1"/>
  <c r="T1193" i="1"/>
  <c r="S1193" i="1"/>
  <c r="R1193" i="1"/>
  <c r="Q1193" i="1"/>
  <c r="P1193" i="1"/>
  <c r="L1193" i="1"/>
  <c r="V1192" i="1"/>
  <c r="U1192" i="1"/>
  <c r="T1192" i="1"/>
  <c r="S1192" i="1"/>
  <c r="R1192" i="1"/>
  <c r="Q1192" i="1"/>
  <c r="P1192" i="1"/>
  <c r="L1192" i="1"/>
  <c r="V1191" i="1"/>
  <c r="U1191" i="1"/>
  <c r="T1191" i="1"/>
  <c r="S1191" i="1"/>
  <c r="R1191" i="1"/>
  <c r="Q1191" i="1"/>
  <c r="P1191" i="1"/>
  <c r="L1191" i="1"/>
  <c r="V1190" i="1"/>
  <c r="U1190" i="1"/>
  <c r="T1190" i="1"/>
  <c r="S1190" i="1"/>
  <c r="R1190" i="1"/>
  <c r="Q1190" i="1"/>
  <c r="P1190" i="1"/>
  <c r="L1190" i="1"/>
  <c r="V1189" i="1"/>
  <c r="U1189" i="1"/>
  <c r="T1189" i="1"/>
  <c r="S1189" i="1"/>
  <c r="R1189" i="1"/>
  <c r="Q1189" i="1"/>
  <c r="P1189" i="1"/>
  <c r="L1189" i="1"/>
  <c r="V1188" i="1"/>
  <c r="U1188" i="1"/>
  <c r="T1188" i="1"/>
  <c r="S1188" i="1"/>
  <c r="R1188" i="1"/>
  <c r="Q1188" i="1"/>
  <c r="P1188" i="1"/>
  <c r="L1188" i="1"/>
  <c r="V1187" i="1"/>
  <c r="U1187" i="1"/>
  <c r="T1187" i="1"/>
  <c r="S1187" i="1"/>
  <c r="R1187" i="1"/>
  <c r="Q1187" i="1"/>
  <c r="P1187" i="1"/>
  <c r="L1187" i="1"/>
  <c r="V1186" i="1"/>
  <c r="U1186" i="1"/>
  <c r="T1186" i="1"/>
  <c r="S1186" i="1"/>
  <c r="R1186" i="1"/>
  <c r="Q1186" i="1"/>
  <c r="P1186" i="1"/>
  <c r="L1186" i="1"/>
  <c r="V1185" i="1"/>
  <c r="U1185" i="1"/>
  <c r="T1185" i="1"/>
  <c r="S1185" i="1"/>
  <c r="R1185" i="1"/>
  <c r="Q1185" i="1"/>
  <c r="P1185" i="1"/>
  <c r="L1185" i="1"/>
  <c r="V1183" i="1"/>
  <c r="U1183" i="1"/>
  <c r="T1183" i="1"/>
  <c r="S1183" i="1"/>
  <c r="R1183" i="1"/>
  <c r="Q1183" i="1"/>
  <c r="L1183" i="1"/>
  <c r="V1182" i="1"/>
  <c r="U1182" i="1"/>
  <c r="T1182" i="1"/>
  <c r="S1182" i="1"/>
  <c r="R1182" i="1"/>
  <c r="Q1182" i="1"/>
  <c r="P1182" i="1"/>
  <c r="L1182" i="1"/>
  <c r="V1181" i="1"/>
  <c r="U1181" i="1"/>
  <c r="T1181" i="1"/>
  <c r="S1181" i="1"/>
  <c r="R1181" i="1"/>
  <c r="Q1181" i="1"/>
  <c r="P1181" i="1"/>
  <c r="L1181" i="1"/>
  <c r="V1180" i="1"/>
  <c r="U1180" i="1"/>
  <c r="T1180" i="1"/>
  <c r="S1180" i="1"/>
  <c r="R1180" i="1"/>
  <c r="Q1180" i="1"/>
  <c r="P1180" i="1"/>
  <c r="L1180" i="1"/>
  <c r="V1179" i="1"/>
  <c r="U1179" i="1"/>
  <c r="T1179" i="1"/>
  <c r="S1179" i="1"/>
  <c r="R1179" i="1"/>
  <c r="Q1179" i="1"/>
  <c r="P1179" i="1"/>
  <c r="L1179" i="1"/>
  <c r="V1178" i="1"/>
  <c r="U1178" i="1"/>
  <c r="T1178" i="1"/>
  <c r="S1178" i="1"/>
  <c r="R1178" i="1"/>
  <c r="Q1178" i="1"/>
  <c r="P1178" i="1"/>
  <c r="L1178" i="1"/>
  <c r="V1177" i="1"/>
  <c r="U1177" i="1"/>
  <c r="T1177" i="1"/>
  <c r="S1177" i="1"/>
  <c r="R1177" i="1"/>
  <c r="Q1177" i="1"/>
  <c r="P1177" i="1"/>
  <c r="L1177" i="1"/>
  <c r="V1176" i="1"/>
  <c r="U1176" i="1"/>
  <c r="T1176" i="1"/>
  <c r="S1176" i="1"/>
  <c r="R1176" i="1"/>
  <c r="Q1176" i="1"/>
  <c r="P1176" i="1"/>
  <c r="L1176" i="1"/>
  <c r="V1175" i="1"/>
  <c r="U1175" i="1"/>
  <c r="T1175" i="1"/>
  <c r="S1175" i="1"/>
  <c r="R1175" i="1"/>
  <c r="Q1175" i="1"/>
  <c r="P1175" i="1"/>
  <c r="L1175" i="1"/>
  <c r="V1174" i="1"/>
  <c r="U1174" i="1"/>
  <c r="T1174" i="1"/>
  <c r="S1174" i="1"/>
  <c r="R1174" i="1"/>
  <c r="Q1174" i="1"/>
  <c r="P1174" i="1"/>
  <c r="L1174" i="1"/>
  <c r="V1173" i="1"/>
  <c r="U1173" i="1"/>
  <c r="T1173" i="1"/>
  <c r="S1173" i="1"/>
  <c r="R1173" i="1"/>
  <c r="Q1173" i="1"/>
  <c r="P1173" i="1"/>
  <c r="L1173" i="1"/>
  <c r="V1172" i="1"/>
  <c r="U1172" i="1"/>
  <c r="T1172" i="1"/>
  <c r="S1172" i="1"/>
  <c r="R1172" i="1"/>
  <c r="Q1172" i="1"/>
  <c r="P1172" i="1"/>
  <c r="L1172" i="1"/>
  <c r="V1171" i="1"/>
  <c r="U1171" i="1"/>
  <c r="T1171" i="1"/>
  <c r="S1171" i="1"/>
  <c r="R1171" i="1"/>
  <c r="Q1171" i="1"/>
  <c r="P1171" i="1"/>
  <c r="L1171" i="1"/>
  <c r="V1170" i="1"/>
  <c r="U1170" i="1"/>
  <c r="T1170" i="1"/>
  <c r="S1170" i="1"/>
  <c r="R1170" i="1"/>
  <c r="Q1170" i="1"/>
  <c r="P1170" i="1"/>
  <c r="L1170" i="1"/>
  <c r="V1169" i="1"/>
  <c r="U1169" i="1"/>
  <c r="T1169" i="1"/>
  <c r="S1169" i="1"/>
  <c r="R1169" i="1"/>
  <c r="Q1169" i="1"/>
  <c r="P1169" i="1"/>
  <c r="L1169" i="1"/>
  <c r="V1168" i="1"/>
  <c r="U1168" i="1"/>
  <c r="T1168" i="1"/>
  <c r="S1168" i="1"/>
  <c r="R1168" i="1"/>
  <c r="Q1168" i="1"/>
  <c r="P1168" i="1"/>
  <c r="L1168" i="1"/>
  <c r="V1167" i="1"/>
  <c r="U1167" i="1"/>
  <c r="T1167" i="1"/>
  <c r="S1167" i="1"/>
  <c r="R1167" i="1"/>
  <c r="Q1167" i="1"/>
  <c r="P1167" i="1"/>
  <c r="L1167" i="1"/>
  <c r="V1166" i="1"/>
  <c r="U1166" i="1"/>
  <c r="T1166" i="1"/>
  <c r="S1166" i="1"/>
  <c r="R1166" i="1"/>
  <c r="Q1166" i="1"/>
  <c r="P1166" i="1"/>
  <c r="L1166" i="1"/>
  <c r="V1165" i="1"/>
  <c r="U1165" i="1"/>
  <c r="T1165" i="1"/>
  <c r="S1165" i="1"/>
  <c r="R1165" i="1"/>
  <c r="Q1165" i="1"/>
  <c r="P1165" i="1"/>
  <c r="L1165" i="1"/>
  <c r="V1164" i="1"/>
  <c r="U1164" i="1"/>
  <c r="T1164" i="1"/>
  <c r="S1164" i="1"/>
  <c r="R1164" i="1"/>
  <c r="Q1164" i="1"/>
  <c r="P1164" i="1"/>
  <c r="L1164" i="1"/>
  <c r="V1163" i="1"/>
  <c r="U1163" i="1"/>
  <c r="T1163" i="1"/>
  <c r="S1163" i="1"/>
  <c r="R1163" i="1"/>
  <c r="Q1163" i="1"/>
  <c r="P1163" i="1"/>
  <c r="L1163" i="1"/>
  <c r="V1162" i="1"/>
  <c r="U1162" i="1"/>
  <c r="T1162" i="1"/>
  <c r="S1162" i="1"/>
  <c r="R1162" i="1"/>
  <c r="Q1162" i="1"/>
  <c r="P1162" i="1"/>
  <c r="L1162" i="1"/>
  <c r="V1161" i="1"/>
  <c r="U1161" i="1"/>
  <c r="T1161" i="1"/>
  <c r="S1161" i="1"/>
  <c r="R1161" i="1"/>
  <c r="Q1161" i="1"/>
  <c r="P1161" i="1"/>
  <c r="L1161" i="1"/>
  <c r="V1160" i="1"/>
  <c r="U1160" i="1"/>
  <c r="T1160" i="1"/>
  <c r="S1160" i="1"/>
  <c r="R1160" i="1"/>
  <c r="Q1160" i="1"/>
  <c r="P1160" i="1"/>
  <c r="L1160" i="1"/>
  <c r="V1159" i="1"/>
  <c r="U1159" i="1"/>
  <c r="T1159" i="1"/>
  <c r="S1159" i="1"/>
  <c r="R1159" i="1"/>
  <c r="Q1159" i="1"/>
  <c r="P1159" i="1"/>
  <c r="L1159" i="1"/>
  <c r="V1158" i="1"/>
  <c r="U1158" i="1"/>
  <c r="T1158" i="1"/>
  <c r="S1158" i="1"/>
  <c r="R1158" i="1"/>
  <c r="Q1158" i="1"/>
  <c r="P1158" i="1"/>
  <c r="L1158" i="1"/>
  <c r="V1157" i="1"/>
  <c r="U1157" i="1"/>
  <c r="T1157" i="1"/>
  <c r="S1157" i="1"/>
  <c r="R1157" i="1"/>
  <c r="Q1157" i="1"/>
  <c r="P1157" i="1"/>
  <c r="L1157" i="1"/>
  <c r="V1156" i="1"/>
  <c r="U1156" i="1"/>
  <c r="T1156" i="1"/>
  <c r="S1156" i="1"/>
  <c r="R1156" i="1"/>
  <c r="Q1156" i="1"/>
  <c r="P1156" i="1"/>
  <c r="L1156" i="1"/>
  <c r="V1155" i="1"/>
  <c r="U1155" i="1"/>
  <c r="T1155" i="1"/>
  <c r="S1155" i="1"/>
  <c r="R1155" i="1"/>
  <c r="Q1155" i="1"/>
  <c r="P1155" i="1"/>
  <c r="L1155" i="1"/>
  <c r="V1154" i="1"/>
  <c r="U1154" i="1"/>
  <c r="T1154" i="1"/>
  <c r="S1154" i="1"/>
  <c r="R1154" i="1"/>
  <c r="Q1154" i="1"/>
  <c r="P1154" i="1"/>
  <c r="L1154" i="1"/>
  <c r="V1153" i="1"/>
  <c r="U1153" i="1"/>
  <c r="T1153" i="1"/>
  <c r="S1153" i="1"/>
  <c r="R1153" i="1"/>
  <c r="Q1153" i="1"/>
  <c r="P1153" i="1"/>
  <c r="L1153" i="1"/>
  <c r="V1152" i="1"/>
  <c r="U1152" i="1"/>
  <c r="T1152" i="1"/>
  <c r="S1152" i="1"/>
  <c r="R1152" i="1"/>
  <c r="Q1152" i="1"/>
  <c r="P1152" i="1"/>
  <c r="L1152" i="1"/>
  <c r="V1151" i="1"/>
  <c r="U1151" i="1"/>
  <c r="T1151" i="1"/>
  <c r="S1151" i="1"/>
  <c r="R1151" i="1"/>
  <c r="Q1151" i="1"/>
  <c r="P1151" i="1"/>
  <c r="L1151" i="1"/>
  <c r="V1150" i="1"/>
  <c r="U1150" i="1"/>
  <c r="T1150" i="1"/>
  <c r="S1150" i="1"/>
  <c r="R1150" i="1"/>
  <c r="Q1150" i="1"/>
  <c r="P1150" i="1"/>
  <c r="L1150" i="1"/>
  <c r="V1149" i="1"/>
  <c r="U1149" i="1"/>
  <c r="T1149" i="1"/>
  <c r="S1149" i="1"/>
  <c r="R1149" i="1"/>
  <c r="Q1149" i="1"/>
  <c r="P1149" i="1"/>
  <c r="L1149" i="1"/>
  <c r="V1148" i="1"/>
  <c r="U1148" i="1"/>
  <c r="T1148" i="1"/>
  <c r="S1148" i="1"/>
  <c r="R1148" i="1"/>
  <c r="Q1148" i="1"/>
  <c r="P1148" i="1"/>
  <c r="L1148" i="1"/>
  <c r="V1147" i="1"/>
  <c r="U1147" i="1"/>
  <c r="T1147" i="1"/>
  <c r="S1147" i="1"/>
  <c r="R1147" i="1"/>
  <c r="Q1147" i="1"/>
  <c r="P1147" i="1"/>
  <c r="L1147" i="1"/>
  <c r="V1146" i="1"/>
  <c r="U1146" i="1"/>
  <c r="T1146" i="1"/>
  <c r="S1146" i="1"/>
  <c r="R1146" i="1"/>
  <c r="Q1146" i="1"/>
  <c r="P1146" i="1"/>
  <c r="L1146" i="1"/>
  <c r="V1145" i="1"/>
  <c r="U1145" i="1"/>
  <c r="T1145" i="1"/>
  <c r="S1145" i="1"/>
  <c r="R1145" i="1"/>
  <c r="Q1145" i="1"/>
  <c r="P1145" i="1"/>
  <c r="L1145" i="1"/>
  <c r="V1144" i="1"/>
  <c r="U1144" i="1"/>
  <c r="T1144" i="1"/>
  <c r="S1144" i="1"/>
  <c r="R1144" i="1"/>
  <c r="Q1144" i="1"/>
  <c r="P1144" i="1"/>
  <c r="L1144" i="1"/>
  <c r="V1143" i="1"/>
  <c r="U1143" i="1"/>
  <c r="T1143" i="1"/>
  <c r="S1143" i="1"/>
  <c r="R1143" i="1"/>
  <c r="Q1143" i="1"/>
  <c r="P1143" i="1"/>
  <c r="L1143" i="1"/>
  <c r="V1142" i="1"/>
  <c r="U1142" i="1"/>
  <c r="T1142" i="1"/>
  <c r="S1142" i="1"/>
  <c r="R1142" i="1"/>
  <c r="Q1142" i="1"/>
  <c r="P1142" i="1"/>
  <c r="L1142" i="1"/>
  <c r="V1141" i="1"/>
  <c r="U1141" i="1"/>
  <c r="T1141" i="1"/>
  <c r="S1141" i="1"/>
  <c r="R1141" i="1"/>
  <c r="Q1141" i="1"/>
  <c r="P1141" i="1"/>
  <c r="L1141" i="1"/>
  <c r="V1140" i="1"/>
  <c r="U1140" i="1"/>
  <c r="T1140" i="1"/>
  <c r="S1140" i="1"/>
  <c r="R1140" i="1"/>
  <c r="Q1140" i="1"/>
  <c r="P1140" i="1"/>
  <c r="L1140" i="1"/>
  <c r="V1139" i="1"/>
  <c r="U1139" i="1"/>
  <c r="T1139" i="1"/>
  <c r="S1139" i="1"/>
  <c r="R1139" i="1"/>
  <c r="Q1139" i="1"/>
  <c r="P1139" i="1"/>
  <c r="L1139" i="1"/>
  <c r="V1138" i="1"/>
  <c r="U1138" i="1"/>
  <c r="T1138" i="1"/>
  <c r="S1138" i="1"/>
  <c r="R1138" i="1"/>
  <c r="Q1138" i="1"/>
  <c r="P1138" i="1"/>
  <c r="L1138" i="1"/>
  <c r="V1137" i="1"/>
  <c r="U1137" i="1"/>
  <c r="T1137" i="1"/>
  <c r="S1137" i="1"/>
  <c r="R1137" i="1"/>
  <c r="Q1137" i="1"/>
  <c r="P1137" i="1"/>
  <c r="L1137" i="1"/>
  <c r="V1136" i="1"/>
  <c r="U1136" i="1"/>
  <c r="T1136" i="1"/>
  <c r="S1136" i="1"/>
  <c r="R1136" i="1"/>
  <c r="Q1136" i="1"/>
  <c r="P1136" i="1"/>
  <c r="L1136" i="1"/>
  <c r="V1135" i="1"/>
  <c r="U1135" i="1"/>
  <c r="T1135" i="1"/>
  <c r="S1135" i="1"/>
  <c r="R1135" i="1"/>
  <c r="Q1135" i="1"/>
  <c r="P1135" i="1"/>
  <c r="L1135" i="1"/>
  <c r="V1134" i="1"/>
  <c r="U1134" i="1"/>
  <c r="T1134" i="1"/>
  <c r="S1134" i="1"/>
  <c r="R1134" i="1"/>
  <c r="Q1134" i="1"/>
  <c r="P1134" i="1"/>
  <c r="L1134" i="1"/>
  <c r="V1133" i="1"/>
  <c r="U1133" i="1"/>
  <c r="T1133" i="1"/>
  <c r="S1133" i="1"/>
  <c r="R1133" i="1"/>
  <c r="Q1133" i="1"/>
  <c r="P1133" i="1"/>
  <c r="L1133" i="1"/>
  <c r="V1132" i="1"/>
  <c r="U1132" i="1"/>
  <c r="T1132" i="1"/>
  <c r="S1132" i="1"/>
  <c r="R1132" i="1"/>
  <c r="Q1132" i="1"/>
  <c r="P1132" i="1"/>
  <c r="L1132" i="1"/>
  <c r="V1131" i="1"/>
  <c r="U1131" i="1"/>
  <c r="T1131" i="1"/>
  <c r="S1131" i="1"/>
  <c r="R1131" i="1"/>
  <c r="Q1131" i="1"/>
  <c r="P1131" i="1"/>
  <c r="L1131" i="1"/>
  <c r="V1130" i="1"/>
  <c r="U1130" i="1"/>
  <c r="T1130" i="1"/>
  <c r="S1130" i="1"/>
  <c r="R1130" i="1"/>
  <c r="Q1130" i="1"/>
  <c r="P1130" i="1"/>
  <c r="L1130" i="1"/>
  <c r="V1129" i="1"/>
  <c r="U1129" i="1"/>
  <c r="T1129" i="1"/>
  <c r="S1129" i="1"/>
  <c r="R1129" i="1"/>
  <c r="Q1129" i="1"/>
  <c r="P1129" i="1"/>
  <c r="L1129" i="1"/>
  <c r="V1128" i="1"/>
  <c r="U1128" i="1"/>
  <c r="T1128" i="1"/>
  <c r="S1128" i="1"/>
  <c r="R1128" i="1"/>
  <c r="Q1128" i="1"/>
  <c r="P1128" i="1"/>
  <c r="L1128" i="1"/>
  <c r="V1127" i="1"/>
  <c r="U1127" i="1"/>
  <c r="T1127" i="1"/>
  <c r="S1127" i="1"/>
  <c r="R1127" i="1"/>
  <c r="Q1127" i="1"/>
  <c r="P1127" i="1"/>
  <c r="L1127" i="1"/>
  <c r="V1126" i="1"/>
  <c r="U1126" i="1"/>
  <c r="T1126" i="1"/>
  <c r="S1126" i="1"/>
  <c r="R1126" i="1"/>
  <c r="Q1126" i="1"/>
  <c r="P1126" i="1"/>
  <c r="L1126" i="1"/>
  <c r="V1125" i="1"/>
  <c r="U1125" i="1"/>
  <c r="T1125" i="1"/>
  <c r="S1125" i="1"/>
  <c r="R1125" i="1"/>
  <c r="Q1125" i="1"/>
  <c r="P1125" i="1"/>
  <c r="L1125" i="1"/>
  <c r="V1124" i="1"/>
  <c r="U1124" i="1"/>
  <c r="T1124" i="1"/>
  <c r="S1124" i="1"/>
  <c r="R1124" i="1"/>
  <c r="Q1124" i="1"/>
  <c r="P1124" i="1"/>
  <c r="L1124" i="1"/>
  <c r="V1123" i="1"/>
  <c r="U1123" i="1"/>
  <c r="T1123" i="1"/>
  <c r="S1123" i="1"/>
  <c r="R1123" i="1"/>
  <c r="Q1123" i="1"/>
  <c r="P1123" i="1"/>
  <c r="L1123" i="1"/>
  <c r="V1122" i="1"/>
  <c r="U1122" i="1"/>
  <c r="T1122" i="1"/>
  <c r="S1122" i="1"/>
  <c r="R1122" i="1"/>
  <c r="Q1122" i="1"/>
  <c r="P1122" i="1"/>
  <c r="L1122" i="1"/>
  <c r="V1121" i="1"/>
  <c r="U1121" i="1"/>
  <c r="T1121" i="1"/>
  <c r="S1121" i="1"/>
  <c r="R1121" i="1"/>
  <c r="Q1121" i="1"/>
  <c r="P1121" i="1"/>
  <c r="L1121" i="1"/>
  <c r="V1120" i="1"/>
  <c r="U1120" i="1"/>
  <c r="T1120" i="1"/>
  <c r="S1120" i="1"/>
  <c r="R1120" i="1"/>
  <c r="Q1120" i="1"/>
  <c r="P1120" i="1"/>
  <c r="L1120" i="1"/>
  <c r="V1119" i="1"/>
  <c r="U1119" i="1"/>
  <c r="T1119" i="1"/>
  <c r="S1119" i="1"/>
  <c r="R1119" i="1"/>
  <c r="Q1119" i="1"/>
  <c r="P1119" i="1"/>
  <c r="L1119" i="1"/>
  <c r="V1118" i="1"/>
  <c r="U1118" i="1"/>
  <c r="T1118" i="1"/>
  <c r="S1118" i="1"/>
  <c r="R1118" i="1"/>
  <c r="Q1118" i="1"/>
  <c r="P1118" i="1"/>
  <c r="L1118" i="1"/>
  <c r="V1117" i="1"/>
  <c r="U1117" i="1"/>
  <c r="T1117" i="1"/>
  <c r="S1117" i="1"/>
  <c r="R1117" i="1"/>
  <c r="Q1117" i="1"/>
  <c r="P1117" i="1"/>
  <c r="L1117" i="1"/>
  <c r="V1116" i="1"/>
  <c r="U1116" i="1"/>
  <c r="T1116" i="1"/>
  <c r="S1116" i="1"/>
  <c r="R1116" i="1"/>
  <c r="Q1116" i="1"/>
  <c r="P1116" i="1"/>
  <c r="L1116" i="1"/>
  <c r="V1115" i="1"/>
  <c r="U1115" i="1"/>
  <c r="T1115" i="1"/>
  <c r="S1115" i="1"/>
  <c r="R1115" i="1"/>
  <c r="Q1115" i="1"/>
  <c r="P1115" i="1"/>
  <c r="L1115" i="1"/>
  <c r="V1114" i="1"/>
  <c r="U1114" i="1"/>
  <c r="T1114" i="1"/>
  <c r="S1114" i="1"/>
  <c r="R1114" i="1"/>
  <c r="Q1114" i="1"/>
  <c r="P1114" i="1"/>
  <c r="L1114" i="1"/>
  <c r="V1113" i="1"/>
  <c r="U1113" i="1"/>
  <c r="T1113" i="1"/>
  <c r="S1113" i="1"/>
  <c r="R1113" i="1"/>
  <c r="Q1113" i="1"/>
  <c r="P1113" i="1"/>
  <c r="L1113" i="1"/>
  <c r="V1112" i="1"/>
  <c r="U1112" i="1"/>
  <c r="T1112" i="1"/>
  <c r="S1112" i="1"/>
  <c r="R1112" i="1"/>
  <c r="Q1112" i="1"/>
  <c r="P1112" i="1"/>
  <c r="L1112" i="1"/>
  <c r="V1111" i="1"/>
  <c r="U1111" i="1"/>
  <c r="T1111" i="1"/>
  <c r="S1111" i="1"/>
  <c r="R1111" i="1"/>
  <c r="Q1111" i="1"/>
  <c r="P1111" i="1"/>
  <c r="L1111" i="1"/>
  <c r="V1110" i="1"/>
  <c r="U1110" i="1"/>
  <c r="T1110" i="1"/>
  <c r="S1110" i="1"/>
  <c r="R1110" i="1"/>
  <c r="Q1110" i="1"/>
  <c r="P1110" i="1"/>
  <c r="L1110" i="1"/>
  <c r="V1109" i="1"/>
  <c r="U1109" i="1"/>
  <c r="T1109" i="1"/>
  <c r="S1109" i="1"/>
  <c r="R1109" i="1"/>
  <c r="Q1109" i="1"/>
  <c r="P1109" i="1"/>
  <c r="L1109" i="1"/>
  <c r="S1108" i="1"/>
  <c r="R1108" i="1"/>
  <c r="Q1108" i="1"/>
  <c r="L1108" i="1"/>
  <c r="S1107" i="1"/>
  <c r="R1107" i="1"/>
  <c r="L1107" i="1"/>
  <c r="R1106" i="1"/>
  <c r="L1106" i="1"/>
  <c r="M1105" i="1"/>
  <c r="L1105" i="1"/>
  <c r="M1104" i="1"/>
  <c r="L1104" i="1"/>
  <c r="M1103" i="1"/>
  <c r="L1103" i="1"/>
  <c r="M1102" i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L1082" i="1"/>
  <c r="M1081" i="1"/>
  <c r="L1081" i="1"/>
  <c r="M1080" i="1"/>
  <c r="L1080" i="1"/>
  <c r="M1079" i="1"/>
  <c r="L1079" i="1"/>
  <c r="M1078" i="1"/>
  <c r="L1078" i="1"/>
  <c r="M1076" i="1"/>
  <c r="L1076" i="1"/>
  <c r="M1075" i="1"/>
  <c r="L1075" i="1"/>
  <c r="M1073" i="1"/>
  <c r="L1073" i="1"/>
  <c r="M1072" i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L1032" i="1"/>
  <c r="M1031" i="1"/>
  <c r="L1031" i="1"/>
  <c r="M1030" i="1"/>
  <c r="L1030" i="1"/>
  <c r="M1029" i="1"/>
  <c r="L1029" i="1"/>
  <c r="M1028" i="1"/>
  <c r="L1028" i="1"/>
  <c r="M1026" i="1"/>
  <c r="L1026" i="1"/>
  <c r="M1025" i="1"/>
  <c r="L1025" i="1"/>
  <c r="M1024" i="1"/>
  <c r="L1024" i="1"/>
  <c r="M1023" i="1"/>
  <c r="L1023" i="1"/>
  <c r="M1022" i="1"/>
  <c r="L1022" i="1"/>
  <c r="M1020" i="1"/>
  <c r="L1020" i="1"/>
  <c r="M1019" i="1"/>
  <c r="L1019" i="1"/>
  <c r="M1018" i="1"/>
  <c r="L1018" i="1"/>
  <c r="M1016" i="1"/>
  <c r="L1016" i="1"/>
  <c r="M1015" i="1"/>
  <c r="L1015" i="1"/>
  <c r="M1014" i="1"/>
  <c r="L1014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L1002" i="1"/>
  <c r="M1001" i="1"/>
  <c r="L1001" i="1"/>
  <c r="M995" i="1"/>
  <c r="L995" i="1"/>
  <c r="M993" i="1"/>
  <c r="L993" i="1"/>
  <c r="M991" i="1"/>
  <c r="L991" i="1"/>
  <c r="M990" i="1"/>
  <c r="L990" i="1"/>
  <c r="M989" i="1"/>
  <c r="L989" i="1"/>
  <c r="M987" i="1"/>
  <c r="L987" i="1"/>
  <c r="M986" i="1"/>
  <c r="L986" i="1"/>
  <c r="M984" i="1"/>
  <c r="L984" i="1"/>
  <c r="M983" i="1"/>
  <c r="L983" i="1"/>
  <c r="M981" i="1"/>
  <c r="L981" i="1"/>
  <c r="M980" i="1"/>
  <c r="L980" i="1"/>
  <c r="M978" i="1"/>
  <c r="L978" i="1"/>
  <c r="J977" i="1"/>
  <c r="R976" i="1"/>
  <c r="L976" i="1"/>
  <c r="J976" i="1"/>
  <c r="J975" i="1"/>
  <c r="Q974" i="1"/>
  <c r="L974" i="1"/>
  <c r="J974" i="1"/>
  <c r="R973" i="1"/>
  <c r="L973" i="1"/>
  <c r="J973" i="1"/>
  <c r="J972" i="1"/>
  <c r="U971" i="1"/>
  <c r="T971" i="1"/>
  <c r="R971" i="1"/>
  <c r="Q971" i="1"/>
  <c r="L971" i="1"/>
  <c r="U970" i="1"/>
  <c r="T970" i="1"/>
  <c r="S970" i="1"/>
  <c r="L970" i="1"/>
  <c r="T969" i="1"/>
  <c r="S969" i="1"/>
  <c r="R969" i="1"/>
  <c r="Q969" i="1"/>
  <c r="P969" i="1"/>
  <c r="L969" i="1"/>
  <c r="T968" i="1"/>
  <c r="S968" i="1"/>
  <c r="R968" i="1"/>
  <c r="Q968" i="1"/>
  <c r="P968" i="1"/>
  <c r="L968" i="1"/>
  <c r="T967" i="1"/>
  <c r="S967" i="1"/>
  <c r="R967" i="1"/>
  <c r="Q967" i="1"/>
  <c r="P967" i="1"/>
  <c r="L967" i="1"/>
  <c r="S966" i="1"/>
  <c r="R966" i="1"/>
  <c r="Q966" i="1"/>
  <c r="P966" i="1"/>
  <c r="L966" i="1"/>
  <c r="T965" i="1"/>
  <c r="S965" i="1"/>
  <c r="R965" i="1"/>
  <c r="Q965" i="1"/>
  <c r="L965" i="1"/>
  <c r="T964" i="1"/>
  <c r="S964" i="1"/>
  <c r="R964" i="1"/>
  <c r="Q964" i="1"/>
  <c r="P964" i="1"/>
  <c r="L964" i="1"/>
  <c r="T963" i="1"/>
  <c r="S963" i="1"/>
  <c r="R963" i="1"/>
  <c r="Q963" i="1"/>
  <c r="P963" i="1"/>
  <c r="L963" i="1"/>
  <c r="T962" i="1"/>
  <c r="S962" i="1"/>
  <c r="R962" i="1"/>
  <c r="Q962" i="1"/>
  <c r="P962" i="1"/>
  <c r="L962" i="1"/>
  <c r="S961" i="1"/>
  <c r="R961" i="1"/>
  <c r="Q961" i="1"/>
  <c r="L961" i="1"/>
  <c r="S960" i="1"/>
  <c r="R960" i="1"/>
  <c r="Q960" i="1"/>
  <c r="L960" i="1"/>
  <c r="U959" i="1"/>
  <c r="T959" i="1"/>
  <c r="S959" i="1"/>
  <c r="R959" i="1"/>
  <c r="Q959" i="1"/>
  <c r="L959" i="1"/>
  <c r="S958" i="1"/>
  <c r="R958" i="1"/>
  <c r="Q958" i="1"/>
  <c r="P958" i="1"/>
  <c r="L958" i="1"/>
  <c r="T957" i="1"/>
  <c r="R957" i="1"/>
  <c r="L957" i="1"/>
  <c r="T956" i="1"/>
  <c r="S956" i="1"/>
  <c r="R956" i="1"/>
  <c r="Q956" i="1"/>
  <c r="L956" i="1"/>
  <c r="S955" i="1"/>
  <c r="R955" i="1"/>
  <c r="Q955" i="1"/>
  <c r="P955" i="1"/>
  <c r="L955" i="1"/>
  <c r="T954" i="1"/>
  <c r="S954" i="1"/>
  <c r="R954" i="1"/>
  <c r="Q954" i="1"/>
  <c r="L954" i="1"/>
  <c r="M951" i="1"/>
  <c r="L951" i="1"/>
  <c r="M946" i="1"/>
  <c r="L946" i="1"/>
  <c r="M943" i="1"/>
  <c r="L943" i="1"/>
  <c r="M942" i="1"/>
  <c r="L942" i="1"/>
  <c r="R941" i="1"/>
  <c r="Q941" i="1"/>
  <c r="P941" i="1"/>
  <c r="L941" i="1"/>
  <c r="J941" i="1"/>
  <c r="R940" i="1"/>
  <c r="L940" i="1"/>
  <c r="J940" i="1"/>
  <c r="S939" i="1"/>
  <c r="R939" i="1"/>
  <c r="L939" i="1"/>
  <c r="J939" i="1"/>
  <c r="S938" i="1"/>
  <c r="R938" i="1"/>
  <c r="Q938" i="1"/>
  <c r="L938" i="1"/>
  <c r="J938" i="1"/>
  <c r="R937" i="1"/>
  <c r="Q937" i="1"/>
  <c r="L937" i="1"/>
  <c r="R936" i="1"/>
  <c r="Q936" i="1"/>
  <c r="L936" i="1"/>
  <c r="T935" i="1"/>
  <c r="R935" i="1"/>
  <c r="Q935" i="1"/>
  <c r="L935" i="1"/>
  <c r="T934" i="1"/>
  <c r="L934" i="1"/>
  <c r="J934" i="1"/>
  <c r="T933" i="1"/>
  <c r="L933" i="1"/>
  <c r="J933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L912" i="1"/>
  <c r="M911" i="1"/>
  <c r="L911" i="1"/>
  <c r="M910" i="1"/>
  <c r="L910" i="1"/>
  <c r="S909" i="1"/>
  <c r="R909" i="1"/>
  <c r="Q909" i="1"/>
  <c r="L909" i="1"/>
  <c r="S908" i="1"/>
  <c r="R908" i="1"/>
  <c r="Q908" i="1"/>
  <c r="L908" i="1"/>
  <c r="S904" i="1"/>
  <c r="L904" i="1"/>
  <c r="M902" i="1"/>
  <c r="L902" i="1"/>
  <c r="S901" i="1"/>
  <c r="R901" i="1"/>
  <c r="L901" i="1"/>
  <c r="S900" i="1"/>
  <c r="R900" i="1"/>
  <c r="L900" i="1"/>
  <c r="S899" i="1"/>
  <c r="R899" i="1"/>
  <c r="L899" i="1"/>
  <c r="S898" i="1"/>
  <c r="R898" i="1"/>
  <c r="L898" i="1"/>
  <c r="S897" i="1"/>
  <c r="R897" i="1"/>
  <c r="L897" i="1"/>
  <c r="S896" i="1"/>
  <c r="R896" i="1"/>
  <c r="L896" i="1"/>
  <c r="S895" i="1"/>
  <c r="R895" i="1"/>
  <c r="L895" i="1"/>
  <c r="R894" i="1"/>
  <c r="L894" i="1"/>
  <c r="S893" i="1"/>
  <c r="R893" i="1"/>
  <c r="L893" i="1"/>
  <c r="S892" i="1"/>
  <c r="L892" i="1"/>
  <c r="S891" i="1"/>
  <c r="R891" i="1"/>
  <c r="L891" i="1"/>
  <c r="J890" i="1"/>
  <c r="J889" i="1"/>
  <c r="U888" i="1"/>
  <c r="T888" i="1"/>
  <c r="S888" i="1"/>
  <c r="R888" i="1"/>
  <c r="Q888" i="1"/>
  <c r="L888" i="1"/>
  <c r="U887" i="1"/>
  <c r="T887" i="1"/>
  <c r="S887" i="1"/>
  <c r="R887" i="1"/>
  <c r="Q887" i="1"/>
  <c r="L887" i="1"/>
  <c r="T886" i="1"/>
  <c r="L886" i="1"/>
  <c r="Q885" i="1"/>
  <c r="L885" i="1"/>
  <c r="J885" i="1"/>
  <c r="U884" i="1"/>
  <c r="T884" i="1"/>
  <c r="S884" i="1"/>
  <c r="R884" i="1"/>
  <c r="Q884" i="1"/>
  <c r="L884" i="1"/>
  <c r="J884" i="1"/>
  <c r="T883" i="1"/>
  <c r="S883" i="1"/>
  <c r="R883" i="1"/>
  <c r="L883" i="1"/>
  <c r="T882" i="1"/>
  <c r="S882" i="1"/>
  <c r="R882" i="1"/>
  <c r="L882" i="1"/>
  <c r="S881" i="1"/>
  <c r="R881" i="1"/>
  <c r="Q881" i="1"/>
  <c r="L881" i="1"/>
  <c r="J881" i="1"/>
  <c r="S880" i="1"/>
  <c r="R880" i="1"/>
  <c r="Q880" i="1"/>
  <c r="L880" i="1"/>
  <c r="J880" i="1"/>
  <c r="S879" i="1"/>
  <c r="R879" i="1"/>
  <c r="Q879" i="1"/>
  <c r="L879" i="1"/>
  <c r="J879" i="1"/>
  <c r="M878" i="1"/>
  <c r="L878" i="1"/>
  <c r="M877" i="1"/>
  <c r="L877" i="1"/>
  <c r="M876" i="1"/>
  <c r="L876" i="1"/>
  <c r="M875" i="1"/>
  <c r="L875" i="1"/>
  <c r="M874" i="1"/>
  <c r="L874" i="1"/>
  <c r="S873" i="1"/>
  <c r="R873" i="1"/>
  <c r="L873" i="1"/>
  <c r="S872" i="1"/>
  <c r="R872" i="1"/>
  <c r="L872" i="1"/>
  <c r="S871" i="1"/>
  <c r="R871" i="1"/>
  <c r="L871" i="1"/>
  <c r="M870" i="1"/>
  <c r="L870" i="1"/>
  <c r="R869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M7" i="1" s="1"/>
  <c r="L863" i="1"/>
  <c r="S862" i="1"/>
  <c r="R862" i="1"/>
  <c r="L862" i="1"/>
  <c r="J862" i="1"/>
  <c r="S861" i="1"/>
  <c r="R861" i="1"/>
  <c r="L861" i="1"/>
  <c r="S860" i="1"/>
  <c r="R860" i="1"/>
  <c r="L860" i="1"/>
  <c r="S859" i="1"/>
  <c r="R859" i="1"/>
  <c r="L859" i="1"/>
  <c r="S858" i="1"/>
  <c r="R858" i="1"/>
  <c r="L858" i="1"/>
  <c r="J858" i="1"/>
  <c r="S857" i="1"/>
  <c r="L857" i="1"/>
  <c r="S856" i="1"/>
  <c r="L856" i="1"/>
  <c r="J856" i="1"/>
  <c r="S855" i="1"/>
  <c r="R855" i="1"/>
  <c r="L855" i="1"/>
  <c r="J855" i="1"/>
  <c r="S854" i="1"/>
  <c r="L854" i="1"/>
  <c r="J854" i="1"/>
  <c r="S853" i="1"/>
  <c r="L853" i="1"/>
  <c r="J853" i="1"/>
  <c r="S852" i="1"/>
  <c r="L852" i="1"/>
  <c r="J852" i="1"/>
  <c r="S851" i="1"/>
  <c r="L851" i="1"/>
  <c r="J851" i="1"/>
  <c r="S850" i="1"/>
  <c r="L850" i="1"/>
  <c r="S849" i="1"/>
  <c r="L849" i="1"/>
  <c r="T848" i="1"/>
  <c r="S848" i="1"/>
  <c r="R848" i="1"/>
  <c r="L848" i="1"/>
  <c r="T847" i="1"/>
  <c r="S847" i="1"/>
  <c r="R847" i="1"/>
  <c r="L847" i="1"/>
  <c r="S846" i="1"/>
  <c r="R846" i="1"/>
  <c r="L846" i="1"/>
  <c r="T845" i="1"/>
  <c r="L845" i="1"/>
  <c r="M844" i="1"/>
  <c r="L844" i="1"/>
  <c r="M843" i="1"/>
  <c r="L843" i="1"/>
  <c r="J842" i="1"/>
  <c r="S841" i="1"/>
  <c r="L841" i="1"/>
  <c r="J841" i="1"/>
  <c r="S840" i="1"/>
  <c r="L840" i="1"/>
  <c r="J840" i="1"/>
  <c r="S839" i="1"/>
  <c r="R839" i="1"/>
  <c r="L839" i="1"/>
  <c r="J839" i="1"/>
  <c r="S838" i="1"/>
  <c r="R838" i="1"/>
  <c r="Q838" i="1"/>
  <c r="L838" i="1"/>
  <c r="J838" i="1"/>
  <c r="Q837" i="1"/>
  <c r="L837" i="1"/>
  <c r="J837" i="1"/>
  <c r="Q836" i="1"/>
  <c r="L836" i="1"/>
  <c r="J836" i="1"/>
  <c r="Q835" i="1"/>
  <c r="L835" i="1"/>
  <c r="J835" i="1"/>
  <c r="Q834" i="1"/>
  <c r="L834" i="1"/>
  <c r="J834" i="1"/>
  <c r="Q833" i="1"/>
  <c r="L833" i="1"/>
  <c r="J833" i="1"/>
  <c r="Q832" i="1"/>
  <c r="L832" i="1"/>
  <c r="J832" i="1"/>
  <c r="Q831" i="1"/>
  <c r="L831" i="1"/>
  <c r="J831" i="1"/>
  <c r="Q830" i="1"/>
  <c r="L830" i="1"/>
  <c r="J830" i="1"/>
  <c r="S829" i="1"/>
  <c r="L829" i="1"/>
  <c r="J829" i="1"/>
  <c r="R828" i="1"/>
  <c r="L828" i="1"/>
  <c r="J828" i="1"/>
  <c r="R827" i="1"/>
  <c r="L827" i="1"/>
  <c r="J827" i="1"/>
  <c r="S826" i="1"/>
  <c r="L826" i="1"/>
  <c r="J826" i="1"/>
  <c r="S825" i="1"/>
  <c r="R825" i="1"/>
  <c r="L825" i="1"/>
  <c r="J825" i="1"/>
  <c r="R824" i="1"/>
  <c r="Q824" i="1"/>
  <c r="L824" i="1"/>
  <c r="J824" i="1"/>
  <c r="R823" i="1"/>
  <c r="Q823" i="1"/>
  <c r="L823" i="1"/>
  <c r="J823" i="1"/>
  <c r="S822" i="1"/>
  <c r="R822" i="1"/>
  <c r="L822" i="1"/>
  <c r="J822" i="1"/>
  <c r="S821" i="1"/>
  <c r="R821" i="1"/>
  <c r="L821" i="1"/>
  <c r="J821" i="1"/>
  <c r="S820" i="1"/>
  <c r="R820" i="1"/>
  <c r="L820" i="1"/>
  <c r="J820" i="1"/>
  <c r="S819" i="1"/>
  <c r="R819" i="1"/>
  <c r="L819" i="1"/>
  <c r="J819" i="1"/>
  <c r="J818" i="1"/>
  <c r="Q817" i="1"/>
  <c r="L817" i="1"/>
  <c r="J817" i="1"/>
  <c r="Q816" i="1"/>
  <c r="L816" i="1"/>
  <c r="J816" i="1"/>
  <c r="Q815" i="1"/>
  <c r="L815" i="1"/>
  <c r="J815" i="1"/>
  <c r="S814" i="1"/>
  <c r="R814" i="1"/>
  <c r="L814" i="1"/>
  <c r="J814" i="1"/>
  <c r="S813" i="1"/>
  <c r="R813" i="1"/>
  <c r="L813" i="1"/>
  <c r="J813" i="1"/>
  <c r="J812" i="1"/>
  <c r="S811" i="1"/>
  <c r="L811" i="1"/>
  <c r="J811" i="1"/>
  <c r="S810" i="1"/>
  <c r="R810" i="1"/>
  <c r="L810" i="1"/>
  <c r="J810" i="1"/>
  <c r="S809" i="1"/>
  <c r="R809" i="1"/>
  <c r="L809" i="1"/>
  <c r="J809" i="1"/>
  <c r="S808" i="1"/>
  <c r="R808" i="1"/>
  <c r="L808" i="1"/>
  <c r="J808" i="1"/>
  <c r="S807" i="1"/>
  <c r="R807" i="1"/>
  <c r="L807" i="1"/>
  <c r="J807" i="1"/>
  <c r="S806" i="1"/>
  <c r="R806" i="1"/>
  <c r="L806" i="1"/>
  <c r="J806" i="1"/>
  <c r="S805" i="1"/>
  <c r="R805" i="1"/>
  <c r="L805" i="1"/>
  <c r="J805" i="1"/>
  <c r="S804" i="1"/>
  <c r="L804" i="1"/>
  <c r="J804" i="1"/>
  <c r="S803" i="1"/>
  <c r="R803" i="1"/>
  <c r="L803" i="1"/>
  <c r="J803" i="1"/>
  <c r="S802" i="1"/>
  <c r="R802" i="1"/>
  <c r="L802" i="1"/>
  <c r="J802" i="1"/>
  <c r="S801" i="1"/>
  <c r="R801" i="1"/>
  <c r="L801" i="1"/>
  <c r="J801" i="1"/>
  <c r="S800" i="1"/>
  <c r="R800" i="1"/>
  <c r="L800" i="1"/>
  <c r="J800" i="1"/>
  <c r="S799" i="1"/>
  <c r="R799" i="1"/>
  <c r="L799" i="1"/>
  <c r="J799" i="1"/>
  <c r="S798" i="1"/>
  <c r="R798" i="1"/>
  <c r="L798" i="1"/>
  <c r="J798" i="1"/>
  <c r="R797" i="1"/>
  <c r="L797" i="1"/>
  <c r="J797" i="1"/>
  <c r="P796" i="1"/>
  <c r="L796" i="1"/>
  <c r="J796" i="1"/>
  <c r="S795" i="1"/>
  <c r="R795" i="1"/>
  <c r="P795" i="1"/>
  <c r="L795" i="1"/>
  <c r="J795" i="1"/>
  <c r="R794" i="1"/>
  <c r="Q794" i="1"/>
  <c r="P794" i="1"/>
  <c r="L794" i="1"/>
  <c r="J794" i="1"/>
  <c r="J793" i="1"/>
  <c r="T792" i="1"/>
  <c r="S792" i="1"/>
  <c r="R792" i="1"/>
  <c r="Q792" i="1"/>
  <c r="L792" i="1"/>
  <c r="J792" i="1"/>
  <c r="L791" i="1"/>
  <c r="J791" i="1"/>
  <c r="J790" i="1"/>
  <c r="T789" i="1"/>
  <c r="S789" i="1"/>
  <c r="R789" i="1"/>
  <c r="Q789" i="1"/>
  <c r="P789" i="1"/>
  <c r="L789" i="1"/>
  <c r="J789" i="1"/>
  <c r="J788" i="1"/>
  <c r="S787" i="1"/>
  <c r="P787" i="1"/>
  <c r="L787" i="1"/>
  <c r="J787" i="1"/>
  <c r="U786" i="1"/>
  <c r="T786" i="1"/>
  <c r="S786" i="1"/>
  <c r="R786" i="1"/>
  <c r="Q786" i="1"/>
  <c r="L786" i="1"/>
  <c r="U785" i="1"/>
  <c r="T785" i="1"/>
  <c r="S785" i="1"/>
  <c r="R785" i="1"/>
  <c r="Q785" i="1"/>
  <c r="L785" i="1"/>
  <c r="T784" i="1"/>
  <c r="S784" i="1"/>
  <c r="R784" i="1"/>
  <c r="Q784" i="1"/>
  <c r="L784" i="1"/>
  <c r="T783" i="1"/>
  <c r="S783" i="1"/>
  <c r="R783" i="1"/>
  <c r="Q783" i="1"/>
  <c r="L783" i="1"/>
  <c r="T782" i="1"/>
  <c r="S782" i="1"/>
  <c r="R782" i="1"/>
  <c r="Q782" i="1"/>
  <c r="L782" i="1"/>
  <c r="T781" i="1"/>
  <c r="S781" i="1"/>
  <c r="R781" i="1"/>
  <c r="Q781" i="1"/>
  <c r="L781" i="1"/>
  <c r="T780" i="1"/>
  <c r="S780" i="1"/>
  <c r="R780" i="1"/>
  <c r="Q780" i="1"/>
  <c r="L780" i="1"/>
  <c r="U779" i="1"/>
  <c r="T779" i="1"/>
  <c r="S779" i="1"/>
  <c r="R779" i="1"/>
  <c r="Q779" i="1"/>
  <c r="L779" i="1"/>
  <c r="V778" i="1"/>
  <c r="U778" i="1"/>
  <c r="T778" i="1"/>
  <c r="S778" i="1"/>
  <c r="R778" i="1"/>
  <c r="Q778" i="1"/>
  <c r="L778" i="1"/>
  <c r="R777" i="1"/>
  <c r="L777" i="1"/>
  <c r="J777" i="1"/>
  <c r="U776" i="1"/>
  <c r="T776" i="1"/>
  <c r="S776" i="1"/>
  <c r="R776" i="1"/>
  <c r="Q776" i="1"/>
  <c r="L776" i="1"/>
  <c r="J776" i="1"/>
  <c r="P775" i="1"/>
  <c r="L775" i="1"/>
  <c r="J775" i="1"/>
  <c r="T774" i="1"/>
  <c r="L774" i="1"/>
  <c r="J774" i="1"/>
  <c r="J773" i="1"/>
  <c r="S772" i="1"/>
  <c r="R772" i="1"/>
  <c r="Q772" i="1"/>
  <c r="L772" i="1"/>
  <c r="J772" i="1"/>
  <c r="J771" i="1"/>
  <c r="U770" i="1"/>
  <c r="T770" i="1"/>
  <c r="S770" i="1"/>
  <c r="R770" i="1"/>
  <c r="Q770" i="1"/>
  <c r="L770" i="1"/>
  <c r="J770" i="1"/>
  <c r="T769" i="1"/>
  <c r="S769" i="1"/>
  <c r="R769" i="1"/>
  <c r="Q769" i="1"/>
  <c r="L769" i="1"/>
  <c r="J769" i="1"/>
  <c r="J768" i="1"/>
  <c r="T767" i="1"/>
  <c r="S767" i="1"/>
  <c r="R767" i="1"/>
  <c r="Q767" i="1"/>
  <c r="P767" i="1"/>
  <c r="L767" i="1"/>
  <c r="J767" i="1"/>
  <c r="J766" i="1"/>
  <c r="J765" i="1"/>
  <c r="J764" i="1"/>
  <c r="T763" i="1"/>
  <c r="S763" i="1"/>
  <c r="R763" i="1"/>
  <c r="Q763" i="1"/>
  <c r="P763" i="1"/>
  <c r="L763" i="1"/>
  <c r="J763" i="1"/>
  <c r="T762" i="1"/>
  <c r="S762" i="1"/>
  <c r="R762" i="1"/>
  <c r="Q762" i="1"/>
  <c r="P762" i="1"/>
  <c r="L762" i="1"/>
  <c r="J762" i="1"/>
  <c r="R761" i="1"/>
  <c r="P761" i="1"/>
  <c r="L761" i="1"/>
  <c r="J761" i="1"/>
  <c r="J760" i="1"/>
  <c r="S759" i="1"/>
  <c r="R759" i="1"/>
  <c r="Q759" i="1"/>
  <c r="P759" i="1"/>
  <c r="L759" i="1"/>
  <c r="J759" i="1"/>
  <c r="J758" i="1"/>
  <c r="T757" i="1"/>
  <c r="R757" i="1"/>
  <c r="Q757" i="1"/>
  <c r="P757" i="1"/>
  <c r="L757" i="1"/>
  <c r="J757" i="1"/>
  <c r="S756" i="1"/>
  <c r="R756" i="1"/>
  <c r="P756" i="1"/>
  <c r="L756" i="1"/>
  <c r="J756" i="1"/>
  <c r="U755" i="1"/>
  <c r="T755" i="1"/>
  <c r="S755" i="1"/>
  <c r="R755" i="1"/>
  <c r="Q755" i="1"/>
  <c r="L755" i="1"/>
  <c r="J755" i="1"/>
  <c r="U754" i="1"/>
  <c r="T754" i="1"/>
  <c r="S754" i="1"/>
  <c r="R754" i="1"/>
  <c r="Q754" i="1"/>
  <c r="L754" i="1"/>
  <c r="J754" i="1"/>
  <c r="J753" i="1"/>
  <c r="U752" i="1"/>
  <c r="T752" i="1"/>
  <c r="S752" i="1"/>
  <c r="R752" i="1"/>
  <c r="Q752" i="1"/>
  <c r="L752" i="1"/>
  <c r="J752" i="1"/>
  <c r="U751" i="1"/>
  <c r="T751" i="1"/>
  <c r="S751" i="1"/>
  <c r="R751" i="1"/>
  <c r="Q751" i="1"/>
  <c r="L751" i="1"/>
  <c r="J751" i="1"/>
  <c r="U750" i="1"/>
  <c r="T750" i="1"/>
  <c r="S750" i="1"/>
  <c r="R750" i="1"/>
  <c r="Q750" i="1"/>
  <c r="L750" i="1"/>
  <c r="J750" i="1"/>
  <c r="Q749" i="1"/>
  <c r="L749" i="1"/>
  <c r="J749" i="1"/>
  <c r="T748" i="1"/>
  <c r="S748" i="1"/>
  <c r="R748" i="1"/>
  <c r="Q748" i="1"/>
  <c r="L748" i="1"/>
  <c r="J748" i="1"/>
  <c r="T747" i="1"/>
  <c r="S747" i="1"/>
  <c r="R747" i="1"/>
  <c r="Q747" i="1"/>
  <c r="L747" i="1"/>
  <c r="J747" i="1"/>
  <c r="T746" i="1"/>
  <c r="S746" i="1"/>
  <c r="R746" i="1"/>
  <c r="Q746" i="1"/>
  <c r="L746" i="1"/>
  <c r="J746" i="1"/>
  <c r="T745" i="1"/>
  <c r="S745" i="1"/>
  <c r="R745" i="1"/>
  <c r="Q745" i="1"/>
  <c r="L745" i="1"/>
  <c r="J745" i="1"/>
  <c r="T744" i="1"/>
  <c r="S744" i="1"/>
  <c r="R744" i="1"/>
  <c r="Q744" i="1"/>
  <c r="L744" i="1"/>
  <c r="J744" i="1"/>
  <c r="T743" i="1"/>
  <c r="S743" i="1"/>
  <c r="R743" i="1"/>
  <c r="Q743" i="1"/>
  <c r="L743" i="1"/>
  <c r="J743" i="1"/>
  <c r="T742" i="1"/>
  <c r="S742" i="1"/>
  <c r="R742" i="1"/>
  <c r="Q742" i="1"/>
  <c r="L742" i="1"/>
  <c r="J742" i="1"/>
  <c r="T741" i="1"/>
  <c r="S741" i="1"/>
  <c r="R741" i="1"/>
  <c r="Q741" i="1"/>
  <c r="L741" i="1"/>
  <c r="J741" i="1"/>
  <c r="T740" i="1"/>
  <c r="S740" i="1"/>
  <c r="R740" i="1"/>
  <c r="Q740" i="1"/>
  <c r="L740" i="1"/>
  <c r="J740" i="1"/>
  <c r="T739" i="1"/>
  <c r="S739" i="1"/>
  <c r="R739" i="1"/>
  <c r="Q739" i="1"/>
  <c r="L739" i="1"/>
  <c r="J739" i="1"/>
  <c r="T738" i="1"/>
  <c r="S738" i="1"/>
  <c r="R738" i="1"/>
  <c r="Q738" i="1"/>
  <c r="L738" i="1"/>
  <c r="J738" i="1"/>
  <c r="T737" i="1"/>
  <c r="S737" i="1"/>
  <c r="R737" i="1"/>
  <c r="Q737" i="1"/>
  <c r="L737" i="1"/>
  <c r="J737" i="1"/>
  <c r="T736" i="1"/>
  <c r="S736" i="1"/>
  <c r="R736" i="1"/>
  <c r="Q736" i="1"/>
  <c r="L736" i="1"/>
  <c r="J736" i="1"/>
  <c r="T735" i="1"/>
  <c r="S735" i="1"/>
  <c r="R735" i="1"/>
  <c r="Q735" i="1"/>
  <c r="L735" i="1"/>
  <c r="J735" i="1"/>
  <c r="T734" i="1"/>
  <c r="S734" i="1"/>
  <c r="R734" i="1"/>
  <c r="Q734" i="1"/>
  <c r="L734" i="1"/>
  <c r="J734" i="1"/>
  <c r="T733" i="1"/>
  <c r="S733" i="1"/>
  <c r="R733" i="1"/>
  <c r="Q733" i="1"/>
  <c r="L733" i="1"/>
  <c r="J733" i="1"/>
  <c r="T732" i="1"/>
  <c r="S732" i="1"/>
  <c r="J732" i="1"/>
  <c r="T731" i="1"/>
  <c r="S731" i="1"/>
  <c r="R731" i="1"/>
  <c r="Q731" i="1"/>
  <c r="L731" i="1"/>
  <c r="J731" i="1"/>
  <c r="T730" i="1"/>
  <c r="S730" i="1"/>
  <c r="R730" i="1"/>
  <c r="Q730" i="1"/>
  <c r="L730" i="1"/>
  <c r="J730" i="1"/>
  <c r="T729" i="1"/>
  <c r="S729" i="1"/>
  <c r="R729" i="1"/>
  <c r="Q729" i="1"/>
  <c r="L729" i="1"/>
  <c r="J729" i="1"/>
  <c r="T728" i="1"/>
  <c r="S728" i="1"/>
  <c r="R728" i="1"/>
  <c r="Q728" i="1"/>
  <c r="L728" i="1"/>
  <c r="J728" i="1"/>
  <c r="T727" i="1"/>
  <c r="S727" i="1"/>
  <c r="R727" i="1"/>
  <c r="Q727" i="1"/>
  <c r="L727" i="1"/>
  <c r="J727" i="1"/>
  <c r="T726" i="1"/>
  <c r="S726" i="1"/>
  <c r="R726" i="1"/>
  <c r="Q726" i="1"/>
  <c r="L726" i="1"/>
  <c r="U725" i="1"/>
  <c r="T725" i="1"/>
  <c r="S725" i="1"/>
  <c r="R725" i="1"/>
  <c r="Q725" i="1"/>
  <c r="L725" i="1"/>
  <c r="S724" i="1"/>
  <c r="R724" i="1"/>
  <c r="Q724" i="1"/>
  <c r="L724" i="1"/>
  <c r="S723" i="1"/>
  <c r="R723" i="1"/>
  <c r="Q723" i="1"/>
  <c r="L723" i="1"/>
  <c r="S722" i="1"/>
  <c r="R722" i="1"/>
  <c r="Q722" i="1"/>
  <c r="L722" i="1"/>
  <c r="S721" i="1"/>
  <c r="R721" i="1"/>
  <c r="L721" i="1"/>
  <c r="R720" i="1"/>
  <c r="L720" i="1"/>
  <c r="J720" i="1"/>
  <c r="J719" i="1"/>
  <c r="S718" i="1"/>
  <c r="R718" i="1"/>
  <c r="L718" i="1"/>
  <c r="J718" i="1"/>
  <c r="P717" i="1"/>
  <c r="L717" i="1"/>
  <c r="J717" i="1"/>
  <c r="J716" i="1"/>
  <c r="T715" i="1"/>
  <c r="S715" i="1"/>
  <c r="R715" i="1"/>
  <c r="Q715" i="1"/>
  <c r="P715" i="1"/>
  <c r="L715" i="1"/>
  <c r="J715" i="1"/>
  <c r="T714" i="1"/>
  <c r="S714" i="1"/>
  <c r="R714" i="1"/>
  <c r="Q714" i="1"/>
  <c r="P714" i="1"/>
  <c r="L714" i="1"/>
  <c r="J714" i="1"/>
  <c r="T713" i="1"/>
  <c r="S713" i="1"/>
  <c r="R713" i="1"/>
  <c r="Q713" i="1"/>
  <c r="P713" i="1"/>
  <c r="L713" i="1"/>
  <c r="T712" i="1"/>
  <c r="S712" i="1"/>
  <c r="R712" i="1"/>
  <c r="Q712" i="1"/>
  <c r="P712" i="1"/>
  <c r="L712" i="1"/>
  <c r="J712" i="1"/>
  <c r="S711" i="1"/>
  <c r="R711" i="1"/>
  <c r="L711" i="1"/>
  <c r="J711" i="1"/>
  <c r="T710" i="1"/>
  <c r="S710" i="1"/>
  <c r="R710" i="1"/>
  <c r="Q710" i="1"/>
  <c r="P710" i="1"/>
  <c r="L710" i="1"/>
  <c r="J710" i="1"/>
  <c r="J709" i="1"/>
  <c r="S707" i="1"/>
  <c r="L707" i="1"/>
  <c r="Q706" i="1"/>
  <c r="L706" i="1"/>
  <c r="U704" i="1"/>
  <c r="L704" i="1"/>
  <c r="J704" i="1"/>
  <c r="U703" i="1"/>
  <c r="L703" i="1"/>
  <c r="J703" i="1"/>
  <c r="U702" i="1"/>
  <c r="L702" i="1"/>
  <c r="J702" i="1"/>
  <c r="U701" i="1"/>
  <c r="L701" i="1"/>
  <c r="J701" i="1"/>
  <c r="S700" i="1"/>
  <c r="R700" i="1"/>
  <c r="Q700" i="1"/>
  <c r="P700" i="1"/>
  <c r="L700" i="1"/>
  <c r="J700" i="1"/>
  <c r="J699" i="1"/>
  <c r="T698" i="1"/>
  <c r="S698" i="1"/>
  <c r="R698" i="1"/>
  <c r="Q698" i="1"/>
  <c r="P698" i="1"/>
  <c r="L698" i="1"/>
  <c r="J698" i="1"/>
  <c r="J697" i="1"/>
  <c r="S696" i="1"/>
  <c r="R696" i="1"/>
  <c r="Q696" i="1"/>
  <c r="P696" i="1"/>
  <c r="L696" i="1"/>
  <c r="J696" i="1"/>
  <c r="J695" i="1"/>
  <c r="S694" i="1"/>
  <c r="R694" i="1"/>
  <c r="Q694" i="1"/>
  <c r="L694" i="1"/>
  <c r="J694" i="1"/>
  <c r="T693" i="1"/>
  <c r="S693" i="1"/>
  <c r="R693" i="1"/>
  <c r="Q693" i="1"/>
  <c r="P693" i="1"/>
  <c r="L693" i="1"/>
  <c r="J693" i="1"/>
  <c r="J692" i="1"/>
  <c r="T691" i="1"/>
  <c r="S691" i="1"/>
  <c r="R691" i="1"/>
  <c r="Q691" i="1"/>
  <c r="P691" i="1"/>
  <c r="L691" i="1"/>
  <c r="J691" i="1"/>
  <c r="J690" i="1"/>
  <c r="T689" i="1"/>
  <c r="S689" i="1"/>
  <c r="R689" i="1"/>
  <c r="Q689" i="1"/>
  <c r="P689" i="1"/>
  <c r="L689" i="1"/>
  <c r="J689" i="1"/>
  <c r="S688" i="1"/>
  <c r="R688" i="1"/>
  <c r="Q688" i="1"/>
  <c r="P688" i="1"/>
  <c r="L688" i="1"/>
  <c r="J688" i="1"/>
  <c r="T687" i="1"/>
  <c r="S687" i="1"/>
  <c r="R687" i="1"/>
  <c r="Q687" i="1"/>
  <c r="P687" i="1"/>
  <c r="L687" i="1"/>
  <c r="J687" i="1"/>
  <c r="J686" i="1"/>
  <c r="U685" i="1"/>
  <c r="T685" i="1"/>
  <c r="S685" i="1"/>
  <c r="R685" i="1"/>
  <c r="Q685" i="1"/>
  <c r="L685" i="1"/>
  <c r="J685" i="1"/>
  <c r="U684" i="1"/>
  <c r="T684" i="1"/>
  <c r="S684" i="1"/>
  <c r="R684" i="1"/>
  <c r="Q684" i="1"/>
  <c r="L684" i="1"/>
  <c r="J684" i="1"/>
  <c r="U683" i="1"/>
  <c r="T683" i="1"/>
  <c r="S683" i="1"/>
  <c r="R683" i="1"/>
  <c r="Q683" i="1"/>
  <c r="L683" i="1"/>
  <c r="J683" i="1"/>
  <c r="J682" i="1"/>
  <c r="J681" i="1"/>
  <c r="U680" i="1"/>
  <c r="T680" i="1"/>
  <c r="S680" i="1"/>
  <c r="R680" i="1"/>
  <c r="Q680" i="1"/>
  <c r="L680" i="1"/>
  <c r="J680" i="1"/>
  <c r="T679" i="1"/>
  <c r="R679" i="1"/>
  <c r="L679" i="1"/>
  <c r="J679" i="1"/>
  <c r="J678" i="1"/>
  <c r="U677" i="1"/>
  <c r="T677" i="1"/>
  <c r="S677" i="1"/>
  <c r="R677" i="1"/>
  <c r="Q677" i="1"/>
  <c r="P677" i="1"/>
  <c r="L677" i="1"/>
  <c r="J677" i="1"/>
  <c r="T676" i="1"/>
  <c r="S676" i="1"/>
  <c r="R676" i="1"/>
  <c r="Q676" i="1"/>
  <c r="P676" i="1"/>
  <c r="L676" i="1"/>
  <c r="J676" i="1"/>
  <c r="S675" i="1"/>
  <c r="R675" i="1"/>
  <c r="Q675" i="1"/>
  <c r="P675" i="1"/>
  <c r="L675" i="1"/>
  <c r="J675" i="1"/>
  <c r="J674" i="1"/>
  <c r="J673" i="1"/>
  <c r="S672" i="1"/>
  <c r="R672" i="1"/>
  <c r="Q672" i="1"/>
  <c r="P672" i="1"/>
  <c r="L672" i="1"/>
  <c r="J672" i="1"/>
  <c r="T671" i="1"/>
  <c r="S671" i="1"/>
  <c r="R671" i="1"/>
  <c r="Q671" i="1"/>
  <c r="P671" i="1"/>
  <c r="L671" i="1"/>
  <c r="J671" i="1"/>
  <c r="S670" i="1"/>
  <c r="R670" i="1"/>
  <c r="Q670" i="1"/>
  <c r="P670" i="1"/>
  <c r="L670" i="1"/>
  <c r="J670" i="1"/>
  <c r="S669" i="1"/>
  <c r="R669" i="1"/>
  <c r="Q669" i="1"/>
  <c r="P669" i="1"/>
  <c r="L669" i="1"/>
  <c r="J669" i="1"/>
  <c r="Q668" i="1"/>
  <c r="P668" i="1"/>
  <c r="L668" i="1"/>
  <c r="J668" i="1"/>
  <c r="T667" i="1"/>
  <c r="S667" i="1"/>
  <c r="R667" i="1"/>
  <c r="Q667" i="1"/>
  <c r="P667" i="1"/>
  <c r="L667" i="1"/>
  <c r="J667" i="1"/>
  <c r="S666" i="1"/>
  <c r="R666" i="1"/>
  <c r="L666" i="1"/>
  <c r="J666" i="1"/>
  <c r="T665" i="1"/>
  <c r="S665" i="1"/>
  <c r="R665" i="1"/>
  <c r="Q665" i="1"/>
  <c r="P665" i="1"/>
  <c r="L665" i="1"/>
  <c r="J665" i="1"/>
  <c r="T664" i="1"/>
  <c r="S664" i="1"/>
  <c r="R664" i="1"/>
  <c r="Q664" i="1"/>
  <c r="P664" i="1"/>
  <c r="L664" i="1"/>
  <c r="J664" i="1"/>
  <c r="T663" i="1"/>
  <c r="S663" i="1"/>
  <c r="R663" i="1"/>
  <c r="Q663" i="1"/>
  <c r="P663" i="1"/>
  <c r="L663" i="1"/>
  <c r="J663" i="1"/>
  <c r="T662" i="1"/>
  <c r="S662" i="1"/>
  <c r="R662" i="1"/>
  <c r="Q662" i="1"/>
  <c r="P662" i="1"/>
  <c r="L662" i="1"/>
  <c r="T661" i="1"/>
  <c r="S661" i="1"/>
  <c r="R661" i="1"/>
  <c r="Q661" i="1"/>
  <c r="P661" i="1"/>
  <c r="L661" i="1"/>
  <c r="T660" i="1"/>
  <c r="S660" i="1"/>
  <c r="R660" i="1"/>
  <c r="Q660" i="1"/>
  <c r="P660" i="1"/>
  <c r="L660" i="1"/>
  <c r="Q659" i="1"/>
  <c r="L659" i="1"/>
  <c r="J659" i="1"/>
  <c r="J658" i="1"/>
  <c r="J657" i="1"/>
  <c r="J656" i="1"/>
  <c r="T655" i="1"/>
  <c r="S655" i="1"/>
  <c r="Q655" i="1"/>
  <c r="L655" i="1"/>
  <c r="J655" i="1"/>
  <c r="U654" i="1"/>
  <c r="T654" i="1"/>
  <c r="S654" i="1"/>
  <c r="R654" i="1"/>
  <c r="Q654" i="1"/>
  <c r="L654" i="1"/>
  <c r="J654" i="1"/>
  <c r="U653" i="1"/>
  <c r="T653" i="1"/>
  <c r="S653" i="1"/>
  <c r="R653" i="1"/>
  <c r="Q653" i="1"/>
  <c r="L653" i="1"/>
  <c r="J653" i="1"/>
  <c r="U652" i="1"/>
  <c r="T652" i="1"/>
  <c r="S652" i="1"/>
  <c r="R652" i="1"/>
  <c r="Q652" i="1"/>
  <c r="L652" i="1"/>
  <c r="J652" i="1"/>
  <c r="J651" i="1"/>
  <c r="J650" i="1"/>
  <c r="V649" i="1"/>
  <c r="U649" i="1"/>
  <c r="T649" i="1"/>
  <c r="S649" i="1"/>
  <c r="R649" i="1"/>
  <c r="Q649" i="1"/>
  <c r="L649" i="1"/>
  <c r="J649" i="1"/>
  <c r="V648" i="1"/>
  <c r="U648" i="1"/>
  <c r="T648" i="1"/>
  <c r="S648" i="1"/>
  <c r="R648" i="1"/>
  <c r="Q648" i="1"/>
  <c r="L648" i="1"/>
  <c r="J648" i="1"/>
  <c r="V647" i="1"/>
  <c r="U647" i="1"/>
  <c r="T647" i="1"/>
  <c r="S647" i="1"/>
  <c r="R647" i="1"/>
  <c r="Q647" i="1"/>
  <c r="L647" i="1"/>
  <c r="J647" i="1"/>
  <c r="V646" i="1"/>
  <c r="U646" i="1"/>
  <c r="T646" i="1"/>
  <c r="S646" i="1"/>
  <c r="R646" i="1"/>
  <c r="Q646" i="1"/>
  <c r="L646" i="1"/>
  <c r="J646" i="1"/>
  <c r="V645" i="1"/>
  <c r="U645" i="1"/>
  <c r="T645" i="1"/>
  <c r="S645" i="1"/>
  <c r="R645" i="1"/>
  <c r="Q645" i="1"/>
  <c r="L645" i="1"/>
  <c r="J645" i="1"/>
  <c r="V644" i="1"/>
  <c r="U644" i="1"/>
  <c r="T644" i="1"/>
  <c r="S644" i="1"/>
  <c r="R644" i="1"/>
  <c r="Q644" i="1"/>
  <c r="L644" i="1"/>
  <c r="J644" i="1"/>
  <c r="R643" i="1"/>
  <c r="Q643" i="1"/>
  <c r="L643" i="1"/>
  <c r="J643" i="1"/>
  <c r="V642" i="1"/>
  <c r="U642" i="1"/>
  <c r="T642" i="1"/>
  <c r="S642" i="1"/>
  <c r="R642" i="1"/>
  <c r="Q642" i="1"/>
  <c r="L642" i="1"/>
  <c r="J642" i="1"/>
  <c r="V641" i="1"/>
  <c r="U641" i="1"/>
  <c r="T641" i="1"/>
  <c r="S641" i="1"/>
  <c r="R641" i="1"/>
  <c r="Q641" i="1"/>
  <c r="L641" i="1"/>
  <c r="J641" i="1"/>
  <c r="U640" i="1"/>
  <c r="T640" i="1"/>
  <c r="S640" i="1"/>
  <c r="R640" i="1"/>
  <c r="Q640" i="1"/>
  <c r="L640" i="1"/>
  <c r="J640" i="1"/>
  <c r="V639" i="1"/>
  <c r="U639" i="1"/>
  <c r="T639" i="1"/>
  <c r="S639" i="1"/>
  <c r="R639" i="1"/>
  <c r="Q639" i="1"/>
  <c r="L639" i="1"/>
  <c r="J639" i="1"/>
  <c r="U638" i="1"/>
  <c r="T638" i="1"/>
  <c r="S638" i="1"/>
  <c r="R638" i="1"/>
  <c r="Q638" i="1"/>
  <c r="L638" i="1"/>
  <c r="J638" i="1"/>
  <c r="T637" i="1"/>
  <c r="Q637" i="1"/>
  <c r="L637" i="1"/>
  <c r="J637" i="1"/>
  <c r="U636" i="1"/>
  <c r="T636" i="1"/>
  <c r="S636" i="1"/>
  <c r="R636" i="1"/>
  <c r="Q636" i="1"/>
  <c r="L636" i="1"/>
  <c r="J636" i="1"/>
  <c r="U635" i="1"/>
  <c r="S635" i="1"/>
  <c r="R635" i="1"/>
  <c r="Q635" i="1"/>
  <c r="L635" i="1"/>
  <c r="J635" i="1"/>
  <c r="T634" i="1"/>
  <c r="S634" i="1"/>
  <c r="R634" i="1"/>
  <c r="Q634" i="1"/>
  <c r="L634" i="1"/>
  <c r="J634" i="1"/>
  <c r="V633" i="1"/>
  <c r="U633" i="1"/>
  <c r="T633" i="1"/>
  <c r="S633" i="1"/>
  <c r="R633" i="1"/>
  <c r="Q633" i="1"/>
  <c r="L633" i="1"/>
  <c r="J633" i="1"/>
  <c r="V632" i="1"/>
  <c r="U632" i="1"/>
  <c r="T632" i="1"/>
  <c r="S632" i="1"/>
  <c r="R632" i="1"/>
  <c r="Q632" i="1"/>
  <c r="L632" i="1"/>
  <c r="J632" i="1"/>
  <c r="J631" i="1"/>
  <c r="V630" i="1"/>
  <c r="U630" i="1"/>
  <c r="T630" i="1"/>
  <c r="S630" i="1"/>
  <c r="R630" i="1"/>
  <c r="Q630" i="1"/>
  <c r="L630" i="1"/>
  <c r="J630" i="1"/>
  <c r="R629" i="1"/>
  <c r="L629" i="1"/>
  <c r="J629" i="1"/>
  <c r="J628" i="1"/>
  <c r="V627" i="1"/>
  <c r="T627" i="1"/>
  <c r="S627" i="1"/>
  <c r="R627" i="1"/>
  <c r="Q627" i="1"/>
  <c r="L627" i="1"/>
  <c r="J627" i="1"/>
  <c r="J626" i="1"/>
  <c r="U625" i="1"/>
  <c r="Q625" i="1"/>
  <c r="L625" i="1"/>
  <c r="J625" i="1"/>
  <c r="U624" i="1"/>
  <c r="Q624" i="1"/>
  <c r="L624" i="1"/>
  <c r="J624" i="1"/>
  <c r="V623" i="1"/>
  <c r="T623" i="1"/>
  <c r="S623" i="1"/>
  <c r="R623" i="1"/>
  <c r="Q623" i="1"/>
  <c r="L623" i="1"/>
  <c r="J623" i="1"/>
  <c r="V622" i="1"/>
  <c r="U622" i="1"/>
  <c r="T622" i="1"/>
  <c r="S622" i="1"/>
  <c r="R622" i="1"/>
  <c r="Q622" i="1"/>
  <c r="L622" i="1"/>
  <c r="J622" i="1"/>
  <c r="U621" i="1"/>
  <c r="T621" i="1"/>
  <c r="S621" i="1"/>
  <c r="R621" i="1"/>
  <c r="Q621" i="1"/>
  <c r="L621" i="1"/>
  <c r="J621" i="1"/>
  <c r="U620" i="1"/>
  <c r="T620" i="1"/>
  <c r="S620" i="1"/>
  <c r="R620" i="1"/>
  <c r="Q620" i="1"/>
  <c r="L620" i="1"/>
  <c r="J620" i="1"/>
  <c r="U619" i="1"/>
  <c r="T619" i="1"/>
  <c r="S619" i="1"/>
  <c r="R619" i="1"/>
  <c r="Q619" i="1"/>
  <c r="L619" i="1"/>
  <c r="J619" i="1"/>
  <c r="V618" i="1"/>
  <c r="U618" i="1"/>
  <c r="T618" i="1"/>
  <c r="S618" i="1"/>
  <c r="R618" i="1"/>
  <c r="Q618" i="1"/>
  <c r="L618" i="1"/>
  <c r="J618" i="1"/>
  <c r="U617" i="1"/>
  <c r="T617" i="1"/>
  <c r="S617" i="1"/>
  <c r="R617" i="1"/>
  <c r="Q617" i="1"/>
  <c r="L617" i="1"/>
  <c r="J617" i="1"/>
  <c r="T616" i="1"/>
  <c r="R616" i="1"/>
  <c r="Q616" i="1"/>
  <c r="L616" i="1"/>
  <c r="J616" i="1"/>
  <c r="U615" i="1"/>
  <c r="T615" i="1"/>
  <c r="S615" i="1"/>
  <c r="R615" i="1"/>
  <c r="Q615" i="1"/>
  <c r="L615" i="1"/>
  <c r="J615" i="1"/>
  <c r="T614" i="1"/>
  <c r="L614" i="1"/>
  <c r="J614" i="1"/>
  <c r="T613" i="1"/>
  <c r="S613" i="1"/>
  <c r="R613" i="1"/>
  <c r="Q613" i="1"/>
  <c r="P613" i="1"/>
  <c r="L613" i="1"/>
  <c r="J613" i="1"/>
  <c r="T612" i="1"/>
  <c r="S612" i="1"/>
  <c r="R612" i="1"/>
  <c r="Q612" i="1"/>
  <c r="P612" i="1"/>
  <c r="L612" i="1"/>
  <c r="J612" i="1"/>
  <c r="T611" i="1"/>
  <c r="S611" i="1"/>
  <c r="R611" i="1"/>
  <c r="Q611" i="1"/>
  <c r="P611" i="1"/>
  <c r="L611" i="1"/>
  <c r="J611" i="1"/>
  <c r="T610" i="1"/>
  <c r="S610" i="1"/>
  <c r="R610" i="1"/>
  <c r="Q610" i="1"/>
  <c r="P610" i="1"/>
  <c r="L610" i="1"/>
  <c r="J610" i="1"/>
  <c r="T609" i="1"/>
  <c r="S609" i="1"/>
  <c r="R609" i="1"/>
  <c r="Q609" i="1"/>
  <c r="P609" i="1"/>
  <c r="L609" i="1"/>
  <c r="J609" i="1"/>
  <c r="J608" i="1"/>
  <c r="T607" i="1"/>
  <c r="S607" i="1"/>
  <c r="R607" i="1"/>
  <c r="Q607" i="1"/>
  <c r="P607" i="1"/>
  <c r="L607" i="1"/>
  <c r="J607" i="1"/>
  <c r="T606" i="1"/>
  <c r="S606" i="1"/>
  <c r="R606" i="1"/>
  <c r="Q606" i="1"/>
  <c r="P606" i="1"/>
  <c r="L606" i="1"/>
  <c r="J606" i="1"/>
  <c r="S605" i="1"/>
  <c r="R605" i="1"/>
  <c r="Q605" i="1"/>
  <c r="P605" i="1"/>
  <c r="L605" i="1"/>
  <c r="J605" i="1"/>
  <c r="S604" i="1"/>
  <c r="R604" i="1"/>
  <c r="Q604" i="1"/>
  <c r="P604" i="1"/>
  <c r="L604" i="1"/>
  <c r="J604" i="1"/>
  <c r="R603" i="1"/>
  <c r="Q603" i="1"/>
  <c r="P603" i="1"/>
  <c r="L603" i="1"/>
  <c r="J603" i="1"/>
  <c r="J602" i="1"/>
  <c r="T601" i="1"/>
  <c r="S601" i="1"/>
  <c r="R601" i="1"/>
  <c r="Q601" i="1"/>
  <c r="P601" i="1"/>
  <c r="L601" i="1"/>
  <c r="J601" i="1"/>
  <c r="T600" i="1"/>
  <c r="S600" i="1"/>
  <c r="R600" i="1"/>
  <c r="Q600" i="1"/>
  <c r="P600" i="1"/>
  <c r="L600" i="1"/>
  <c r="J600" i="1"/>
  <c r="T598" i="1"/>
  <c r="S598" i="1"/>
  <c r="R598" i="1"/>
  <c r="Q598" i="1"/>
  <c r="P598" i="1"/>
  <c r="L598" i="1"/>
  <c r="J598" i="1"/>
  <c r="T597" i="1"/>
  <c r="S597" i="1"/>
  <c r="R597" i="1"/>
  <c r="Q597" i="1"/>
  <c r="P597" i="1"/>
  <c r="L597" i="1"/>
  <c r="J597" i="1"/>
  <c r="R596" i="1"/>
  <c r="J596" i="1"/>
  <c r="J595" i="1"/>
  <c r="T594" i="1"/>
  <c r="S594" i="1"/>
  <c r="R594" i="1"/>
  <c r="Q594" i="1"/>
  <c r="P594" i="1"/>
  <c r="L594" i="1"/>
  <c r="J594" i="1"/>
  <c r="T593" i="1"/>
  <c r="S593" i="1"/>
  <c r="R593" i="1"/>
  <c r="Q593" i="1"/>
  <c r="P593" i="1"/>
  <c r="L593" i="1"/>
  <c r="J593" i="1"/>
  <c r="T592" i="1"/>
  <c r="S592" i="1"/>
  <c r="R592" i="1"/>
  <c r="Q592" i="1"/>
  <c r="P592" i="1"/>
  <c r="L592" i="1"/>
  <c r="J592" i="1"/>
  <c r="T591" i="1"/>
  <c r="S591" i="1"/>
  <c r="R591" i="1"/>
  <c r="Q591" i="1"/>
  <c r="P591" i="1"/>
  <c r="L591" i="1"/>
  <c r="J591" i="1"/>
  <c r="T590" i="1"/>
  <c r="S590" i="1"/>
  <c r="R590" i="1"/>
  <c r="Q590" i="1"/>
  <c r="P590" i="1"/>
  <c r="L590" i="1"/>
  <c r="J590" i="1"/>
  <c r="T589" i="1"/>
  <c r="S589" i="1"/>
  <c r="R589" i="1"/>
  <c r="Q589" i="1"/>
  <c r="P589" i="1"/>
  <c r="L589" i="1"/>
  <c r="T588" i="1"/>
  <c r="R588" i="1"/>
  <c r="Q588" i="1"/>
  <c r="P588" i="1"/>
  <c r="L588" i="1"/>
  <c r="J588" i="1"/>
  <c r="T587" i="1"/>
  <c r="S587" i="1"/>
  <c r="R587" i="1"/>
  <c r="Q587" i="1"/>
  <c r="P587" i="1"/>
  <c r="L587" i="1"/>
  <c r="J587" i="1"/>
  <c r="J586" i="1"/>
  <c r="S585" i="1"/>
  <c r="R585" i="1"/>
  <c r="Q585" i="1"/>
  <c r="L585" i="1"/>
  <c r="J585" i="1"/>
  <c r="T584" i="1"/>
  <c r="Q584" i="1"/>
  <c r="P584" i="1"/>
  <c r="L584" i="1"/>
  <c r="J584" i="1"/>
  <c r="J583" i="1"/>
  <c r="R582" i="1"/>
  <c r="Q582" i="1"/>
  <c r="P582" i="1"/>
  <c r="L582" i="1"/>
  <c r="J582" i="1"/>
  <c r="J581" i="1"/>
  <c r="T580" i="1"/>
  <c r="S580" i="1"/>
  <c r="R580" i="1"/>
  <c r="Q580" i="1"/>
  <c r="P580" i="1"/>
  <c r="L580" i="1"/>
  <c r="J580" i="1"/>
  <c r="T579" i="1"/>
  <c r="S579" i="1"/>
  <c r="R579" i="1"/>
  <c r="Q579" i="1"/>
  <c r="P579" i="1"/>
  <c r="L579" i="1"/>
  <c r="J579" i="1"/>
  <c r="T578" i="1"/>
  <c r="S578" i="1"/>
  <c r="R578" i="1"/>
  <c r="Q578" i="1"/>
  <c r="P578" i="1"/>
  <c r="L578" i="1"/>
  <c r="J578" i="1"/>
  <c r="U577" i="1"/>
  <c r="T577" i="1"/>
  <c r="S577" i="1"/>
  <c r="R577" i="1"/>
  <c r="Q577" i="1"/>
  <c r="P577" i="1"/>
  <c r="L577" i="1"/>
  <c r="J577" i="1"/>
  <c r="S576" i="1"/>
  <c r="R576" i="1"/>
  <c r="Q576" i="1"/>
  <c r="P576" i="1"/>
  <c r="L576" i="1"/>
  <c r="J576" i="1"/>
  <c r="J575" i="1"/>
  <c r="T574" i="1"/>
  <c r="S574" i="1"/>
  <c r="R574" i="1"/>
  <c r="Q574" i="1"/>
  <c r="P574" i="1"/>
  <c r="L574" i="1"/>
  <c r="J574" i="1"/>
  <c r="J573" i="1"/>
  <c r="S572" i="1"/>
  <c r="R572" i="1"/>
  <c r="Q572" i="1"/>
  <c r="P572" i="1"/>
  <c r="L572" i="1"/>
  <c r="J572" i="1"/>
  <c r="J571" i="1"/>
  <c r="T570" i="1"/>
  <c r="S570" i="1"/>
  <c r="L570" i="1"/>
  <c r="J570" i="1"/>
  <c r="S569" i="1"/>
  <c r="R569" i="1"/>
  <c r="Q569" i="1"/>
  <c r="P569" i="1"/>
  <c r="L569" i="1"/>
  <c r="J569" i="1"/>
  <c r="T568" i="1"/>
  <c r="S568" i="1"/>
  <c r="R568" i="1"/>
  <c r="Q568" i="1"/>
  <c r="P568" i="1"/>
  <c r="L568" i="1"/>
  <c r="J568" i="1"/>
  <c r="J567" i="1"/>
  <c r="Q566" i="1"/>
  <c r="P566" i="1"/>
  <c r="L566" i="1"/>
  <c r="J566" i="1"/>
  <c r="T565" i="1"/>
  <c r="S565" i="1"/>
  <c r="R565" i="1"/>
  <c r="Q565" i="1"/>
  <c r="P565" i="1"/>
  <c r="L565" i="1"/>
  <c r="T564" i="1"/>
  <c r="S564" i="1"/>
  <c r="R564" i="1"/>
  <c r="Q564" i="1"/>
  <c r="P564" i="1"/>
  <c r="L564" i="1"/>
  <c r="T563" i="1"/>
  <c r="S563" i="1"/>
  <c r="R563" i="1"/>
  <c r="Q563" i="1"/>
  <c r="P563" i="1"/>
  <c r="L563" i="1"/>
  <c r="J563" i="1"/>
  <c r="T562" i="1"/>
  <c r="S562" i="1"/>
  <c r="R562" i="1"/>
  <c r="Q562" i="1"/>
  <c r="P562" i="1"/>
  <c r="L562" i="1"/>
  <c r="J562" i="1"/>
  <c r="J561" i="1"/>
  <c r="T560" i="1"/>
  <c r="S560" i="1"/>
  <c r="R560" i="1"/>
  <c r="Q560" i="1"/>
  <c r="P560" i="1"/>
  <c r="L560" i="1"/>
  <c r="J560" i="1"/>
  <c r="T559" i="1"/>
  <c r="S559" i="1"/>
  <c r="R559" i="1"/>
  <c r="Q559" i="1"/>
  <c r="P559" i="1"/>
  <c r="L559" i="1"/>
  <c r="J559" i="1"/>
  <c r="T558" i="1"/>
  <c r="S558" i="1"/>
  <c r="R558" i="1"/>
  <c r="Q558" i="1"/>
  <c r="P558" i="1"/>
  <c r="L558" i="1"/>
  <c r="J558" i="1"/>
  <c r="J557" i="1"/>
  <c r="T556" i="1"/>
  <c r="S556" i="1"/>
  <c r="R556" i="1"/>
  <c r="Q556" i="1"/>
  <c r="P556" i="1"/>
  <c r="L556" i="1"/>
  <c r="J556" i="1"/>
  <c r="J555" i="1"/>
  <c r="T554" i="1"/>
  <c r="S554" i="1"/>
  <c r="Q554" i="1"/>
  <c r="P554" i="1"/>
  <c r="L554" i="1"/>
  <c r="J554" i="1"/>
  <c r="T553" i="1"/>
  <c r="S553" i="1"/>
  <c r="R553" i="1"/>
  <c r="Q553" i="1"/>
  <c r="P553" i="1"/>
  <c r="L553" i="1"/>
  <c r="J553" i="1"/>
  <c r="T552" i="1"/>
  <c r="S552" i="1"/>
  <c r="R552" i="1"/>
  <c r="Q552" i="1"/>
  <c r="P552" i="1"/>
  <c r="L552" i="1"/>
  <c r="T551" i="1"/>
  <c r="S551" i="1"/>
  <c r="R551" i="1"/>
  <c r="Q551" i="1"/>
  <c r="P551" i="1"/>
  <c r="L551" i="1"/>
  <c r="J551" i="1"/>
  <c r="T550" i="1"/>
  <c r="S550" i="1"/>
  <c r="R550" i="1"/>
  <c r="Q550" i="1"/>
  <c r="P550" i="1"/>
  <c r="L550" i="1"/>
  <c r="J550" i="1"/>
  <c r="T549" i="1"/>
  <c r="S549" i="1"/>
  <c r="R549" i="1"/>
  <c r="Q549" i="1"/>
  <c r="P549" i="1"/>
  <c r="L549" i="1"/>
  <c r="J549" i="1"/>
  <c r="J548" i="1"/>
  <c r="R547" i="1"/>
  <c r="Q547" i="1"/>
  <c r="L547" i="1"/>
  <c r="J547" i="1"/>
  <c r="T546" i="1"/>
  <c r="S546" i="1"/>
  <c r="R546" i="1"/>
  <c r="Q546" i="1"/>
  <c r="P546" i="1"/>
  <c r="L546" i="1"/>
  <c r="J546" i="1"/>
  <c r="T545" i="1"/>
  <c r="S545" i="1"/>
  <c r="R545" i="1"/>
  <c r="Q545" i="1"/>
  <c r="P545" i="1"/>
  <c r="L545" i="1"/>
  <c r="T544" i="1"/>
  <c r="S544" i="1"/>
  <c r="R544" i="1"/>
  <c r="Q544" i="1"/>
  <c r="P544" i="1"/>
  <c r="L544" i="1"/>
  <c r="T543" i="1"/>
  <c r="L543" i="1"/>
  <c r="J543" i="1"/>
  <c r="T542" i="1"/>
  <c r="S542" i="1"/>
  <c r="R542" i="1"/>
  <c r="Q542" i="1"/>
  <c r="P542" i="1"/>
  <c r="L542" i="1"/>
  <c r="T541" i="1"/>
  <c r="S541" i="1"/>
  <c r="R541" i="1"/>
  <c r="Q541" i="1"/>
  <c r="P541" i="1"/>
  <c r="L541" i="1"/>
  <c r="J541" i="1"/>
  <c r="T540" i="1"/>
  <c r="S540" i="1"/>
  <c r="R540" i="1"/>
  <c r="Q540" i="1"/>
  <c r="P540" i="1"/>
  <c r="L540" i="1"/>
  <c r="J540" i="1"/>
  <c r="T539" i="1"/>
  <c r="R539" i="1"/>
  <c r="L539" i="1"/>
  <c r="J539" i="1"/>
  <c r="T538" i="1"/>
  <c r="S538" i="1"/>
  <c r="R538" i="1"/>
  <c r="Q538" i="1"/>
  <c r="P538" i="1"/>
  <c r="L538" i="1"/>
  <c r="J538" i="1"/>
  <c r="T537" i="1"/>
  <c r="S537" i="1"/>
  <c r="R537" i="1"/>
  <c r="Q537" i="1"/>
  <c r="P537" i="1"/>
  <c r="L537" i="1"/>
  <c r="J537" i="1"/>
  <c r="T536" i="1"/>
  <c r="S536" i="1"/>
  <c r="R536" i="1"/>
  <c r="Q536" i="1"/>
  <c r="P536" i="1"/>
  <c r="L536" i="1"/>
  <c r="J536" i="1"/>
  <c r="T535" i="1"/>
  <c r="S535" i="1"/>
  <c r="R535" i="1"/>
  <c r="Q535" i="1"/>
  <c r="P535" i="1"/>
  <c r="L535" i="1"/>
  <c r="J535" i="1"/>
  <c r="S534" i="1"/>
  <c r="L534" i="1"/>
  <c r="J534" i="1"/>
  <c r="R533" i="1"/>
  <c r="Q533" i="1"/>
  <c r="L533" i="1"/>
  <c r="J533" i="1"/>
  <c r="T532" i="1"/>
  <c r="S532" i="1"/>
  <c r="R532" i="1"/>
  <c r="Q532" i="1"/>
  <c r="P532" i="1"/>
  <c r="L532" i="1"/>
  <c r="S531" i="1"/>
  <c r="R531" i="1"/>
  <c r="Q531" i="1"/>
  <c r="P531" i="1"/>
  <c r="L531" i="1"/>
  <c r="J531" i="1"/>
  <c r="T530" i="1"/>
  <c r="S530" i="1"/>
  <c r="R530" i="1"/>
  <c r="Q530" i="1"/>
  <c r="P530" i="1"/>
  <c r="L530" i="1"/>
  <c r="J530" i="1"/>
  <c r="T529" i="1"/>
  <c r="S529" i="1"/>
  <c r="R529" i="1"/>
  <c r="Q529" i="1"/>
  <c r="P529" i="1"/>
  <c r="L529" i="1"/>
  <c r="J529" i="1"/>
  <c r="L528" i="1"/>
  <c r="J528" i="1"/>
  <c r="T527" i="1"/>
  <c r="S527" i="1"/>
  <c r="R527" i="1"/>
  <c r="Q527" i="1"/>
  <c r="P527" i="1"/>
  <c r="L527" i="1"/>
  <c r="J527" i="1"/>
  <c r="T526" i="1"/>
  <c r="S526" i="1"/>
  <c r="R526" i="1"/>
  <c r="Q526" i="1"/>
  <c r="P526" i="1"/>
  <c r="L526" i="1"/>
  <c r="J526" i="1"/>
  <c r="T525" i="1"/>
  <c r="S525" i="1"/>
  <c r="Q525" i="1"/>
  <c r="P525" i="1"/>
  <c r="L525" i="1"/>
  <c r="J525" i="1"/>
  <c r="T524" i="1"/>
  <c r="S524" i="1"/>
  <c r="R524" i="1"/>
  <c r="Q524" i="1"/>
  <c r="P524" i="1"/>
  <c r="L524" i="1"/>
  <c r="J524" i="1"/>
  <c r="R523" i="1"/>
  <c r="P523" i="1"/>
  <c r="L523" i="1"/>
  <c r="J523" i="1"/>
  <c r="J522" i="1"/>
  <c r="T521" i="1"/>
  <c r="S521" i="1"/>
  <c r="R521" i="1"/>
  <c r="L521" i="1"/>
  <c r="J521" i="1"/>
  <c r="T520" i="1"/>
  <c r="S520" i="1"/>
  <c r="R520" i="1"/>
  <c r="Q520" i="1"/>
  <c r="P520" i="1"/>
  <c r="L520" i="1"/>
  <c r="J520" i="1"/>
  <c r="T519" i="1"/>
  <c r="L519" i="1"/>
  <c r="J519" i="1"/>
  <c r="T518" i="1"/>
  <c r="S518" i="1"/>
  <c r="R518" i="1"/>
  <c r="Q518" i="1"/>
  <c r="P518" i="1"/>
  <c r="L518" i="1"/>
  <c r="J518" i="1"/>
  <c r="T517" i="1"/>
  <c r="S517" i="1"/>
  <c r="R517" i="1"/>
  <c r="Q517" i="1"/>
  <c r="P517" i="1"/>
  <c r="L517" i="1"/>
  <c r="J517" i="1"/>
  <c r="S516" i="1"/>
  <c r="R516" i="1"/>
  <c r="Q516" i="1"/>
  <c r="P516" i="1"/>
  <c r="L516" i="1"/>
  <c r="J516" i="1"/>
  <c r="J515" i="1"/>
  <c r="T514" i="1"/>
  <c r="S514" i="1"/>
  <c r="P514" i="1"/>
  <c r="L514" i="1"/>
  <c r="J514" i="1"/>
  <c r="T513" i="1"/>
  <c r="S513" i="1"/>
  <c r="R513" i="1"/>
  <c r="Q513" i="1"/>
  <c r="P513" i="1"/>
  <c r="L513" i="1"/>
  <c r="J513" i="1"/>
  <c r="T512" i="1"/>
  <c r="S512" i="1"/>
  <c r="R512" i="1"/>
  <c r="Q512" i="1"/>
  <c r="P512" i="1"/>
  <c r="L512" i="1"/>
  <c r="J512" i="1"/>
  <c r="T510" i="1"/>
  <c r="S510" i="1"/>
  <c r="R510" i="1"/>
  <c r="Q510" i="1"/>
  <c r="P510" i="1"/>
  <c r="L510" i="1"/>
  <c r="J510" i="1"/>
  <c r="T509" i="1"/>
  <c r="S509" i="1"/>
  <c r="R509" i="1"/>
  <c r="Q509" i="1"/>
  <c r="P509" i="1"/>
  <c r="L509" i="1"/>
  <c r="J509" i="1"/>
  <c r="S508" i="1"/>
  <c r="R508" i="1"/>
  <c r="Q508" i="1"/>
  <c r="P508" i="1"/>
  <c r="L508" i="1"/>
  <c r="J508" i="1"/>
  <c r="S507" i="1"/>
  <c r="R507" i="1"/>
  <c r="Q507" i="1"/>
  <c r="P507" i="1"/>
  <c r="L507" i="1"/>
  <c r="J507" i="1"/>
  <c r="Q506" i="1"/>
  <c r="L506" i="1"/>
  <c r="J506" i="1"/>
  <c r="S505" i="1"/>
  <c r="R505" i="1"/>
  <c r="L505" i="1"/>
  <c r="J505" i="1"/>
  <c r="J504" i="1"/>
  <c r="T503" i="1"/>
  <c r="S503" i="1"/>
  <c r="R503" i="1"/>
  <c r="Q503" i="1"/>
  <c r="P503" i="1"/>
  <c r="L503" i="1"/>
  <c r="J503" i="1"/>
  <c r="T502" i="1"/>
  <c r="L502" i="1"/>
  <c r="J502" i="1"/>
  <c r="R501" i="1"/>
  <c r="Q501" i="1"/>
  <c r="L501" i="1"/>
  <c r="J501" i="1"/>
  <c r="T500" i="1"/>
  <c r="R500" i="1"/>
  <c r="Q500" i="1"/>
  <c r="L500" i="1"/>
  <c r="J500" i="1"/>
  <c r="J499" i="1"/>
  <c r="S498" i="1"/>
  <c r="R498" i="1"/>
  <c r="Q498" i="1"/>
  <c r="L498" i="1"/>
  <c r="J498" i="1"/>
  <c r="U497" i="1"/>
  <c r="T497" i="1"/>
  <c r="S497" i="1"/>
  <c r="R497" i="1"/>
  <c r="Q497" i="1"/>
  <c r="L497" i="1"/>
  <c r="J497" i="1"/>
  <c r="U496" i="1"/>
  <c r="T496" i="1"/>
  <c r="S496" i="1"/>
  <c r="R496" i="1"/>
  <c r="Q496" i="1"/>
  <c r="L496" i="1"/>
  <c r="J496" i="1"/>
  <c r="U495" i="1"/>
  <c r="T495" i="1"/>
  <c r="S495" i="1"/>
  <c r="R495" i="1"/>
  <c r="Q495" i="1"/>
  <c r="L495" i="1"/>
  <c r="J495" i="1"/>
  <c r="J494" i="1"/>
  <c r="R493" i="1"/>
  <c r="Q493" i="1"/>
  <c r="L493" i="1"/>
  <c r="J493" i="1"/>
  <c r="Q492" i="1"/>
  <c r="L492" i="1"/>
  <c r="J492" i="1"/>
  <c r="Q491" i="1"/>
  <c r="L491" i="1"/>
  <c r="J491" i="1"/>
  <c r="Q490" i="1"/>
  <c r="L490" i="1"/>
  <c r="J490" i="1"/>
  <c r="T489" i="1"/>
  <c r="S489" i="1"/>
  <c r="L489" i="1"/>
  <c r="J489" i="1"/>
  <c r="J488" i="1"/>
  <c r="T487" i="1"/>
  <c r="S487" i="1"/>
  <c r="R487" i="1"/>
  <c r="Q487" i="1"/>
  <c r="L487" i="1"/>
  <c r="J487" i="1"/>
  <c r="U486" i="1"/>
  <c r="T486" i="1"/>
  <c r="S486" i="1"/>
  <c r="R486" i="1"/>
  <c r="Q486" i="1"/>
  <c r="L486" i="1"/>
  <c r="J486" i="1"/>
  <c r="U485" i="1"/>
  <c r="T485" i="1"/>
  <c r="S485" i="1"/>
  <c r="R485" i="1"/>
  <c r="Q485" i="1"/>
  <c r="L485" i="1"/>
  <c r="J485" i="1"/>
  <c r="U484" i="1"/>
  <c r="T484" i="1"/>
  <c r="S484" i="1"/>
  <c r="R484" i="1"/>
  <c r="Q484" i="1"/>
  <c r="L484" i="1"/>
  <c r="J484" i="1"/>
  <c r="U483" i="1"/>
  <c r="T483" i="1"/>
  <c r="S483" i="1"/>
  <c r="R483" i="1"/>
  <c r="Q483" i="1"/>
  <c r="L483" i="1"/>
  <c r="J483" i="1"/>
  <c r="J482" i="1"/>
  <c r="V481" i="1"/>
  <c r="U481" i="1"/>
  <c r="T481" i="1"/>
  <c r="S481" i="1"/>
  <c r="R481" i="1"/>
  <c r="Q481" i="1"/>
  <c r="L481" i="1"/>
  <c r="J481" i="1"/>
  <c r="U480" i="1"/>
  <c r="T480" i="1"/>
  <c r="S480" i="1"/>
  <c r="R480" i="1"/>
  <c r="Q480" i="1"/>
  <c r="L480" i="1"/>
  <c r="J480" i="1"/>
  <c r="U479" i="1"/>
  <c r="T479" i="1"/>
  <c r="S479" i="1"/>
  <c r="R479" i="1"/>
  <c r="Q479" i="1"/>
  <c r="L479" i="1"/>
  <c r="J479" i="1"/>
  <c r="J478" i="1"/>
  <c r="J477" i="1"/>
  <c r="V476" i="1"/>
  <c r="U476" i="1"/>
  <c r="T476" i="1"/>
  <c r="S476" i="1"/>
  <c r="R476" i="1"/>
  <c r="Q476" i="1"/>
  <c r="L476" i="1"/>
  <c r="J476" i="1"/>
  <c r="V475" i="1"/>
  <c r="U475" i="1"/>
  <c r="T475" i="1"/>
  <c r="S475" i="1"/>
  <c r="R475" i="1"/>
  <c r="Q475" i="1"/>
  <c r="L475" i="1"/>
  <c r="J475" i="1"/>
  <c r="V474" i="1"/>
  <c r="U474" i="1"/>
  <c r="T474" i="1"/>
  <c r="S474" i="1"/>
  <c r="R474" i="1"/>
  <c r="Q474" i="1"/>
  <c r="L474" i="1"/>
  <c r="J474" i="1"/>
  <c r="U473" i="1"/>
  <c r="T473" i="1"/>
  <c r="S473" i="1"/>
  <c r="R473" i="1"/>
  <c r="Q473" i="1"/>
  <c r="L473" i="1"/>
  <c r="J473" i="1"/>
  <c r="U472" i="1"/>
  <c r="T472" i="1"/>
  <c r="S472" i="1"/>
  <c r="R472" i="1"/>
  <c r="Q472" i="1"/>
  <c r="L472" i="1"/>
  <c r="J472" i="1"/>
  <c r="J471" i="1"/>
  <c r="U470" i="1"/>
  <c r="T470" i="1"/>
  <c r="S470" i="1"/>
  <c r="R470" i="1"/>
  <c r="Q470" i="1"/>
  <c r="L470" i="1"/>
  <c r="J470" i="1"/>
  <c r="J469" i="1"/>
  <c r="J468" i="1"/>
  <c r="U467" i="1"/>
  <c r="T467" i="1"/>
  <c r="S467" i="1"/>
  <c r="R467" i="1"/>
  <c r="Q467" i="1"/>
  <c r="L467" i="1"/>
  <c r="J467" i="1"/>
  <c r="U466" i="1"/>
  <c r="T466" i="1"/>
  <c r="S466" i="1"/>
  <c r="R466" i="1"/>
  <c r="Q466" i="1"/>
  <c r="L466" i="1"/>
  <c r="J466" i="1"/>
  <c r="J465" i="1"/>
  <c r="T464" i="1"/>
  <c r="S464" i="1"/>
  <c r="R464" i="1"/>
  <c r="Q464" i="1"/>
  <c r="P464" i="1"/>
  <c r="L464" i="1"/>
  <c r="J464" i="1"/>
  <c r="U463" i="1"/>
  <c r="L463" i="1"/>
  <c r="J463" i="1"/>
  <c r="U462" i="1"/>
  <c r="T462" i="1"/>
  <c r="S462" i="1"/>
  <c r="Q462" i="1"/>
  <c r="L462" i="1"/>
  <c r="J462" i="1"/>
  <c r="J461" i="1"/>
  <c r="J460" i="1"/>
  <c r="U459" i="1"/>
  <c r="R459" i="1"/>
  <c r="Q459" i="1"/>
  <c r="L459" i="1"/>
  <c r="J459" i="1"/>
  <c r="U458" i="1"/>
  <c r="T458" i="1"/>
  <c r="S458" i="1"/>
  <c r="R458" i="1"/>
  <c r="Q458" i="1"/>
  <c r="L458" i="1"/>
  <c r="J458" i="1"/>
  <c r="J457" i="1"/>
  <c r="J456" i="1"/>
  <c r="T455" i="1"/>
  <c r="L455" i="1"/>
  <c r="J455" i="1"/>
  <c r="U454" i="1"/>
  <c r="T454" i="1"/>
  <c r="S454" i="1"/>
  <c r="R454" i="1"/>
  <c r="Q454" i="1"/>
  <c r="L454" i="1"/>
  <c r="J454" i="1"/>
  <c r="S453" i="1"/>
  <c r="R453" i="1"/>
  <c r="L453" i="1"/>
  <c r="J453" i="1"/>
  <c r="S452" i="1"/>
  <c r="R452" i="1"/>
  <c r="L452" i="1"/>
  <c r="J452" i="1"/>
  <c r="Q451" i="1"/>
  <c r="L451" i="1"/>
  <c r="J451" i="1"/>
  <c r="R450" i="1"/>
  <c r="L450" i="1"/>
  <c r="J450" i="1"/>
  <c r="U449" i="1"/>
  <c r="T449" i="1"/>
  <c r="S449" i="1"/>
  <c r="R449" i="1"/>
  <c r="Q449" i="1"/>
  <c r="L449" i="1"/>
  <c r="J449" i="1"/>
  <c r="U448" i="1"/>
  <c r="T448" i="1"/>
  <c r="S448" i="1"/>
  <c r="R448" i="1"/>
  <c r="Q448" i="1"/>
  <c r="L448" i="1"/>
  <c r="J448" i="1"/>
  <c r="U447" i="1"/>
  <c r="T447" i="1"/>
  <c r="S447" i="1"/>
  <c r="R447" i="1"/>
  <c r="Q447" i="1"/>
  <c r="L447" i="1"/>
  <c r="J447" i="1"/>
  <c r="S446" i="1"/>
  <c r="R446" i="1"/>
  <c r="Q446" i="1"/>
  <c r="L446" i="1"/>
  <c r="J446" i="1"/>
  <c r="U445" i="1"/>
  <c r="T445" i="1"/>
  <c r="S445" i="1"/>
  <c r="R445" i="1"/>
  <c r="Q445" i="1"/>
  <c r="L445" i="1"/>
  <c r="J445" i="1"/>
  <c r="U444" i="1"/>
  <c r="T444" i="1"/>
  <c r="S444" i="1"/>
  <c r="Q444" i="1"/>
  <c r="L444" i="1"/>
  <c r="J444" i="1"/>
  <c r="R443" i="1"/>
  <c r="Q443" i="1"/>
  <c r="L443" i="1"/>
  <c r="J443" i="1"/>
  <c r="U442" i="1"/>
  <c r="T442" i="1"/>
  <c r="S442" i="1"/>
  <c r="R442" i="1"/>
  <c r="Q442" i="1"/>
  <c r="L442" i="1"/>
  <c r="J442" i="1"/>
  <c r="J441" i="1"/>
  <c r="J440" i="1"/>
  <c r="S439" i="1"/>
  <c r="R439" i="1"/>
  <c r="Q439" i="1"/>
  <c r="L439" i="1"/>
  <c r="J439" i="1"/>
  <c r="U438" i="1"/>
  <c r="T438" i="1"/>
  <c r="S438" i="1"/>
  <c r="R438" i="1"/>
  <c r="Q438" i="1"/>
  <c r="L438" i="1"/>
  <c r="J438" i="1"/>
  <c r="U437" i="1"/>
  <c r="T437" i="1"/>
  <c r="S437" i="1"/>
  <c r="R437" i="1"/>
  <c r="Q437" i="1"/>
  <c r="L437" i="1"/>
  <c r="J437" i="1"/>
  <c r="U436" i="1"/>
  <c r="T436" i="1"/>
  <c r="S436" i="1"/>
  <c r="R436" i="1"/>
  <c r="Q436" i="1"/>
  <c r="L436" i="1"/>
  <c r="J436" i="1"/>
  <c r="U435" i="1"/>
  <c r="T435" i="1"/>
  <c r="S435" i="1"/>
  <c r="R435" i="1"/>
  <c r="Q435" i="1"/>
  <c r="L435" i="1"/>
  <c r="J435" i="1"/>
  <c r="U434" i="1"/>
  <c r="T434" i="1"/>
  <c r="S434" i="1"/>
  <c r="R434" i="1"/>
  <c r="Q434" i="1"/>
  <c r="L434" i="1"/>
  <c r="J434" i="1"/>
  <c r="U433" i="1"/>
  <c r="T433" i="1"/>
  <c r="S433" i="1"/>
  <c r="R433" i="1"/>
  <c r="Q433" i="1"/>
  <c r="L433" i="1"/>
  <c r="J433" i="1"/>
  <c r="U432" i="1"/>
  <c r="T432" i="1"/>
  <c r="S432" i="1"/>
  <c r="R432" i="1"/>
  <c r="Q432" i="1"/>
  <c r="L432" i="1"/>
  <c r="J432" i="1"/>
  <c r="U431" i="1"/>
  <c r="T431" i="1"/>
  <c r="S431" i="1"/>
  <c r="R431" i="1"/>
  <c r="Q431" i="1"/>
  <c r="L431" i="1"/>
  <c r="J431" i="1"/>
  <c r="U430" i="1"/>
  <c r="T430" i="1"/>
  <c r="S430" i="1"/>
  <c r="R430" i="1"/>
  <c r="Q430" i="1"/>
  <c r="L430" i="1"/>
  <c r="J430" i="1"/>
  <c r="U429" i="1"/>
  <c r="T429" i="1"/>
  <c r="S429" i="1"/>
  <c r="R429" i="1"/>
  <c r="Q429" i="1"/>
  <c r="L429" i="1"/>
  <c r="J429" i="1"/>
  <c r="U428" i="1"/>
  <c r="T428" i="1"/>
  <c r="S428" i="1"/>
  <c r="R428" i="1"/>
  <c r="Q428" i="1"/>
  <c r="L428" i="1"/>
  <c r="J428" i="1"/>
  <c r="S427" i="1"/>
  <c r="R427" i="1"/>
  <c r="Q427" i="1"/>
  <c r="P427" i="1"/>
  <c r="L427" i="1"/>
  <c r="J427" i="1"/>
  <c r="J426" i="1"/>
  <c r="T425" i="1"/>
  <c r="S425" i="1"/>
  <c r="R425" i="1"/>
  <c r="Q425" i="1"/>
  <c r="P425" i="1"/>
  <c r="L425" i="1"/>
  <c r="J425" i="1"/>
  <c r="J424" i="1"/>
  <c r="T423" i="1"/>
  <c r="S423" i="1"/>
  <c r="R423" i="1"/>
  <c r="Q423" i="1"/>
  <c r="P423" i="1"/>
  <c r="L423" i="1"/>
  <c r="J423" i="1"/>
  <c r="L422" i="1"/>
  <c r="J422" i="1"/>
  <c r="T421" i="1"/>
  <c r="S421" i="1"/>
  <c r="R421" i="1"/>
  <c r="Q421" i="1"/>
  <c r="P421" i="1"/>
  <c r="L421" i="1"/>
  <c r="J421" i="1"/>
  <c r="T420" i="1"/>
  <c r="S420" i="1"/>
  <c r="R420" i="1"/>
  <c r="Q420" i="1"/>
  <c r="P420" i="1"/>
  <c r="L420" i="1"/>
  <c r="J420" i="1"/>
  <c r="T419" i="1"/>
  <c r="S419" i="1"/>
  <c r="R419" i="1"/>
  <c r="Q419" i="1"/>
  <c r="P419" i="1"/>
  <c r="L419" i="1"/>
  <c r="J419" i="1"/>
  <c r="Q418" i="1"/>
  <c r="L418" i="1"/>
  <c r="J418" i="1"/>
  <c r="J417" i="1"/>
  <c r="V416" i="1"/>
  <c r="U416" i="1"/>
  <c r="T416" i="1"/>
  <c r="S416" i="1"/>
  <c r="R416" i="1"/>
  <c r="Q416" i="1"/>
  <c r="L416" i="1"/>
  <c r="J416" i="1"/>
  <c r="U415" i="1"/>
  <c r="T415" i="1"/>
  <c r="S415" i="1"/>
  <c r="R415" i="1"/>
  <c r="Q415" i="1"/>
  <c r="L415" i="1"/>
  <c r="J415" i="1"/>
  <c r="S414" i="1"/>
  <c r="R414" i="1"/>
  <c r="Q414" i="1"/>
  <c r="L414" i="1"/>
  <c r="J414" i="1"/>
  <c r="J413" i="1"/>
  <c r="U412" i="1"/>
  <c r="T412" i="1"/>
  <c r="S412" i="1"/>
  <c r="R412" i="1"/>
  <c r="Q412" i="1"/>
  <c r="L412" i="1"/>
  <c r="J412" i="1"/>
  <c r="U411" i="1"/>
  <c r="T411" i="1"/>
  <c r="S411" i="1"/>
  <c r="R411" i="1"/>
  <c r="Q411" i="1"/>
  <c r="L411" i="1"/>
  <c r="J411" i="1"/>
  <c r="J410" i="1"/>
  <c r="V409" i="1"/>
  <c r="U409" i="1"/>
  <c r="T409" i="1"/>
  <c r="S409" i="1"/>
  <c r="R409" i="1"/>
  <c r="Q409" i="1"/>
  <c r="L409" i="1"/>
  <c r="J409" i="1"/>
  <c r="J408" i="1"/>
  <c r="V407" i="1"/>
  <c r="U407" i="1"/>
  <c r="T407" i="1"/>
  <c r="S407" i="1"/>
  <c r="R407" i="1"/>
  <c r="Q407" i="1"/>
  <c r="L407" i="1"/>
  <c r="J407" i="1"/>
  <c r="V406" i="1"/>
  <c r="U406" i="1"/>
  <c r="T406" i="1"/>
  <c r="S406" i="1"/>
  <c r="R406" i="1"/>
  <c r="Q406" i="1"/>
  <c r="L406" i="1"/>
  <c r="J406" i="1"/>
  <c r="U405" i="1"/>
  <c r="T405" i="1"/>
  <c r="S405" i="1"/>
  <c r="R405" i="1"/>
  <c r="Q405" i="1"/>
  <c r="L405" i="1"/>
  <c r="J405" i="1"/>
  <c r="J404" i="1"/>
  <c r="U403" i="1"/>
  <c r="T403" i="1"/>
  <c r="S403" i="1"/>
  <c r="R403" i="1"/>
  <c r="Q403" i="1"/>
  <c r="L403" i="1"/>
  <c r="J403" i="1"/>
  <c r="V402" i="1"/>
  <c r="U402" i="1"/>
  <c r="T402" i="1"/>
  <c r="S402" i="1"/>
  <c r="R402" i="1"/>
  <c r="Q402" i="1"/>
  <c r="L402" i="1"/>
  <c r="J402" i="1"/>
  <c r="U401" i="1"/>
  <c r="T401" i="1"/>
  <c r="S401" i="1"/>
  <c r="R401" i="1"/>
  <c r="Q401" i="1"/>
  <c r="L401" i="1"/>
  <c r="V400" i="1"/>
  <c r="U400" i="1"/>
  <c r="T400" i="1"/>
  <c r="S400" i="1"/>
  <c r="R400" i="1"/>
  <c r="Q400" i="1"/>
  <c r="L400" i="1"/>
  <c r="J400" i="1"/>
  <c r="V399" i="1"/>
  <c r="U399" i="1"/>
  <c r="T399" i="1"/>
  <c r="S399" i="1"/>
  <c r="R399" i="1"/>
  <c r="Q399" i="1"/>
  <c r="L399" i="1"/>
  <c r="J399" i="1"/>
  <c r="U398" i="1"/>
  <c r="T398" i="1"/>
  <c r="S398" i="1"/>
  <c r="R398" i="1"/>
  <c r="Q398" i="1"/>
  <c r="L398" i="1"/>
  <c r="J398" i="1"/>
  <c r="V397" i="1"/>
  <c r="U397" i="1"/>
  <c r="T397" i="1"/>
  <c r="S397" i="1"/>
  <c r="R397" i="1"/>
  <c r="Q397" i="1"/>
  <c r="L397" i="1"/>
  <c r="J397" i="1"/>
  <c r="U396" i="1"/>
  <c r="T396" i="1"/>
  <c r="R396" i="1"/>
  <c r="Q396" i="1"/>
  <c r="L396" i="1"/>
  <c r="U395" i="1"/>
  <c r="T395" i="1"/>
  <c r="S395" i="1"/>
  <c r="R395" i="1"/>
  <c r="Q395" i="1"/>
  <c r="L395" i="1"/>
  <c r="J395" i="1"/>
  <c r="U394" i="1"/>
  <c r="T394" i="1"/>
  <c r="S394" i="1"/>
  <c r="R394" i="1"/>
  <c r="Q394" i="1"/>
  <c r="L394" i="1"/>
  <c r="J394" i="1"/>
  <c r="V393" i="1"/>
  <c r="U393" i="1"/>
  <c r="T393" i="1"/>
  <c r="S393" i="1"/>
  <c r="R393" i="1"/>
  <c r="Q393" i="1"/>
  <c r="L393" i="1"/>
  <c r="J393" i="1"/>
  <c r="U392" i="1"/>
  <c r="T392" i="1"/>
  <c r="S392" i="1"/>
  <c r="R392" i="1"/>
  <c r="Q392" i="1"/>
  <c r="L392" i="1"/>
  <c r="J392" i="1"/>
  <c r="J391" i="1"/>
  <c r="T390" i="1"/>
  <c r="S390" i="1"/>
  <c r="Q390" i="1"/>
  <c r="L390" i="1"/>
  <c r="J390" i="1"/>
  <c r="U389" i="1"/>
  <c r="T389" i="1"/>
  <c r="R389" i="1"/>
  <c r="L389" i="1"/>
  <c r="J389" i="1"/>
  <c r="U388" i="1"/>
  <c r="S388" i="1"/>
  <c r="Q388" i="1"/>
  <c r="L388" i="1"/>
  <c r="J388" i="1"/>
  <c r="U387" i="1"/>
  <c r="T387" i="1"/>
  <c r="S387" i="1"/>
  <c r="R387" i="1"/>
  <c r="Q387" i="1"/>
  <c r="L387" i="1"/>
  <c r="J387" i="1"/>
  <c r="J386" i="1"/>
  <c r="V385" i="1"/>
  <c r="U385" i="1"/>
  <c r="T385" i="1"/>
  <c r="S385" i="1"/>
  <c r="R385" i="1"/>
  <c r="Q385" i="1"/>
  <c r="L385" i="1"/>
  <c r="J385" i="1"/>
  <c r="V384" i="1"/>
  <c r="U384" i="1"/>
  <c r="T384" i="1"/>
  <c r="S384" i="1"/>
  <c r="R384" i="1"/>
  <c r="Q384" i="1"/>
  <c r="L384" i="1"/>
  <c r="J384" i="1"/>
  <c r="V383" i="1"/>
  <c r="U383" i="1"/>
  <c r="T383" i="1"/>
  <c r="S383" i="1"/>
  <c r="R383" i="1"/>
  <c r="Q383" i="1"/>
  <c r="L383" i="1"/>
  <c r="J383" i="1"/>
  <c r="V382" i="1"/>
  <c r="U382" i="1"/>
  <c r="T382" i="1"/>
  <c r="S382" i="1"/>
  <c r="R382" i="1"/>
  <c r="Q382" i="1"/>
  <c r="L382" i="1"/>
  <c r="J382" i="1"/>
  <c r="V381" i="1"/>
  <c r="U381" i="1"/>
  <c r="S381" i="1"/>
  <c r="R381" i="1"/>
  <c r="Q381" i="1"/>
  <c r="L381" i="1"/>
  <c r="J381" i="1"/>
  <c r="U380" i="1"/>
  <c r="T380" i="1"/>
  <c r="S380" i="1"/>
  <c r="R380" i="1"/>
  <c r="Q380" i="1"/>
  <c r="L380" i="1"/>
  <c r="J380" i="1"/>
  <c r="S379" i="1"/>
  <c r="L379" i="1"/>
  <c r="J379" i="1"/>
  <c r="S378" i="1"/>
  <c r="R378" i="1"/>
  <c r="L378" i="1"/>
  <c r="J378" i="1"/>
  <c r="V377" i="1"/>
  <c r="U377" i="1"/>
  <c r="T377" i="1"/>
  <c r="S377" i="1"/>
  <c r="R377" i="1"/>
  <c r="Q377" i="1"/>
  <c r="L377" i="1"/>
  <c r="J377" i="1"/>
  <c r="U376" i="1"/>
  <c r="T376" i="1"/>
  <c r="S376" i="1"/>
  <c r="R376" i="1"/>
  <c r="Q376" i="1"/>
  <c r="L376" i="1"/>
  <c r="J376" i="1"/>
  <c r="J375" i="1"/>
  <c r="V374" i="1"/>
  <c r="U374" i="1"/>
  <c r="T374" i="1"/>
  <c r="S374" i="1"/>
  <c r="R374" i="1"/>
  <c r="Q374" i="1"/>
  <c r="L374" i="1"/>
  <c r="J374" i="1"/>
  <c r="U373" i="1"/>
  <c r="T373" i="1"/>
  <c r="S373" i="1"/>
  <c r="R373" i="1"/>
  <c r="Q373" i="1"/>
  <c r="L373" i="1"/>
  <c r="J373" i="1"/>
  <c r="U372" i="1"/>
  <c r="T372" i="1"/>
  <c r="S372" i="1"/>
  <c r="R372" i="1"/>
  <c r="Q372" i="1"/>
  <c r="L372" i="1"/>
  <c r="J372" i="1"/>
  <c r="V371" i="1"/>
  <c r="U371" i="1"/>
  <c r="T371" i="1"/>
  <c r="S371" i="1"/>
  <c r="R371" i="1"/>
  <c r="Q371" i="1"/>
  <c r="L371" i="1"/>
  <c r="J371" i="1"/>
  <c r="U370" i="1"/>
  <c r="T370" i="1"/>
  <c r="S370" i="1"/>
  <c r="R370" i="1"/>
  <c r="Q370" i="1"/>
  <c r="L370" i="1"/>
  <c r="J370" i="1"/>
  <c r="V369" i="1"/>
  <c r="U369" i="1"/>
  <c r="T369" i="1"/>
  <c r="S369" i="1"/>
  <c r="R369" i="1"/>
  <c r="Q369" i="1"/>
  <c r="L369" i="1"/>
  <c r="J369" i="1"/>
  <c r="U368" i="1"/>
  <c r="T368" i="1"/>
  <c r="S368" i="1"/>
  <c r="R368" i="1"/>
  <c r="Q368" i="1"/>
  <c r="L368" i="1"/>
  <c r="J368" i="1"/>
  <c r="V367" i="1"/>
  <c r="U367" i="1"/>
  <c r="T367" i="1"/>
  <c r="S367" i="1"/>
  <c r="R367" i="1"/>
  <c r="Q367" i="1"/>
  <c r="L367" i="1"/>
  <c r="J367" i="1"/>
  <c r="U366" i="1"/>
  <c r="T366" i="1"/>
  <c r="S366" i="1"/>
  <c r="R366" i="1"/>
  <c r="Q366" i="1"/>
  <c r="L366" i="1"/>
  <c r="J366" i="1"/>
  <c r="U365" i="1"/>
  <c r="T365" i="1"/>
  <c r="S365" i="1"/>
  <c r="R365" i="1"/>
  <c r="Q365" i="1"/>
  <c r="L365" i="1"/>
  <c r="J365" i="1"/>
  <c r="U364" i="1"/>
  <c r="T364" i="1"/>
  <c r="S364" i="1"/>
  <c r="R364" i="1"/>
  <c r="Q364" i="1"/>
  <c r="L364" i="1"/>
  <c r="J364" i="1"/>
  <c r="V363" i="1"/>
  <c r="U363" i="1"/>
  <c r="T363" i="1"/>
  <c r="S363" i="1"/>
  <c r="R363" i="1"/>
  <c r="Q363" i="1"/>
  <c r="L363" i="1"/>
  <c r="J363" i="1"/>
  <c r="Q362" i="1"/>
  <c r="L362" i="1"/>
  <c r="J362" i="1"/>
  <c r="J361" i="1"/>
  <c r="V360" i="1"/>
  <c r="U360" i="1"/>
  <c r="T360" i="1"/>
  <c r="S360" i="1"/>
  <c r="R360" i="1"/>
  <c r="Q360" i="1"/>
  <c r="L360" i="1"/>
  <c r="J360" i="1"/>
  <c r="U359" i="1"/>
  <c r="T359" i="1"/>
  <c r="S359" i="1"/>
  <c r="L359" i="1"/>
  <c r="J359" i="1"/>
  <c r="J358" i="1"/>
  <c r="V357" i="1"/>
  <c r="U357" i="1"/>
  <c r="T357" i="1"/>
  <c r="S357" i="1"/>
  <c r="R357" i="1"/>
  <c r="Q357" i="1"/>
  <c r="L357" i="1"/>
  <c r="J357" i="1"/>
  <c r="V356" i="1"/>
  <c r="U356" i="1"/>
  <c r="T356" i="1"/>
  <c r="S356" i="1"/>
  <c r="R356" i="1"/>
  <c r="Q356" i="1"/>
  <c r="L356" i="1"/>
  <c r="J356" i="1"/>
  <c r="V355" i="1"/>
  <c r="U355" i="1"/>
  <c r="T355" i="1"/>
  <c r="S355" i="1"/>
  <c r="R355" i="1"/>
  <c r="Q355" i="1"/>
  <c r="L355" i="1"/>
  <c r="J355" i="1"/>
  <c r="U354" i="1"/>
  <c r="T354" i="1"/>
  <c r="S354" i="1"/>
  <c r="R354" i="1"/>
  <c r="Q354" i="1"/>
  <c r="L354" i="1"/>
  <c r="J354" i="1"/>
  <c r="U353" i="1"/>
  <c r="T353" i="1"/>
  <c r="S353" i="1"/>
  <c r="R353" i="1"/>
  <c r="Q353" i="1"/>
  <c r="L353" i="1"/>
  <c r="J353" i="1"/>
  <c r="R352" i="1"/>
  <c r="Q352" i="1"/>
  <c r="L352" i="1"/>
  <c r="J352" i="1"/>
  <c r="J351" i="1"/>
  <c r="V350" i="1"/>
  <c r="U350" i="1"/>
  <c r="T350" i="1"/>
  <c r="S350" i="1"/>
  <c r="R350" i="1"/>
  <c r="Q350" i="1"/>
  <c r="L350" i="1"/>
  <c r="J350" i="1"/>
  <c r="V349" i="1"/>
  <c r="U349" i="1"/>
  <c r="T349" i="1"/>
  <c r="S349" i="1"/>
  <c r="R349" i="1"/>
  <c r="Q349" i="1"/>
  <c r="L349" i="1"/>
  <c r="J349" i="1"/>
  <c r="U348" i="1"/>
  <c r="T348" i="1"/>
  <c r="S348" i="1"/>
  <c r="R348" i="1"/>
  <c r="Q348" i="1"/>
  <c r="L348" i="1"/>
  <c r="J348" i="1"/>
  <c r="V347" i="1"/>
  <c r="U347" i="1"/>
  <c r="T347" i="1"/>
  <c r="S347" i="1"/>
  <c r="R347" i="1"/>
  <c r="Q347" i="1"/>
  <c r="L347" i="1"/>
  <c r="J347" i="1"/>
  <c r="V346" i="1"/>
  <c r="U346" i="1"/>
  <c r="T346" i="1"/>
  <c r="S346" i="1"/>
  <c r="R346" i="1"/>
  <c r="Q346" i="1"/>
  <c r="L346" i="1"/>
  <c r="J346" i="1"/>
  <c r="J345" i="1"/>
  <c r="U344" i="1"/>
  <c r="T344" i="1"/>
  <c r="S344" i="1"/>
  <c r="R344" i="1"/>
  <c r="Q344" i="1"/>
  <c r="L344" i="1"/>
  <c r="J344" i="1"/>
  <c r="T343" i="1"/>
  <c r="L343" i="1"/>
  <c r="J343" i="1"/>
  <c r="V342" i="1"/>
  <c r="U342" i="1"/>
  <c r="T342" i="1"/>
  <c r="R342" i="1"/>
  <c r="Q342" i="1"/>
  <c r="L342" i="1"/>
  <c r="J342" i="1"/>
  <c r="R341" i="1"/>
  <c r="Q341" i="1"/>
  <c r="L341" i="1"/>
  <c r="J341" i="1"/>
  <c r="V340" i="1"/>
  <c r="U340" i="1"/>
  <c r="T340" i="1"/>
  <c r="S340" i="1"/>
  <c r="R340" i="1"/>
  <c r="Q340" i="1"/>
  <c r="L340" i="1"/>
  <c r="J340" i="1"/>
  <c r="V339" i="1"/>
  <c r="U339" i="1"/>
  <c r="T339" i="1"/>
  <c r="S339" i="1"/>
  <c r="R339" i="1"/>
  <c r="Q339" i="1"/>
  <c r="L339" i="1"/>
  <c r="J339" i="1"/>
  <c r="V338" i="1"/>
  <c r="U338" i="1"/>
  <c r="T338" i="1"/>
  <c r="S338" i="1"/>
  <c r="R338" i="1"/>
  <c r="Q338" i="1"/>
  <c r="L338" i="1"/>
  <c r="J338" i="1"/>
  <c r="J337" i="1"/>
  <c r="V336" i="1"/>
  <c r="U336" i="1"/>
  <c r="T336" i="1"/>
  <c r="S336" i="1"/>
  <c r="R336" i="1"/>
  <c r="Q336" i="1"/>
  <c r="L336" i="1"/>
  <c r="J336" i="1"/>
  <c r="V335" i="1"/>
  <c r="L335" i="1"/>
  <c r="J335" i="1"/>
  <c r="V334" i="1"/>
  <c r="U334" i="1"/>
  <c r="T334" i="1"/>
  <c r="S334" i="1"/>
  <c r="R334" i="1"/>
  <c r="Q334" i="1"/>
  <c r="L334" i="1"/>
  <c r="J334" i="1"/>
  <c r="U333" i="1"/>
  <c r="T333" i="1"/>
  <c r="S333" i="1"/>
  <c r="R333" i="1"/>
  <c r="Q333" i="1"/>
  <c r="L333" i="1"/>
  <c r="J333" i="1"/>
  <c r="S332" i="1"/>
  <c r="R332" i="1"/>
  <c r="Q332" i="1"/>
  <c r="L332" i="1"/>
  <c r="J332" i="1"/>
  <c r="J331" i="1"/>
  <c r="J330" i="1"/>
  <c r="V329" i="1"/>
  <c r="U329" i="1"/>
  <c r="T329" i="1"/>
  <c r="S329" i="1"/>
  <c r="R329" i="1"/>
  <c r="Q329" i="1"/>
  <c r="L329" i="1"/>
  <c r="J329" i="1"/>
  <c r="V328" i="1"/>
  <c r="U328" i="1"/>
  <c r="T328" i="1"/>
  <c r="S328" i="1"/>
  <c r="R328" i="1"/>
  <c r="Q328" i="1"/>
  <c r="L328" i="1"/>
  <c r="J328" i="1"/>
  <c r="S327" i="1"/>
  <c r="R327" i="1"/>
  <c r="Q327" i="1"/>
  <c r="L327" i="1"/>
  <c r="J327" i="1"/>
  <c r="V326" i="1"/>
  <c r="U326" i="1"/>
  <c r="T326" i="1"/>
  <c r="S326" i="1"/>
  <c r="R326" i="1"/>
  <c r="Q326" i="1"/>
  <c r="L326" i="1"/>
  <c r="J326" i="1"/>
  <c r="V325" i="1"/>
  <c r="U325" i="1"/>
  <c r="T325" i="1"/>
  <c r="S325" i="1"/>
  <c r="R325" i="1"/>
  <c r="Q325" i="1"/>
  <c r="L325" i="1"/>
  <c r="J325" i="1"/>
  <c r="V324" i="1"/>
  <c r="U324" i="1"/>
  <c r="T324" i="1"/>
  <c r="S324" i="1"/>
  <c r="R324" i="1"/>
  <c r="Q324" i="1"/>
  <c r="L324" i="1"/>
  <c r="J324" i="1"/>
  <c r="J323" i="1"/>
  <c r="U322" i="1"/>
  <c r="T322" i="1"/>
  <c r="S322" i="1"/>
  <c r="R322" i="1"/>
  <c r="Q322" i="1"/>
  <c r="L322" i="1"/>
  <c r="J322" i="1"/>
  <c r="V321" i="1"/>
  <c r="U321" i="1"/>
  <c r="T321" i="1"/>
  <c r="S321" i="1"/>
  <c r="R321" i="1"/>
  <c r="Q321" i="1"/>
  <c r="L321" i="1"/>
  <c r="J321" i="1"/>
  <c r="V320" i="1"/>
  <c r="U320" i="1"/>
  <c r="T320" i="1"/>
  <c r="S320" i="1"/>
  <c r="R320" i="1"/>
  <c r="Q320" i="1"/>
  <c r="L320" i="1"/>
  <c r="J320" i="1"/>
  <c r="U319" i="1"/>
  <c r="T319" i="1"/>
  <c r="S319" i="1"/>
  <c r="R319" i="1"/>
  <c r="Q319" i="1"/>
  <c r="L319" i="1"/>
  <c r="J319" i="1"/>
  <c r="U318" i="1"/>
  <c r="T318" i="1"/>
  <c r="S318" i="1"/>
  <c r="R318" i="1"/>
  <c r="Q318" i="1"/>
  <c r="L318" i="1"/>
  <c r="J318" i="1"/>
  <c r="U317" i="1"/>
  <c r="T317" i="1"/>
  <c r="S317" i="1"/>
  <c r="R317" i="1"/>
  <c r="Q317" i="1"/>
  <c r="L317" i="1"/>
  <c r="J317" i="1"/>
  <c r="U316" i="1"/>
  <c r="T316" i="1"/>
  <c r="S316" i="1"/>
  <c r="R316" i="1"/>
  <c r="Q316" i="1"/>
  <c r="L316" i="1"/>
  <c r="J316" i="1"/>
  <c r="V315" i="1"/>
  <c r="U315" i="1"/>
  <c r="T315" i="1"/>
  <c r="S315" i="1"/>
  <c r="R315" i="1"/>
  <c r="Q315" i="1"/>
  <c r="L315" i="1"/>
  <c r="J315" i="1"/>
  <c r="U314" i="1"/>
  <c r="T314" i="1"/>
  <c r="S314" i="1"/>
  <c r="R314" i="1"/>
  <c r="Q314" i="1"/>
  <c r="L314" i="1"/>
  <c r="J314" i="1"/>
  <c r="V313" i="1"/>
  <c r="U313" i="1"/>
  <c r="T313" i="1"/>
  <c r="S313" i="1"/>
  <c r="R313" i="1"/>
  <c r="Q313" i="1"/>
  <c r="L313" i="1"/>
  <c r="J313" i="1"/>
  <c r="V312" i="1"/>
  <c r="U312" i="1"/>
  <c r="T312" i="1"/>
  <c r="S312" i="1"/>
  <c r="R312" i="1"/>
  <c r="Q312" i="1"/>
  <c r="L312" i="1"/>
  <c r="J312" i="1"/>
  <c r="V311" i="1"/>
  <c r="U311" i="1"/>
  <c r="T311" i="1"/>
  <c r="S311" i="1"/>
  <c r="R311" i="1"/>
  <c r="Q311" i="1"/>
  <c r="L311" i="1"/>
  <c r="J311" i="1"/>
  <c r="V310" i="1"/>
  <c r="U310" i="1"/>
  <c r="T310" i="1"/>
  <c r="S310" i="1"/>
  <c r="R310" i="1"/>
  <c r="Q310" i="1"/>
  <c r="L310" i="1"/>
  <c r="J310" i="1"/>
  <c r="V309" i="1"/>
  <c r="U309" i="1"/>
  <c r="T309" i="1"/>
  <c r="S309" i="1"/>
  <c r="R309" i="1"/>
  <c r="Q309" i="1"/>
  <c r="L309" i="1"/>
  <c r="J309" i="1"/>
  <c r="U308" i="1"/>
  <c r="T308" i="1"/>
  <c r="S308" i="1"/>
  <c r="R308" i="1"/>
  <c r="Q308" i="1"/>
  <c r="L308" i="1"/>
  <c r="U307" i="1"/>
  <c r="T307" i="1"/>
  <c r="S307" i="1"/>
  <c r="R307" i="1"/>
  <c r="Q307" i="1"/>
  <c r="L307" i="1"/>
  <c r="J307" i="1"/>
  <c r="U306" i="1"/>
  <c r="T306" i="1"/>
  <c r="S306" i="1"/>
  <c r="R306" i="1"/>
  <c r="Q306" i="1"/>
  <c r="L306" i="1"/>
  <c r="J306" i="1"/>
  <c r="S305" i="1"/>
  <c r="L305" i="1"/>
  <c r="J305" i="1"/>
  <c r="U304" i="1"/>
  <c r="T304" i="1"/>
  <c r="S304" i="1"/>
  <c r="R304" i="1"/>
  <c r="Q304" i="1"/>
  <c r="L304" i="1"/>
  <c r="J304" i="1"/>
  <c r="U303" i="1"/>
  <c r="T303" i="1"/>
  <c r="S303" i="1"/>
  <c r="R303" i="1"/>
  <c r="Q303" i="1"/>
  <c r="L303" i="1"/>
  <c r="J303" i="1"/>
  <c r="V302" i="1"/>
  <c r="U302" i="1"/>
  <c r="T302" i="1"/>
  <c r="S302" i="1"/>
  <c r="R302" i="1"/>
  <c r="Q302" i="1"/>
  <c r="L302" i="1"/>
  <c r="J302" i="1"/>
  <c r="T301" i="1"/>
  <c r="S301" i="1"/>
  <c r="R301" i="1"/>
  <c r="Q301" i="1"/>
  <c r="L301" i="1"/>
  <c r="J301" i="1"/>
  <c r="U300" i="1"/>
  <c r="T300" i="1"/>
  <c r="S300" i="1"/>
  <c r="R300" i="1"/>
  <c r="Q300" i="1"/>
  <c r="L300" i="1"/>
  <c r="J300" i="1"/>
  <c r="S299" i="1"/>
  <c r="R299" i="1"/>
  <c r="J299" i="1"/>
  <c r="U298" i="1"/>
  <c r="T298" i="1"/>
  <c r="S298" i="1"/>
  <c r="R298" i="1"/>
  <c r="Q298" i="1"/>
  <c r="L298" i="1"/>
  <c r="J298" i="1"/>
  <c r="J297" i="1"/>
  <c r="Q296" i="1"/>
  <c r="L296" i="1"/>
  <c r="J296" i="1"/>
  <c r="T295" i="1"/>
  <c r="S295" i="1"/>
  <c r="R295" i="1"/>
  <c r="Q295" i="1"/>
  <c r="L295" i="1"/>
  <c r="J295" i="1"/>
  <c r="J294" i="1"/>
  <c r="V293" i="1"/>
  <c r="U293" i="1"/>
  <c r="S293" i="1"/>
  <c r="L293" i="1"/>
  <c r="J293" i="1"/>
  <c r="J292" i="1"/>
  <c r="U291" i="1"/>
  <c r="T291" i="1"/>
  <c r="S291" i="1"/>
  <c r="R291" i="1"/>
  <c r="Q291" i="1"/>
  <c r="L291" i="1"/>
  <c r="J291" i="1"/>
  <c r="T290" i="1"/>
  <c r="Q290" i="1"/>
  <c r="L290" i="1"/>
  <c r="J290" i="1"/>
  <c r="U289" i="1"/>
  <c r="T289" i="1"/>
  <c r="S289" i="1"/>
  <c r="R289" i="1"/>
  <c r="Q289" i="1"/>
  <c r="L289" i="1"/>
  <c r="J289" i="1"/>
  <c r="U288" i="1"/>
  <c r="T288" i="1"/>
  <c r="S288" i="1"/>
  <c r="R288" i="1"/>
  <c r="Q288" i="1"/>
  <c r="L288" i="1"/>
  <c r="J288" i="1"/>
  <c r="U287" i="1"/>
  <c r="T287" i="1"/>
  <c r="S287" i="1"/>
  <c r="R287" i="1"/>
  <c r="Q287" i="1"/>
  <c r="L287" i="1"/>
  <c r="J287" i="1"/>
  <c r="V286" i="1"/>
  <c r="U286" i="1"/>
  <c r="T286" i="1"/>
  <c r="S286" i="1"/>
  <c r="R286" i="1"/>
  <c r="Q286" i="1"/>
  <c r="L286" i="1"/>
  <c r="J286" i="1"/>
  <c r="V285" i="1"/>
  <c r="U285" i="1"/>
  <c r="T285" i="1"/>
  <c r="S285" i="1"/>
  <c r="R285" i="1"/>
  <c r="Q285" i="1"/>
  <c r="L285" i="1"/>
  <c r="J285" i="1"/>
  <c r="J284" i="1"/>
  <c r="U283" i="1"/>
  <c r="T283" i="1"/>
  <c r="S283" i="1"/>
  <c r="R283" i="1"/>
  <c r="Q283" i="1"/>
  <c r="L283" i="1"/>
  <c r="J283" i="1"/>
  <c r="V282" i="1"/>
  <c r="U282" i="1"/>
  <c r="T282" i="1"/>
  <c r="S282" i="1"/>
  <c r="R282" i="1"/>
  <c r="Q282" i="1"/>
  <c r="L282" i="1"/>
  <c r="J282" i="1"/>
  <c r="U281" i="1"/>
  <c r="T281" i="1"/>
  <c r="S281" i="1"/>
  <c r="R281" i="1"/>
  <c r="Q281" i="1"/>
  <c r="L281" i="1"/>
  <c r="J281" i="1"/>
  <c r="V280" i="1"/>
  <c r="U280" i="1"/>
  <c r="T280" i="1"/>
  <c r="S280" i="1"/>
  <c r="R280" i="1"/>
  <c r="Q280" i="1"/>
  <c r="L280" i="1"/>
  <c r="J280" i="1"/>
  <c r="V279" i="1"/>
  <c r="U279" i="1"/>
  <c r="T279" i="1"/>
  <c r="S279" i="1"/>
  <c r="R279" i="1"/>
  <c r="Q279" i="1"/>
  <c r="L279" i="1"/>
  <c r="J279" i="1"/>
  <c r="U278" i="1"/>
  <c r="T278" i="1"/>
  <c r="S278" i="1"/>
  <c r="R278" i="1"/>
  <c r="Q278" i="1"/>
  <c r="L278" i="1"/>
  <c r="J278" i="1"/>
  <c r="T277" i="1"/>
  <c r="S277" i="1"/>
  <c r="R277" i="1"/>
  <c r="Q277" i="1"/>
  <c r="P277" i="1"/>
  <c r="L277" i="1"/>
  <c r="J277" i="1"/>
  <c r="V276" i="1"/>
  <c r="U276" i="1"/>
  <c r="T276" i="1"/>
  <c r="S276" i="1"/>
  <c r="R276" i="1"/>
  <c r="Q276" i="1"/>
  <c r="L276" i="1"/>
  <c r="J276" i="1"/>
  <c r="T275" i="1"/>
  <c r="S275" i="1"/>
  <c r="R275" i="1"/>
  <c r="Q275" i="1"/>
  <c r="P275" i="1"/>
  <c r="L275" i="1"/>
  <c r="J275" i="1"/>
  <c r="S274" i="1"/>
  <c r="R274" i="1"/>
  <c r="Q274" i="1"/>
  <c r="P274" i="1"/>
  <c r="L274" i="1"/>
  <c r="J274" i="1"/>
  <c r="T273" i="1"/>
  <c r="S273" i="1"/>
  <c r="R273" i="1"/>
  <c r="Q273" i="1"/>
  <c r="P273" i="1"/>
  <c r="L273" i="1"/>
  <c r="J273" i="1"/>
  <c r="U272" i="1"/>
  <c r="T272" i="1"/>
  <c r="S272" i="1"/>
  <c r="R272" i="1"/>
  <c r="Q272" i="1"/>
  <c r="L272" i="1"/>
  <c r="J272" i="1"/>
  <c r="T271" i="1"/>
  <c r="S271" i="1"/>
  <c r="R271" i="1"/>
  <c r="Q271" i="1"/>
  <c r="P271" i="1"/>
  <c r="L271" i="1"/>
  <c r="J271" i="1"/>
  <c r="T270" i="1"/>
  <c r="S270" i="1"/>
  <c r="R270" i="1"/>
  <c r="Q270" i="1"/>
  <c r="P270" i="1"/>
  <c r="L270" i="1"/>
  <c r="J270" i="1"/>
  <c r="T269" i="1"/>
  <c r="S269" i="1"/>
  <c r="R269" i="1"/>
  <c r="Q269" i="1"/>
  <c r="P269" i="1"/>
  <c r="L269" i="1"/>
  <c r="J269" i="1"/>
  <c r="T268" i="1"/>
  <c r="S268" i="1"/>
  <c r="R268" i="1"/>
  <c r="Q268" i="1"/>
  <c r="P268" i="1"/>
  <c r="L268" i="1"/>
  <c r="J268" i="1"/>
  <c r="T267" i="1"/>
  <c r="S267" i="1"/>
  <c r="R267" i="1"/>
  <c r="Q267" i="1"/>
  <c r="P267" i="1"/>
  <c r="L267" i="1"/>
  <c r="J267" i="1"/>
  <c r="T266" i="1"/>
  <c r="S266" i="1"/>
  <c r="R266" i="1"/>
  <c r="Q266" i="1"/>
  <c r="P266" i="1"/>
  <c r="L266" i="1"/>
  <c r="J266" i="1"/>
  <c r="T265" i="1"/>
  <c r="S265" i="1"/>
  <c r="R265" i="1"/>
  <c r="Q265" i="1"/>
  <c r="P265" i="1"/>
  <c r="L265" i="1"/>
  <c r="J265" i="1"/>
  <c r="T264" i="1"/>
  <c r="S264" i="1"/>
  <c r="R264" i="1"/>
  <c r="Q264" i="1"/>
  <c r="P264" i="1"/>
  <c r="L264" i="1"/>
  <c r="J264" i="1"/>
  <c r="T263" i="1"/>
  <c r="S263" i="1"/>
  <c r="R263" i="1"/>
  <c r="Q263" i="1"/>
  <c r="P263" i="1"/>
  <c r="L263" i="1"/>
  <c r="J263" i="1"/>
  <c r="T262" i="1"/>
  <c r="S262" i="1"/>
  <c r="R262" i="1"/>
  <c r="Q262" i="1"/>
  <c r="P262" i="1"/>
  <c r="L262" i="1"/>
  <c r="J262" i="1"/>
  <c r="T261" i="1"/>
  <c r="S261" i="1"/>
  <c r="R261" i="1"/>
  <c r="Q261" i="1"/>
  <c r="L261" i="1"/>
  <c r="J261" i="1"/>
  <c r="T260" i="1"/>
  <c r="S260" i="1"/>
  <c r="R260" i="1"/>
  <c r="Q260" i="1"/>
  <c r="P260" i="1"/>
  <c r="L260" i="1"/>
  <c r="J260" i="1"/>
  <c r="T259" i="1"/>
  <c r="S259" i="1"/>
  <c r="R259" i="1"/>
  <c r="Q259" i="1"/>
  <c r="P259" i="1"/>
  <c r="L259" i="1"/>
  <c r="J259" i="1"/>
  <c r="U258" i="1"/>
  <c r="T258" i="1"/>
  <c r="S258" i="1"/>
  <c r="R258" i="1"/>
  <c r="Q258" i="1"/>
  <c r="L258" i="1"/>
  <c r="J258" i="1"/>
  <c r="R257" i="1"/>
  <c r="L257" i="1"/>
  <c r="J257" i="1"/>
  <c r="T256" i="1"/>
  <c r="S256" i="1"/>
  <c r="R256" i="1"/>
  <c r="Q256" i="1"/>
  <c r="P256" i="1"/>
  <c r="L256" i="1"/>
  <c r="J256" i="1"/>
  <c r="T255" i="1"/>
  <c r="S255" i="1"/>
  <c r="R255" i="1"/>
  <c r="Q255" i="1"/>
  <c r="P255" i="1"/>
  <c r="L255" i="1"/>
  <c r="J255" i="1"/>
  <c r="V254" i="1"/>
  <c r="U254" i="1"/>
  <c r="T254" i="1"/>
  <c r="S254" i="1"/>
  <c r="R254" i="1"/>
  <c r="Q254" i="1"/>
  <c r="L254" i="1"/>
  <c r="J254" i="1"/>
  <c r="V253" i="1"/>
  <c r="U253" i="1"/>
  <c r="T253" i="1"/>
  <c r="S253" i="1"/>
  <c r="R253" i="1"/>
  <c r="Q253" i="1"/>
  <c r="L253" i="1"/>
  <c r="J253" i="1"/>
  <c r="U252" i="1"/>
  <c r="T252" i="1"/>
  <c r="S252" i="1"/>
  <c r="R252" i="1"/>
  <c r="Q252" i="1"/>
  <c r="L252" i="1"/>
  <c r="J252" i="1"/>
  <c r="U251" i="1"/>
  <c r="T251" i="1"/>
  <c r="S251" i="1"/>
  <c r="R251" i="1"/>
  <c r="Q251" i="1"/>
  <c r="L251" i="1"/>
  <c r="J251" i="1"/>
  <c r="V250" i="1"/>
  <c r="U250" i="1"/>
  <c r="T250" i="1"/>
  <c r="S250" i="1"/>
  <c r="R250" i="1"/>
  <c r="Q250" i="1"/>
  <c r="L250" i="1"/>
  <c r="J250" i="1"/>
  <c r="U249" i="1"/>
  <c r="T249" i="1"/>
  <c r="S249" i="1"/>
  <c r="R249" i="1"/>
  <c r="Q249" i="1"/>
  <c r="L249" i="1"/>
  <c r="J249" i="1"/>
  <c r="U248" i="1"/>
  <c r="T248" i="1"/>
  <c r="S248" i="1"/>
  <c r="R248" i="1"/>
  <c r="Q248" i="1"/>
  <c r="L248" i="1"/>
  <c r="J248" i="1"/>
  <c r="U247" i="1"/>
  <c r="T247" i="1"/>
  <c r="S247" i="1"/>
  <c r="R247" i="1"/>
  <c r="Q247" i="1"/>
  <c r="L247" i="1"/>
  <c r="J247" i="1"/>
  <c r="U246" i="1"/>
  <c r="T246" i="1"/>
  <c r="S246" i="1"/>
  <c r="R246" i="1"/>
  <c r="Q246" i="1"/>
  <c r="L246" i="1"/>
  <c r="J246" i="1"/>
  <c r="U245" i="1"/>
  <c r="T245" i="1"/>
  <c r="S245" i="1"/>
  <c r="R245" i="1"/>
  <c r="Q245" i="1"/>
  <c r="L245" i="1"/>
  <c r="J245" i="1"/>
  <c r="T244" i="1"/>
  <c r="S244" i="1"/>
  <c r="R244" i="1"/>
  <c r="Q244" i="1"/>
  <c r="P244" i="1"/>
  <c r="L244" i="1"/>
  <c r="J244" i="1"/>
  <c r="V243" i="1"/>
  <c r="U243" i="1"/>
  <c r="T243" i="1"/>
  <c r="S243" i="1"/>
  <c r="R243" i="1"/>
  <c r="Q243" i="1"/>
  <c r="L243" i="1"/>
  <c r="J243" i="1"/>
  <c r="V242" i="1"/>
  <c r="U242" i="1"/>
  <c r="T242" i="1"/>
  <c r="S242" i="1"/>
  <c r="R242" i="1"/>
  <c r="Q242" i="1"/>
  <c r="L242" i="1"/>
  <c r="J242" i="1"/>
  <c r="V241" i="1"/>
  <c r="U241" i="1"/>
  <c r="T241" i="1"/>
  <c r="S241" i="1"/>
  <c r="R241" i="1"/>
  <c r="Q241" i="1"/>
  <c r="L241" i="1"/>
  <c r="J241" i="1"/>
  <c r="T240" i="1"/>
  <c r="S240" i="1"/>
  <c r="R240" i="1"/>
  <c r="Q240" i="1"/>
  <c r="P240" i="1"/>
  <c r="L240" i="1"/>
  <c r="J240" i="1"/>
  <c r="J239" i="1"/>
  <c r="V238" i="1"/>
  <c r="U238" i="1"/>
  <c r="T238" i="1"/>
  <c r="S238" i="1"/>
  <c r="R238" i="1"/>
  <c r="Q238" i="1"/>
  <c r="L238" i="1"/>
  <c r="J238" i="1"/>
  <c r="V237" i="1"/>
  <c r="U237" i="1"/>
  <c r="T237" i="1"/>
  <c r="S237" i="1"/>
  <c r="R237" i="1"/>
  <c r="Q237" i="1"/>
  <c r="L237" i="1"/>
  <c r="J237" i="1"/>
  <c r="V236" i="1"/>
  <c r="U236" i="1"/>
  <c r="T236" i="1"/>
  <c r="S236" i="1"/>
  <c r="R236" i="1"/>
  <c r="Q236" i="1"/>
  <c r="L236" i="1"/>
  <c r="J236" i="1"/>
  <c r="V235" i="1"/>
  <c r="U235" i="1"/>
  <c r="T235" i="1"/>
  <c r="S235" i="1"/>
  <c r="R235" i="1"/>
  <c r="Q235" i="1"/>
  <c r="L235" i="1"/>
  <c r="J235" i="1"/>
  <c r="V234" i="1"/>
  <c r="U234" i="1"/>
  <c r="T234" i="1"/>
  <c r="S234" i="1"/>
  <c r="R234" i="1"/>
  <c r="Q234" i="1"/>
  <c r="L234" i="1"/>
  <c r="J234" i="1"/>
  <c r="V233" i="1"/>
  <c r="U233" i="1"/>
  <c r="T233" i="1"/>
  <c r="S233" i="1"/>
  <c r="R233" i="1"/>
  <c r="Q233" i="1"/>
  <c r="L233" i="1"/>
  <c r="J233" i="1"/>
  <c r="V232" i="1"/>
  <c r="U232" i="1"/>
  <c r="T232" i="1"/>
  <c r="S232" i="1"/>
  <c r="R232" i="1"/>
  <c r="Q232" i="1"/>
  <c r="L232" i="1"/>
  <c r="J232" i="1"/>
  <c r="T231" i="1"/>
  <c r="S231" i="1"/>
  <c r="R231" i="1"/>
  <c r="Q231" i="1"/>
  <c r="P231" i="1"/>
  <c r="L231" i="1"/>
  <c r="J231" i="1"/>
  <c r="T230" i="1"/>
  <c r="S230" i="1"/>
  <c r="R230" i="1"/>
  <c r="Q230" i="1"/>
  <c r="P230" i="1"/>
  <c r="L230" i="1"/>
  <c r="J230" i="1"/>
  <c r="U229" i="1"/>
  <c r="T229" i="1"/>
  <c r="S229" i="1"/>
  <c r="R229" i="1"/>
  <c r="Q229" i="1"/>
  <c r="L229" i="1"/>
  <c r="J229" i="1"/>
  <c r="U228" i="1"/>
  <c r="T228" i="1"/>
  <c r="S228" i="1"/>
  <c r="R228" i="1"/>
  <c r="Q228" i="1"/>
  <c r="P228" i="1"/>
  <c r="L228" i="1"/>
  <c r="J228" i="1"/>
  <c r="T227" i="1"/>
  <c r="S227" i="1"/>
  <c r="R227" i="1"/>
  <c r="Q227" i="1"/>
  <c r="P227" i="1"/>
  <c r="L227" i="1"/>
  <c r="J227" i="1"/>
  <c r="V226" i="1"/>
  <c r="U226" i="1"/>
  <c r="T226" i="1"/>
  <c r="S226" i="1"/>
  <c r="R226" i="1"/>
  <c r="Q226" i="1"/>
  <c r="L226" i="1"/>
  <c r="J226" i="1"/>
  <c r="T225" i="1"/>
  <c r="S225" i="1"/>
  <c r="R225" i="1"/>
  <c r="Q225" i="1"/>
  <c r="P225" i="1"/>
  <c r="L225" i="1"/>
  <c r="J225" i="1"/>
  <c r="T224" i="1"/>
  <c r="S224" i="1"/>
  <c r="R224" i="1"/>
  <c r="Q224" i="1"/>
  <c r="P224" i="1"/>
  <c r="L224" i="1"/>
  <c r="J224" i="1"/>
  <c r="V223" i="1"/>
  <c r="U223" i="1"/>
  <c r="T223" i="1"/>
  <c r="S223" i="1"/>
  <c r="R223" i="1"/>
  <c r="Q223" i="1"/>
  <c r="L223" i="1"/>
  <c r="J223" i="1"/>
  <c r="V222" i="1"/>
  <c r="U222" i="1"/>
  <c r="T222" i="1"/>
  <c r="S222" i="1"/>
  <c r="R222" i="1"/>
  <c r="Q222" i="1"/>
  <c r="L222" i="1"/>
  <c r="J222" i="1"/>
  <c r="T221" i="1"/>
  <c r="S221" i="1"/>
  <c r="R221" i="1"/>
  <c r="Q221" i="1"/>
  <c r="P221" i="1"/>
  <c r="L221" i="1"/>
  <c r="J221" i="1"/>
  <c r="T220" i="1"/>
  <c r="S220" i="1"/>
  <c r="R220" i="1"/>
  <c r="Q220" i="1"/>
  <c r="P220" i="1"/>
  <c r="L220" i="1"/>
  <c r="J220" i="1"/>
  <c r="T219" i="1"/>
  <c r="S219" i="1"/>
  <c r="R219" i="1"/>
  <c r="Q219" i="1"/>
  <c r="P219" i="1"/>
  <c r="L219" i="1"/>
  <c r="J219" i="1"/>
  <c r="T218" i="1"/>
  <c r="S218" i="1"/>
  <c r="R218" i="1"/>
  <c r="Q218" i="1"/>
  <c r="P218" i="1"/>
  <c r="L218" i="1"/>
  <c r="J218" i="1"/>
  <c r="U217" i="1"/>
  <c r="T217" i="1"/>
  <c r="S217" i="1"/>
  <c r="R217" i="1"/>
  <c r="Q217" i="1"/>
  <c r="L217" i="1"/>
  <c r="J217" i="1"/>
  <c r="T216" i="1"/>
  <c r="S216" i="1"/>
  <c r="R216" i="1"/>
  <c r="Q216" i="1"/>
  <c r="L216" i="1"/>
  <c r="J216" i="1"/>
  <c r="T215" i="1"/>
  <c r="S215" i="1"/>
  <c r="R215" i="1"/>
  <c r="Q215" i="1"/>
  <c r="P215" i="1"/>
  <c r="L215" i="1"/>
  <c r="J215" i="1"/>
  <c r="T214" i="1"/>
  <c r="S214" i="1"/>
  <c r="R214" i="1"/>
  <c r="Q214" i="1"/>
  <c r="P214" i="1"/>
  <c r="L214" i="1"/>
  <c r="J214" i="1"/>
  <c r="U213" i="1"/>
  <c r="T213" i="1"/>
  <c r="S213" i="1"/>
  <c r="R213" i="1"/>
  <c r="Q213" i="1"/>
  <c r="L213" i="1"/>
  <c r="J213" i="1"/>
  <c r="U212" i="1"/>
  <c r="T212" i="1"/>
  <c r="S212" i="1"/>
  <c r="R212" i="1"/>
  <c r="Q212" i="1"/>
  <c r="L212" i="1"/>
  <c r="J212" i="1"/>
  <c r="T211" i="1"/>
  <c r="S211" i="1"/>
  <c r="R211" i="1"/>
  <c r="Q211" i="1"/>
  <c r="P211" i="1"/>
  <c r="L211" i="1"/>
  <c r="J211" i="1"/>
  <c r="T210" i="1"/>
  <c r="S210" i="1"/>
  <c r="R210" i="1"/>
  <c r="Q210" i="1"/>
  <c r="P210" i="1"/>
  <c r="L210" i="1"/>
  <c r="J210" i="1"/>
  <c r="T209" i="1"/>
  <c r="S209" i="1"/>
  <c r="R209" i="1"/>
  <c r="Q209" i="1"/>
  <c r="P209" i="1"/>
  <c r="L209" i="1"/>
  <c r="J209" i="1"/>
  <c r="V208" i="1"/>
  <c r="U208" i="1"/>
  <c r="T208" i="1"/>
  <c r="S208" i="1"/>
  <c r="R208" i="1"/>
  <c r="Q208" i="1"/>
  <c r="L208" i="1"/>
  <c r="J208" i="1"/>
  <c r="U207" i="1"/>
  <c r="T207" i="1"/>
  <c r="S207" i="1"/>
  <c r="R207" i="1"/>
  <c r="Q207" i="1"/>
  <c r="L207" i="1"/>
  <c r="J207" i="1"/>
  <c r="V206" i="1"/>
  <c r="U206" i="1"/>
  <c r="T206" i="1"/>
  <c r="S206" i="1"/>
  <c r="R206" i="1"/>
  <c r="Q206" i="1"/>
  <c r="L206" i="1"/>
  <c r="J206" i="1"/>
  <c r="T205" i="1"/>
  <c r="S205" i="1"/>
  <c r="R205" i="1"/>
  <c r="Q205" i="1"/>
  <c r="P205" i="1"/>
  <c r="L205" i="1"/>
  <c r="J205" i="1"/>
  <c r="V204" i="1"/>
  <c r="U204" i="1"/>
  <c r="T204" i="1"/>
  <c r="S204" i="1"/>
  <c r="R204" i="1"/>
  <c r="Q204" i="1"/>
  <c r="L204" i="1"/>
  <c r="J204" i="1"/>
  <c r="U203" i="1"/>
  <c r="T203" i="1"/>
  <c r="S203" i="1"/>
  <c r="R203" i="1"/>
  <c r="Q203" i="1"/>
  <c r="L203" i="1"/>
  <c r="J203" i="1"/>
  <c r="V202" i="1"/>
  <c r="U202" i="1"/>
  <c r="T202" i="1"/>
  <c r="S202" i="1"/>
  <c r="R202" i="1"/>
  <c r="Q202" i="1"/>
  <c r="L202" i="1"/>
  <c r="J202" i="1"/>
  <c r="V201" i="1"/>
  <c r="U201" i="1"/>
  <c r="T201" i="1"/>
  <c r="S201" i="1"/>
  <c r="R201" i="1"/>
  <c r="Q201" i="1"/>
  <c r="L201" i="1"/>
  <c r="J201" i="1"/>
  <c r="V200" i="1"/>
  <c r="U200" i="1"/>
  <c r="T200" i="1"/>
  <c r="S200" i="1"/>
  <c r="R200" i="1"/>
  <c r="Q200" i="1"/>
  <c r="L200" i="1"/>
  <c r="J200" i="1"/>
  <c r="V199" i="1"/>
  <c r="U199" i="1"/>
  <c r="T199" i="1"/>
  <c r="R199" i="1"/>
  <c r="Q199" i="1"/>
  <c r="L199" i="1"/>
  <c r="J199" i="1"/>
  <c r="V198" i="1"/>
  <c r="U198" i="1"/>
  <c r="T198" i="1"/>
  <c r="S198" i="1"/>
  <c r="R198" i="1"/>
  <c r="Q198" i="1"/>
  <c r="L198" i="1"/>
  <c r="J198" i="1"/>
  <c r="V197" i="1"/>
  <c r="U197" i="1"/>
  <c r="T197" i="1"/>
  <c r="S197" i="1"/>
  <c r="R197" i="1"/>
  <c r="Q197" i="1"/>
  <c r="L197" i="1"/>
  <c r="J197" i="1"/>
  <c r="V196" i="1"/>
  <c r="U196" i="1"/>
  <c r="T196" i="1"/>
  <c r="S196" i="1"/>
  <c r="R196" i="1"/>
  <c r="Q196" i="1"/>
  <c r="L196" i="1"/>
  <c r="J196" i="1"/>
  <c r="V195" i="1"/>
  <c r="U195" i="1"/>
  <c r="T195" i="1"/>
  <c r="S195" i="1"/>
  <c r="R195" i="1"/>
  <c r="Q195" i="1"/>
  <c r="L195" i="1"/>
  <c r="J195" i="1"/>
  <c r="U194" i="1"/>
  <c r="T194" i="1"/>
  <c r="S194" i="1"/>
  <c r="R194" i="1"/>
  <c r="Q194" i="1"/>
  <c r="L194" i="1"/>
  <c r="J194" i="1"/>
  <c r="V193" i="1"/>
  <c r="U193" i="1"/>
  <c r="T193" i="1"/>
  <c r="S193" i="1"/>
  <c r="R193" i="1"/>
  <c r="Q193" i="1"/>
  <c r="L193" i="1"/>
  <c r="J193" i="1"/>
  <c r="V192" i="1"/>
  <c r="U192" i="1"/>
  <c r="T192" i="1"/>
  <c r="S192" i="1"/>
  <c r="R192" i="1"/>
  <c r="Q192" i="1"/>
  <c r="L192" i="1"/>
  <c r="J192" i="1"/>
  <c r="T191" i="1"/>
  <c r="S191" i="1"/>
  <c r="R191" i="1"/>
  <c r="Q191" i="1"/>
  <c r="P191" i="1"/>
  <c r="L191" i="1"/>
  <c r="J191" i="1"/>
  <c r="V190" i="1"/>
  <c r="U190" i="1"/>
  <c r="T190" i="1"/>
  <c r="S190" i="1"/>
  <c r="R190" i="1"/>
  <c r="Q190" i="1"/>
  <c r="L190" i="1"/>
  <c r="J190" i="1"/>
  <c r="T189" i="1"/>
  <c r="S189" i="1"/>
  <c r="R189" i="1"/>
  <c r="Q189" i="1"/>
  <c r="P189" i="1"/>
  <c r="L189" i="1"/>
  <c r="J189" i="1"/>
  <c r="U188" i="1"/>
  <c r="T188" i="1"/>
  <c r="S188" i="1"/>
  <c r="R188" i="1"/>
  <c r="Q188" i="1"/>
  <c r="L188" i="1"/>
  <c r="J188" i="1"/>
  <c r="V187" i="1"/>
  <c r="U187" i="1"/>
  <c r="T187" i="1"/>
  <c r="S187" i="1"/>
  <c r="R187" i="1"/>
  <c r="Q187" i="1"/>
  <c r="L187" i="1"/>
  <c r="J187" i="1"/>
  <c r="V186" i="1"/>
  <c r="U186" i="1"/>
  <c r="T186" i="1"/>
  <c r="S186" i="1"/>
  <c r="R186" i="1"/>
  <c r="Q186" i="1"/>
  <c r="L186" i="1"/>
  <c r="J186" i="1"/>
  <c r="V185" i="1"/>
  <c r="U185" i="1"/>
  <c r="T185" i="1"/>
  <c r="S185" i="1"/>
  <c r="R185" i="1"/>
  <c r="Q185" i="1"/>
  <c r="L185" i="1"/>
  <c r="J185" i="1"/>
  <c r="V184" i="1"/>
  <c r="U184" i="1"/>
  <c r="T184" i="1"/>
  <c r="S184" i="1"/>
  <c r="R184" i="1"/>
  <c r="Q184" i="1"/>
  <c r="L184" i="1"/>
  <c r="J184" i="1"/>
  <c r="V183" i="1"/>
  <c r="U183" i="1"/>
  <c r="T183" i="1"/>
  <c r="S183" i="1"/>
  <c r="R183" i="1"/>
  <c r="Q183" i="1"/>
  <c r="L183" i="1"/>
  <c r="J183" i="1"/>
  <c r="T182" i="1"/>
  <c r="S182" i="1"/>
  <c r="R182" i="1"/>
  <c r="Q182" i="1"/>
  <c r="P182" i="1"/>
  <c r="L182" i="1"/>
  <c r="J182" i="1"/>
  <c r="V181" i="1"/>
  <c r="U181" i="1"/>
  <c r="T181" i="1"/>
  <c r="S181" i="1"/>
  <c r="R181" i="1"/>
  <c r="Q181" i="1"/>
  <c r="L181" i="1"/>
  <c r="J181" i="1"/>
  <c r="T180" i="1"/>
  <c r="S180" i="1"/>
  <c r="R180" i="1"/>
  <c r="Q180" i="1"/>
  <c r="P180" i="1"/>
  <c r="L180" i="1"/>
  <c r="J180" i="1"/>
  <c r="T179" i="1"/>
  <c r="S179" i="1"/>
  <c r="R179" i="1"/>
  <c r="Q179" i="1"/>
  <c r="P179" i="1"/>
  <c r="L179" i="1"/>
  <c r="J179" i="1"/>
  <c r="U178" i="1"/>
  <c r="T178" i="1"/>
  <c r="S178" i="1"/>
  <c r="R178" i="1"/>
  <c r="Q178" i="1"/>
  <c r="L178" i="1"/>
  <c r="J178" i="1"/>
  <c r="U177" i="1"/>
  <c r="T177" i="1"/>
  <c r="S177" i="1"/>
  <c r="R177" i="1"/>
  <c r="Q177" i="1"/>
  <c r="L177" i="1"/>
  <c r="J177" i="1"/>
  <c r="T176" i="1"/>
  <c r="S176" i="1"/>
  <c r="R176" i="1"/>
  <c r="Q176" i="1"/>
  <c r="P176" i="1"/>
  <c r="L176" i="1"/>
  <c r="J176" i="1"/>
  <c r="T175" i="1"/>
  <c r="S175" i="1"/>
  <c r="R175" i="1"/>
  <c r="Q175" i="1"/>
  <c r="P175" i="1"/>
  <c r="L175" i="1"/>
  <c r="J175" i="1"/>
  <c r="V174" i="1"/>
  <c r="U174" i="1"/>
  <c r="T174" i="1"/>
  <c r="S174" i="1"/>
  <c r="R174" i="1"/>
  <c r="Q174" i="1"/>
  <c r="L174" i="1"/>
  <c r="J174" i="1"/>
  <c r="T173" i="1"/>
  <c r="S173" i="1"/>
  <c r="Q173" i="1"/>
  <c r="P173" i="1"/>
  <c r="L173" i="1"/>
  <c r="J173" i="1"/>
  <c r="T172" i="1"/>
  <c r="S172" i="1"/>
  <c r="R172" i="1"/>
  <c r="Q172" i="1"/>
  <c r="P172" i="1"/>
  <c r="L172" i="1"/>
  <c r="J172" i="1"/>
  <c r="T171" i="1"/>
  <c r="S171" i="1"/>
  <c r="R171" i="1"/>
  <c r="Q171" i="1"/>
  <c r="P171" i="1"/>
  <c r="L171" i="1"/>
  <c r="J171" i="1"/>
  <c r="T170" i="1"/>
  <c r="S170" i="1"/>
  <c r="R170" i="1"/>
  <c r="Q170" i="1"/>
  <c r="P170" i="1"/>
  <c r="L170" i="1"/>
  <c r="J170" i="1"/>
  <c r="T169" i="1"/>
  <c r="S169" i="1"/>
  <c r="R169" i="1"/>
  <c r="Q169" i="1"/>
  <c r="P169" i="1"/>
  <c r="L169" i="1"/>
  <c r="J169" i="1"/>
  <c r="T168" i="1"/>
  <c r="S168" i="1"/>
  <c r="R168" i="1"/>
  <c r="Q168" i="1"/>
  <c r="P168" i="1"/>
  <c r="L168" i="1"/>
  <c r="J168" i="1"/>
  <c r="T167" i="1"/>
  <c r="S167" i="1"/>
  <c r="R167" i="1"/>
  <c r="Q167" i="1"/>
  <c r="P167" i="1"/>
  <c r="L167" i="1"/>
  <c r="J167" i="1"/>
  <c r="T166" i="1"/>
  <c r="S166" i="1"/>
  <c r="R166" i="1"/>
  <c r="Q166" i="1"/>
  <c r="P166" i="1"/>
  <c r="L166" i="1"/>
  <c r="J166" i="1"/>
  <c r="T165" i="1"/>
  <c r="S165" i="1"/>
  <c r="R165" i="1"/>
  <c r="Q165" i="1"/>
  <c r="P165" i="1"/>
  <c r="L165" i="1"/>
  <c r="J165" i="1"/>
  <c r="V164" i="1"/>
  <c r="U164" i="1"/>
  <c r="T164" i="1"/>
  <c r="S164" i="1"/>
  <c r="R164" i="1"/>
  <c r="Q164" i="1"/>
  <c r="L164" i="1"/>
  <c r="J164" i="1"/>
  <c r="V163" i="1"/>
  <c r="U163" i="1"/>
  <c r="T163" i="1"/>
  <c r="S163" i="1"/>
  <c r="R163" i="1"/>
  <c r="Q163" i="1"/>
  <c r="L163" i="1"/>
  <c r="J163" i="1"/>
  <c r="V162" i="1"/>
  <c r="U162" i="1"/>
  <c r="T162" i="1"/>
  <c r="S162" i="1"/>
  <c r="R162" i="1"/>
  <c r="Q162" i="1"/>
  <c r="L162" i="1"/>
  <c r="J162" i="1"/>
  <c r="V161" i="1"/>
  <c r="U161" i="1"/>
  <c r="T161" i="1"/>
  <c r="S161" i="1"/>
  <c r="R161" i="1"/>
  <c r="Q161" i="1"/>
  <c r="L161" i="1"/>
  <c r="J161" i="1"/>
  <c r="U160" i="1"/>
  <c r="T160" i="1"/>
  <c r="S160" i="1"/>
  <c r="R160" i="1"/>
  <c r="Q160" i="1"/>
  <c r="P160" i="1"/>
  <c r="L160" i="1"/>
  <c r="J160" i="1"/>
  <c r="V159" i="1"/>
  <c r="U159" i="1"/>
  <c r="T159" i="1"/>
  <c r="S159" i="1"/>
  <c r="R159" i="1"/>
  <c r="Q159" i="1"/>
  <c r="L159" i="1"/>
  <c r="J159" i="1"/>
  <c r="T158" i="1"/>
  <c r="S158" i="1"/>
  <c r="R158" i="1"/>
  <c r="Q158" i="1"/>
  <c r="P158" i="1"/>
  <c r="L158" i="1"/>
  <c r="J158" i="1"/>
  <c r="T157" i="1"/>
  <c r="S157" i="1"/>
  <c r="R157" i="1"/>
  <c r="Q157" i="1"/>
  <c r="P157" i="1"/>
  <c r="L157" i="1"/>
  <c r="J157" i="1"/>
  <c r="V156" i="1"/>
  <c r="U156" i="1"/>
  <c r="T156" i="1"/>
  <c r="S156" i="1"/>
  <c r="R156" i="1"/>
  <c r="Q156" i="1"/>
  <c r="L156" i="1"/>
  <c r="J156" i="1"/>
  <c r="U155" i="1"/>
  <c r="T155" i="1"/>
  <c r="S155" i="1"/>
  <c r="R155" i="1"/>
  <c r="Q155" i="1"/>
  <c r="L155" i="1"/>
  <c r="J155" i="1"/>
  <c r="U154" i="1"/>
  <c r="T154" i="1"/>
  <c r="S154" i="1"/>
  <c r="R154" i="1"/>
  <c r="Q154" i="1"/>
  <c r="L154" i="1"/>
  <c r="J154" i="1"/>
  <c r="S153" i="1"/>
  <c r="R153" i="1"/>
  <c r="Q153" i="1"/>
  <c r="P153" i="1"/>
  <c r="L153" i="1"/>
  <c r="J153" i="1"/>
  <c r="U152" i="1"/>
  <c r="T152" i="1"/>
  <c r="S152" i="1"/>
  <c r="R152" i="1"/>
  <c r="Q152" i="1"/>
  <c r="L152" i="1"/>
  <c r="J152" i="1"/>
  <c r="T151" i="1"/>
  <c r="S151" i="1"/>
  <c r="R151" i="1"/>
  <c r="Q151" i="1"/>
  <c r="P151" i="1"/>
  <c r="L151" i="1"/>
  <c r="J151" i="1"/>
  <c r="V150" i="1"/>
  <c r="U150" i="1"/>
  <c r="T150" i="1"/>
  <c r="S150" i="1"/>
  <c r="R150" i="1"/>
  <c r="Q150" i="1"/>
  <c r="L150" i="1"/>
  <c r="J150" i="1"/>
  <c r="V149" i="1"/>
  <c r="U149" i="1"/>
  <c r="T149" i="1"/>
  <c r="S149" i="1"/>
  <c r="R149" i="1"/>
  <c r="Q149" i="1"/>
  <c r="L149" i="1"/>
  <c r="J149" i="1"/>
  <c r="V148" i="1"/>
  <c r="U148" i="1"/>
  <c r="T148" i="1"/>
  <c r="S148" i="1"/>
  <c r="R148" i="1"/>
  <c r="Q148" i="1"/>
  <c r="P148" i="1"/>
  <c r="L148" i="1"/>
  <c r="J148" i="1"/>
  <c r="T147" i="1"/>
  <c r="S147" i="1"/>
  <c r="R147" i="1"/>
  <c r="Q147" i="1"/>
  <c r="P147" i="1"/>
  <c r="L147" i="1"/>
  <c r="J147" i="1"/>
  <c r="V146" i="1"/>
  <c r="U146" i="1"/>
  <c r="T146" i="1"/>
  <c r="S146" i="1"/>
  <c r="R146" i="1"/>
  <c r="Q146" i="1"/>
  <c r="L146" i="1"/>
  <c r="J146" i="1"/>
  <c r="T145" i="1"/>
  <c r="S145" i="1"/>
  <c r="R145" i="1"/>
  <c r="Q145" i="1"/>
  <c r="P145" i="1"/>
  <c r="L145" i="1"/>
  <c r="J145" i="1"/>
  <c r="U144" i="1"/>
  <c r="T144" i="1"/>
  <c r="S144" i="1"/>
  <c r="R144" i="1"/>
  <c r="Q144" i="1"/>
  <c r="L144" i="1"/>
  <c r="J144" i="1"/>
  <c r="V143" i="1"/>
  <c r="U143" i="1"/>
  <c r="T143" i="1"/>
  <c r="S143" i="1"/>
  <c r="R143" i="1"/>
  <c r="Q143" i="1"/>
  <c r="L143" i="1"/>
  <c r="J143" i="1"/>
  <c r="U142" i="1"/>
  <c r="T142" i="1"/>
  <c r="S142" i="1"/>
  <c r="R142" i="1"/>
  <c r="Q142" i="1"/>
  <c r="L142" i="1"/>
  <c r="J142" i="1"/>
  <c r="T141" i="1"/>
  <c r="S141" i="1"/>
  <c r="R141" i="1"/>
  <c r="Q141" i="1"/>
  <c r="P141" i="1"/>
  <c r="L141" i="1"/>
  <c r="J141" i="1"/>
  <c r="V140" i="1"/>
  <c r="U140" i="1"/>
  <c r="T140" i="1"/>
  <c r="S140" i="1"/>
  <c r="R140" i="1"/>
  <c r="Q140" i="1"/>
  <c r="L140" i="1"/>
  <c r="J140" i="1"/>
  <c r="V139" i="1"/>
  <c r="U139" i="1"/>
  <c r="T139" i="1"/>
  <c r="S139" i="1"/>
  <c r="R139" i="1"/>
  <c r="Q139" i="1"/>
  <c r="L139" i="1"/>
  <c r="J139" i="1"/>
  <c r="V138" i="1"/>
  <c r="U138" i="1"/>
  <c r="T138" i="1"/>
  <c r="S138" i="1"/>
  <c r="R138" i="1"/>
  <c r="Q138" i="1"/>
  <c r="L138" i="1"/>
  <c r="J138" i="1"/>
  <c r="T137" i="1"/>
  <c r="S137" i="1"/>
  <c r="R137" i="1"/>
  <c r="Q137" i="1"/>
  <c r="P137" i="1"/>
  <c r="L137" i="1"/>
  <c r="J137" i="1"/>
  <c r="V136" i="1"/>
  <c r="U136" i="1"/>
  <c r="T136" i="1"/>
  <c r="S136" i="1"/>
  <c r="R136" i="1"/>
  <c r="Q136" i="1"/>
  <c r="L136" i="1"/>
  <c r="J136" i="1"/>
  <c r="T135" i="1"/>
  <c r="S135" i="1"/>
  <c r="R135" i="1"/>
  <c r="Q135" i="1"/>
  <c r="P135" i="1"/>
  <c r="L135" i="1"/>
  <c r="J135" i="1"/>
  <c r="V134" i="1"/>
  <c r="U134" i="1"/>
  <c r="T134" i="1"/>
  <c r="S134" i="1"/>
  <c r="R134" i="1"/>
  <c r="Q134" i="1"/>
  <c r="L134" i="1"/>
  <c r="J134" i="1"/>
  <c r="T133" i="1"/>
  <c r="S133" i="1"/>
  <c r="R133" i="1"/>
  <c r="Q133" i="1"/>
  <c r="P133" i="1"/>
  <c r="L133" i="1"/>
  <c r="J133" i="1"/>
  <c r="T132" i="1"/>
  <c r="S132" i="1"/>
  <c r="R132" i="1"/>
  <c r="Q132" i="1"/>
  <c r="P132" i="1"/>
  <c r="L132" i="1"/>
  <c r="J132" i="1"/>
  <c r="V131" i="1"/>
  <c r="U131" i="1"/>
  <c r="T131" i="1"/>
  <c r="S131" i="1"/>
  <c r="R131" i="1"/>
  <c r="Q131" i="1"/>
  <c r="L131" i="1"/>
  <c r="J131" i="1"/>
  <c r="V130" i="1"/>
  <c r="U130" i="1"/>
  <c r="T130" i="1"/>
  <c r="S130" i="1"/>
  <c r="R130" i="1"/>
  <c r="Q130" i="1"/>
  <c r="L130" i="1"/>
  <c r="J130" i="1"/>
  <c r="T129" i="1"/>
  <c r="S129" i="1"/>
  <c r="R129" i="1"/>
  <c r="Q129" i="1"/>
  <c r="P129" i="1"/>
  <c r="L129" i="1"/>
  <c r="J129" i="1"/>
  <c r="V128" i="1"/>
  <c r="U128" i="1"/>
  <c r="T128" i="1"/>
  <c r="S128" i="1"/>
  <c r="R128" i="1"/>
  <c r="Q128" i="1"/>
  <c r="L128" i="1"/>
  <c r="J128" i="1"/>
  <c r="U127" i="1"/>
  <c r="T127" i="1"/>
  <c r="S127" i="1"/>
  <c r="R127" i="1"/>
  <c r="Q127" i="1"/>
  <c r="L127" i="1"/>
  <c r="J127" i="1"/>
  <c r="U126" i="1"/>
  <c r="T126" i="1"/>
  <c r="S126" i="1"/>
  <c r="R126" i="1"/>
  <c r="Q126" i="1"/>
  <c r="P126" i="1"/>
  <c r="L126" i="1"/>
  <c r="J126" i="1"/>
  <c r="V125" i="1"/>
  <c r="U125" i="1"/>
  <c r="T125" i="1"/>
  <c r="S125" i="1"/>
  <c r="R125" i="1"/>
  <c r="Q125" i="1"/>
  <c r="L125" i="1"/>
  <c r="J125" i="1"/>
  <c r="T124" i="1"/>
  <c r="S124" i="1"/>
  <c r="R124" i="1"/>
  <c r="Q124" i="1"/>
  <c r="P124" i="1"/>
  <c r="L124" i="1"/>
  <c r="J124" i="1"/>
  <c r="V123" i="1"/>
  <c r="U123" i="1"/>
  <c r="T123" i="1"/>
  <c r="S123" i="1"/>
  <c r="R123" i="1"/>
  <c r="Q123" i="1"/>
  <c r="L123" i="1"/>
  <c r="J123" i="1"/>
  <c r="V122" i="1"/>
  <c r="U122" i="1"/>
  <c r="T122" i="1"/>
  <c r="S122" i="1"/>
  <c r="R122" i="1"/>
  <c r="Q122" i="1"/>
  <c r="L122" i="1"/>
  <c r="J122" i="1"/>
  <c r="V121" i="1"/>
  <c r="U121" i="1"/>
  <c r="T121" i="1"/>
  <c r="S121" i="1"/>
  <c r="R121" i="1"/>
  <c r="Q121" i="1"/>
  <c r="L121" i="1"/>
  <c r="J121" i="1"/>
  <c r="T120" i="1"/>
  <c r="S120" i="1"/>
  <c r="R120" i="1"/>
  <c r="Q120" i="1"/>
  <c r="P120" i="1"/>
  <c r="L120" i="1"/>
  <c r="J120" i="1"/>
  <c r="V119" i="1"/>
  <c r="U119" i="1"/>
  <c r="T119" i="1"/>
  <c r="S119" i="1"/>
  <c r="R119" i="1"/>
  <c r="Q119" i="1"/>
  <c r="L119" i="1"/>
  <c r="J119" i="1"/>
  <c r="U118" i="1"/>
  <c r="T118" i="1"/>
  <c r="S118" i="1"/>
  <c r="R118" i="1"/>
  <c r="Q118" i="1"/>
  <c r="L118" i="1"/>
  <c r="J118" i="1"/>
  <c r="T117" i="1"/>
  <c r="S117" i="1"/>
  <c r="R117" i="1"/>
  <c r="Q117" i="1"/>
  <c r="P117" i="1"/>
  <c r="L117" i="1"/>
  <c r="J117" i="1"/>
  <c r="V116" i="1"/>
  <c r="U116" i="1"/>
  <c r="T116" i="1"/>
  <c r="S116" i="1"/>
  <c r="R116" i="1"/>
  <c r="Q116" i="1"/>
  <c r="L116" i="1"/>
  <c r="J116" i="1"/>
  <c r="U115" i="1"/>
  <c r="T115" i="1"/>
  <c r="S115" i="1"/>
  <c r="R115" i="1"/>
  <c r="Q115" i="1"/>
  <c r="L115" i="1"/>
  <c r="J115" i="1"/>
  <c r="V114" i="1"/>
  <c r="U114" i="1"/>
  <c r="T114" i="1"/>
  <c r="S114" i="1"/>
  <c r="R114" i="1"/>
  <c r="Q114" i="1"/>
  <c r="L114" i="1"/>
  <c r="J114" i="1"/>
  <c r="U113" i="1"/>
  <c r="T113" i="1"/>
  <c r="S113" i="1"/>
  <c r="R113" i="1"/>
  <c r="Q113" i="1"/>
  <c r="L113" i="1"/>
  <c r="J113" i="1"/>
  <c r="T112" i="1"/>
  <c r="S112" i="1"/>
  <c r="R112" i="1"/>
  <c r="Q112" i="1"/>
  <c r="P112" i="1"/>
  <c r="L112" i="1"/>
  <c r="J112" i="1"/>
  <c r="U111" i="1"/>
  <c r="T111" i="1"/>
  <c r="S111" i="1"/>
  <c r="R111" i="1"/>
  <c r="Q111" i="1"/>
  <c r="L111" i="1"/>
  <c r="J111" i="1"/>
  <c r="T110" i="1"/>
  <c r="S110" i="1"/>
  <c r="R110" i="1"/>
  <c r="Q110" i="1"/>
  <c r="P110" i="1"/>
  <c r="L110" i="1"/>
  <c r="J110" i="1"/>
  <c r="T109" i="1"/>
  <c r="S109" i="1"/>
  <c r="R109" i="1"/>
  <c r="Q109" i="1"/>
  <c r="P109" i="1"/>
  <c r="L109" i="1"/>
  <c r="J109" i="1"/>
  <c r="V108" i="1"/>
  <c r="U108" i="1"/>
  <c r="T108" i="1"/>
  <c r="S108" i="1"/>
  <c r="R108" i="1"/>
  <c r="Q108" i="1"/>
  <c r="L108" i="1"/>
  <c r="J108" i="1"/>
  <c r="T107" i="1"/>
  <c r="S107" i="1"/>
  <c r="R107" i="1"/>
  <c r="Q107" i="1"/>
  <c r="P107" i="1"/>
  <c r="L107" i="1"/>
  <c r="J107" i="1"/>
  <c r="T106" i="1"/>
  <c r="S106" i="1"/>
  <c r="R106" i="1"/>
  <c r="Q106" i="1"/>
  <c r="P106" i="1"/>
  <c r="L106" i="1"/>
  <c r="J106" i="1"/>
  <c r="V105" i="1"/>
  <c r="U105" i="1"/>
  <c r="T105" i="1"/>
  <c r="S105" i="1"/>
  <c r="R105" i="1"/>
  <c r="Q105" i="1"/>
  <c r="L105" i="1"/>
  <c r="J105" i="1"/>
  <c r="T104" i="1"/>
  <c r="S104" i="1"/>
  <c r="R104" i="1"/>
  <c r="Q104" i="1"/>
  <c r="P104" i="1"/>
  <c r="L104" i="1"/>
  <c r="J104" i="1"/>
  <c r="V103" i="1"/>
  <c r="U103" i="1"/>
  <c r="T103" i="1"/>
  <c r="S103" i="1"/>
  <c r="R103" i="1"/>
  <c r="Q103" i="1"/>
  <c r="L103" i="1"/>
  <c r="J103" i="1"/>
  <c r="V102" i="1"/>
  <c r="U102" i="1"/>
  <c r="T102" i="1"/>
  <c r="S102" i="1"/>
  <c r="R102" i="1"/>
  <c r="Q102" i="1"/>
  <c r="L102" i="1"/>
  <c r="J102" i="1"/>
  <c r="V101" i="1"/>
  <c r="U101" i="1"/>
  <c r="T101" i="1"/>
  <c r="S101" i="1"/>
  <c r="R101" i="1"/>
  <c r="Q101" i="1"/>
  <c r="L101" i="1"/>
  <c r="J101" i="1"/>
  <c r="U100" i="1"/>
  <c r="T100" i="1"/>
  <c r="S100" i="1"/>
  <c r="R100" i="1"/>
  <c r="Q100" i="1"/>
  <c r="L100" i="1"/>
  <c r="J100" i="1"/>
  <c r="V99" i="1"/>
  <c r="U99" i="1"/>
  <c r="T99" i="1"/>
  <c r="S99" i="1"/>
  <c r="R99" i="1"/>
  <c r="Q99" i="1"/>
  <c r="L99" i="1"/>
  <c r="J99" i="1"/>
  <c r="U98" i="1"/>
  <c r="T98" i="1"/>
  <c r="S98" i="1"/>
  <c r="R98" i="1"/>
  <c r="Q98" i="1"/>
  <c r="L98" i="1"/>
  <c r="J98" i="1"/>
  <c r="V97" i="1"/>
  <c r="U97" i="1"/>
  <c r="T97" i="1"/>
  <c r="S97" i="1"/>
  <c r="R97" i="1"/>
  <c r="Q97" i="1"/>
  <c r="L97" i="1"/>
  <c r="J97" i="1"/>
  <c r="V96" i="1"/>
  <c r="U96" i="1"/>
  <c r="T96" i="1"/>
  <c r="S96" i="1"/>
  <c r="R96" i="1"/>
  <c r="Q96" i="1"/>
  <c r="L96" i="1"/>
  <c r="J96" i="1"/>
  <c r="V95" i="1"/>
  <c r="U95" i="1"/>
  <c r="T95" i="1"/>
  <c r="S95" i="1"/>
  <c r="R95" i="1"/>
  <c r="Q95" i="1"/>
  <c r="L95" i="1"/>
  <c r="J95" i="1"/>
  <c r="V94" i="1"/>
  <c r="U94" i="1"/>
  <c r="T94" i="1"/>
  <c r="S94" i="1"/>
  <c r="R94" i="1"/>
  <c r="Q94" i="1"/>
  <c r="L94" i="1"/>
  <c r="J94" i="1"/>
  <c r="V93" i="1"/>
  <c r="U93" i="1"/>
  <c r="T93" i="1"/>
  <c r="S93" i="1"/>
  <c r="R93" i="1"/>
  <c r="Q93" i="1"/>
  <c r="L93" i="1"/>
  <c r="J93" i="1"/>
  <c r="V92" i="1"/>
  <c r="U92" i="1"/>
  <c r="T92" i="1"/>
  <c r="S92" i="1"/>
  <c r="R92" i="1"/>
  <c r="Q92" i="1"/>
  <c r="L92" i="1"/>
  <c r="J92" i="1"/>
  <c r="U91" i="1"/>
  <c r="T91" i="1"/>
  <c r="S91" i="1"/>
  <c r="R91" i="1"/>
  <c r="Q91" i="1"/>
  <c r="L91" i="1"/>
  <c r="J91" i="1"/>
  <c r="V90" i="1"/>
  <c r="U90" i="1"/>
  <c r="T90" i="1"/>
  <c r="S90" i="1"/>
  <c r="R90" i="1"/>
  <c r="Q90" i="1"/>
  <c r="L90" i="1"/>
  <c r="J90" i="1"/>
  <c r="V89" i="1"/>
  <c r="U89" i="1"/>
  <c r="T89" i="1"/>
  <c r="S89" i="1"/>
  <c r="R89" i="1"/>
  <c r="Q89" i="1"/>
  <c r="L89" i="1"/>
  <c r="J89" i="1"/>
  <c r="V88" i="1"/>
  <c r="U88" i="1"/>
  <c r="T88" i="1"/>
  <c r="S88" i="1"/>
  <c r="R88" i="1"/>
  <c r="Q88" i="1"/>
  <c r="L88" i="1"/>
  <c r="J88" i="1"/>
  <c r="T87" i="1"/>
  <c r="S87" i="1"/>
  <c r="R87" i="1"/>
  <c r="Q87" i="1"/>
  <c r="P87" i="1"/>
  <c r="L87" i="1"/>
  <c r="J87" i="1"/>
  <c r="V86" i="1"/>
  <c r="U86" i="1"/>
  <c r="T86" i="1"/>
  <c r="S86" i="1"/>
  <c r="R86" i="1"/>
  <c r="Q86" i="1"/>
  <c r="L86" i="1"/>
  <c r="J86" i="1"/>
  <c r="T85" i="1"/>
  <c r="S85" i="1"/>
  <c r="R85" i="1"/>
  <c r="Q85" i="1"/>
  <c r="P85" i="1"/>
  <c r="L85" i="1"/>
  <c r="J85" i="1"/>
  <c r="V84" i="1"/>
  <c r="U84" i="1"/>
  <c r="T84" i="1"/>
  <c r="S84" i="1"/>
  <c r="R84" i="1"/>
  <c r="Q84" i="1"/>
  <c r="L84" i="1"/>
  <c r="J84" i="1"/>
  <c r="T83" i="1"/>
  <c r="S83" i="1"/>
  <c r="R83" i="1"/>
  <c r="Q83" i="1"/>
  <c r="P83" i="1"/>
  <c r="L83" i="1"/>
  <c r="J83" i="1"/>
  <c r="U82" i="1"/>
  <c r="T82" i="1"/>
  <c r="S82" i="1"/>
  <c r="R82" i="1"/>
  <c r="Q82" i="1"/>
  <c r="L82" i="1"/>
  <c r="J82" i="1"/>
  <c r="V81" i="1"/>
  <c r="U81" i="1"/>
  <c r="T81" i="1"/>
  <c r="S81" i="1"/>
  <c r="R81" i="1"/>
  <c r="Q81" i="1"/>
  <c r="L81" i="1"/>
  <c r="J81" i="1"/>
  <c r="T80" i="1"/>
  <c r="S80" i="1"/>
  <c r="R80" i="1"/>
  <c r="Q80" i="1"/>
  <c r="P80" i="1"/>
  <c r="L80" i="1"/>
  <c r="J80" i="1"/>
  <c r="U79" i="1"/>
  <c r="T79" i="1"/>
  <c r="S79" i="1"/>
  <c r="R79" i="1"/>
  <c r="Q79" i="1"/>
  <c r="L79" i="1"/>
  <c r="J79" i="1"/>
  <c r="V78" i="1"/>
  <c r="U78" i="1"/>
  <c r="T78" i="1"/>
  <c r="S78" i="1"/>
  <c r="R78" i="1"/>
  <c r="Q78" i="1"/>
  <c r="L78" i="1"/>
  <c r="J78" i="1"/>
  <c r="V77" i="1"/>
  <c r="U77" i="1"/>
  <c r="T77" i="1"/>
  <c r="S77" i="1"/>
  <c r="R77" i="1"/>
  <c r="Q77" i="1"/>
  <c r="L77" i="1"/>
  <c r="J77" i="1"/>
  <c r="V76" i="1"/>
  <c r="U76" i="1"/>
  <c r="T76" i="1"/>
  <c r="S76" i="1"/>
  <c r="R76" i="1"/>
  <c r="Q76" i="1"/>
  <c r="L76" i="1"/>
  <c r="J76" i="1"/>
  <c r="V75" i="1"/>
  <c r="U75" i="1"/>
  <c r="T75" i="1"/>
  <c r="S75" i="1"/>
  <c r="R75" i="1"/>
  <c r="Q75" i="1"/>
  <c r="L75" i="1"/>
  <c r="J75" i="1"/>
  <c r="V74" i="1"/>
  <c r="U74" i="1"/>
  <c r="T74" i="1"/>
  <c r="S74" i="1"/>
  <c r="R74" i="1"/>
  <c r="Q74" i="1"/>
  <c r="L74" i="1"/>
  <c r="J74" i="1"/>
  <c r="U73" i="1"/>
  <c r="T73" i="1"/>
  <c r="S73" i="1"/>
  <c r="R73" i="1"/>
  <c r="Q73" i="1"/>
  <c r="L73" i="1"/>
  <c r="J73" i="1"/>
  <c r="V72" i="1"/>
  <c r="U72" i="1"/>
  <c r="T72" i="1"/>
  <c r="S72" i="1"/>
  <c r="R72" i="1"/>
  <c r="Q72" i="1"/>
  <c r="L72" i="1"/>
  <c r="J72" i="1"/>
  <c r="T71" i="1"/>
  <c r="S71" i="1"/>
  <c r="R71" i="1"/>
  <c r="Q71" i="1"/>
  <c r="P71" i="1"/>
  <c r="L71" i="1"/>
  <c r="J71" i="1"/>
  <c r="U70" i="1"/>
  <c r="T70" i="1"/>
  <c r="S70" i="1"/>
  <c r="R70" i="1"/>
  <c r="Q70" i="1"/>
  <c r="L70" i="1"/>
  <c r="J70" i="1"/>
  <c r="T69" i="1"/>
  <c r="S69" i="1"/>
  <c r="R69" i="1"/>
  <c r="Q69" i="1"/>
  <c r="P69" i="1"/>
  <c r="L69" i="1"/>
  <c r="J69" i="1"/>
  <c r="T68" i="1"/>
  <c r="S68" i="1"/>
  <c r="R68" i="1"/>
  <c r="Q68" i="1"/>
  <c r="P68" i="1"/>
  <c r="L68" i="1"/>
  <c r="J68" i="1"/>
  <c r="V67" i="1"/>
  <c r="U67" i="1"/>
  <c r="T67" i="1"/>
  <c r="S67" i="1"/>
  <c r="R67" i="1"/>
  <c r="Q67" i="1"/>
  <c r="L67" i="1"/>
  <c r="J67" i="1"/>
  <c r="U66" i="1"/>
  <c r="T66" i="1"/>
  <c r="S66" i="1"/>
  <c r="R66" i="1"/>
  <c r="Q66" i="1"/>
  <c r="L66" i="1"/>
  <c r="J66" i="1"/>
  <c r="V65" i="1"/>
  <c r="U65" i="1"/>
  <c r="T65" i="1"/>
  <c r="S65" i="1"/>
  <c r="R65" i="1"/>
  <c r="Q65" i="1"/>
  <c r="L65" i="1"/>
  <c r="J65" i="1"/>
  <c r="U64" i="1"/>
  <c r="T64" i="1"/>
  <c r="S64" i="1"/>
  <c r="R64" i="1"/>
  <c r="Q64" i="1"/>
  <c r="L64" i="1"/>
  <c r="J64" i="1"/>
  <c r="Q63" i="1"/>
  <c r="L63" i="1"/>
  <c r="J63" i="1"/>
  <c r="V62" i="1"/>
  <c r="U62" i="1"/>
  <c r="T62" i="1"/>
  <c r="S62" i="1"/>
  <c r="R62" i="1"/>
  <c r="Q62" i="1"/>
  <c r="L62" i="1"/>
  <c r="J62" i="1"/>
  <c r="V61" i="1"/>
  <c r="U61" i="1"/>
  <c r="T61" i="1"/>
  <c r="S61" i="1"/>
  <c r="R61" i="1"/>
  <c r="Q61" i="1"/>
  <c r="L61" i="1"/>
  <c r="J61" i="1"/>
  <c r="V60" i="1"/>
  <c r="U60" i="1"/>
  <c r="T60" i="1"/>
  <c r="S60" i="1"/>
  <c r="R60" i="1"/>
  <c r="Q60" i="1"/>
  <c r="L60" i="1"/>
  <c r="J60" i="1"/>
  <c r="T59" i="1"/>
  <c r="S59" i="1"/>
  <c r="R59" i="1"/>
  <c r="Q59" i="1"/>
  <c r="P59" i="1"/>
  <c r="L59" i="1"/>
  <c r="J59" i="1"/>
  <c r="V58" i="1"/>
  <c r="U58" i="1"/>
  <c r="T58" i="1"/>
  <c r="S58" i="1"/>
  <c r="R58" i="1"/>
  <c r="Q58" i="1"/>
  <c r="L58" i="1"/>
  <c r="J58" i="1"/>
  <c r="V57" i="1"/>
  <c r="U57" i="1"/>
  <c r="T57" i="1"/>
  <c r="S57" i="1"/>
  <c r="R57" i="1"/>
  <c r="Q57" i="1"/>
  <c r="L57" i="1"/>
  <c r="J57" i="1"/>
  <c r="T56" i="1"/>
  <c r="S56" i="1"/>
  <c r="R56" i="1"/>
  <c r="Q56" i="1"/>
  <c r="P56" i="1"/>
  <c r="L56" i="1"/>
  <c r="T55" i="1"/>
  <c r="S55" i="1"/>
  <c r="R55" i="1"/>
  <c r="Q55" i="1"/>
  <c r="P55" i="1"/>
  <c r="L55" i="1"/>
  <c r="J55" i="1"/>
  <c r="T54" i="1"/>
  <c r="S54" i="1"/>
  <c r="R54" i="1"/>
  <c r="Q54" i="1"/>
  <c r="L54" i="1"/>
  <c r="J54" i="1"/>
  <c r="V53" i="1"/>
  <c r="U53" i="1"/>
  <c r="T53" i="1"/>
  <c r="S53" i="1"/>
  <c r="R53" i="1"/>
  <c r="Q53" i="1"/>
  <c r="L53" i="1"/>
  <c r="J53" i="1"/>
  <c r="T52" i="1"/>
  <c r="S52" i="1"/>
  <c r="R52" i="1"/>
  <c r="Q52" i="1"/>
  <c r="P52" i="1"/>
  <c r="L52" i="1"/>
  <c r="J52" i="1"/>
  <c r="T51" i="1"/>
  <c r="S51" i="1"/>
  <c r="R51" i="1"/>
  <c r="Q51" i="1"/>
  <c r="P51" i="1"/>
  <c r="L51" i="1"/>
  <c r="J51" i="1"/>
  <c r="V50" i="1"/>
  <c r="U50" i="1"/>
  <c r="T50" i="1"/>
  <c r="S50" i="1"/>
  <c r="R50" i="1"/>
  <c r="Q50" i="1"/>
  <c r="L50" i="1"/>
  <c r="J50" i="1"/>
  <c r="V49" i="1"/>
  <c r="U49" i="1"/>
  <c r="T49" i="1"/>
  <c r="S49" i="1"/>
  <c r="R49" i="1"/>
  <c r="Q49" i="1"/>
  <c r="L49" i="1"/>
  <c r="J49" i="1"/>
  <c r="T48" i="1"/>
  <c r="S48" i="1"/>
  <c r="R48" i="1"/>
  <c r="Q48" i="1"/>
  <c r="P48" i="1"/>
  <c r="L48" i="1"/>
  <c r="J48" i="1"/>
  <c r="V47" i="1"/>
  <c r="U47" i="1"/>
  <c r="T47" i="1"/>
  <c r="S47" i="1"/>
  <c r="R47" i="1"/>
  <c r="Q47" i="1"/>
  <c r="L47" i="1"/>
  <c r="J47" i="1"/>
  <c r="U46" i="1"/>
  <c r="T46" i="1"/>
  <c r="S46" i="1"/>
  <c r="R46" i="1"/>
  <c r="Q46" i="1"/>
  <c r="P46" i="1"/>
  <c r="L46" i="1"/>
  <c r="J46" i="1"/>
  <c r="V45" i="1"/>
  <c r="U45" i="1"/>
  <c r="T45" i="1"/>
  <c r="S45" i="1"/>
  <c r="R45" i="1"/>
  <c r="Q45" i="1"/>
  <c r="L45" i="1"/>
  <c r="J45" i="1"/>
  <c r="V44" i="1"/>
  <c r="U44" i="1"/>
  <c r="T44" i="1"/>
  <c r="S44" i="1"/>
  <c r="R44" i="1"/>
  <c r="Q44" i="1"/>
  <c r="L44" i="1"/>
  <c r="J44" i="1"/>
  <c r="V43" i="1"/>
  <c r="U43" i="1"/>
  <c r="T43" i="1"/>
  <c r="S43" i="1"/>
  <c r="R43" i="1"/>
  <c r="Q43" i="1"/>
  <c r="L43" i="1"/>
  <c r="J43" i="1"/>
  <c r="V42" i="1"/>
  <c r="U42" i="1"/>
  <c r="T42" i="1"/>
  <c r="S42" i="1"/>
  <c r="R42" i="1"/>
  <c r="Q42" i="1"/>
  <c r="L42" i="1"/>
  <c r="J42" i="1"/>
  <c r="V41" i="1"/>
  <c r="U41" i="1"/>
  <c r="T41" i="1"/>
  <c r="S41" i="1"/>
  <c r="R41" i="1"/>
  <c r="Q41" i="1"/>
  <c r="L41" i="1"/>
  <c r="J41" i="1"/>
  <c r="V40" i="1"/>
  <c r="U40" i="1"/>
  <c r="T40" i="1"/>
  <c r="S40" i="1"/>
  <c r="R40" i="1"/>
  <c r="Q40" i="1"/>
  <c r="L40" i="1"/>
  <c r="J40" i="1"/>
  <c r="U39" i="1"/>
  <c r="T39" i="1"/>
  <c r="S39" i="1"/>
  <c r="R39" i="1"/>
  <c r="Q39" i="1"/>
  <c r="L39" i="1"/>
  <c r="J39" i="1"/>
  <c r="V38" i="1"/>
  <c r="U38" i="1"/>
  <c r="T38" i="1"/>
  <c r="S38" i="1"/>
  <c r="R38" i="1"/>
  <c r="Q38" i="1"/>
  <c r="L38" i="1"/>
  <c r="J38" i="1"/>
  <c r="T37" i="1"/>
  <c r="S37" i="1"/>
  <c r="R37" i="1"/>
  <c r="Q37" i="1"/>
  <c r="P37" i="1"/>
  <c r="L37" i="1"/>
  <c r="J37" i="1"/>
  <c r="V36" i="1"/>
  <c r="U36" i="1"/>
  <c r="T36" i="1"/>
  <c r="S36" i="1"/>
  <c r="R36" i="1"/>
  <c r="Q36" i="1"/>
  <c r="L36" i="1"/>
  <c r="J36" i="1"/>
  <c r="T35" i="1"/>
  <c r="S35" i="1"/>
  <c r="R35" i="1"/>
  <c r="Q35" i="1"/>
  <c r="P35" i="1"/>
  <c r="L35" i="1"/>
  <c r="J35" i="1"/>
  <c r="V34" i="1"/>
  <c r="U34" i="1"/>
  <c r="T34" i="1"/>
  <c r="S34" i="1"/>
  <c r="R34" i="1"/>
  <c r="Q34" i="1"/>
  <c r="L34" i="1"/>
  <c r="J34" i="1"/>
  <c r="V33" i="1"/>
  <c r="U33" i="1"/>
  <c r="T33" i="1"/>
  <c r="S33" i="1"/>
  <c r="R33" i="1"/>
  <c r="Q33" i="1"/>
  <c r="L33" i="1"/>
  <c r="J33" i="1"/>
  <c r="V32" i="1"/>
  <c r="U32" i="1"/>
  <c r="T32" i="1"/>
  <c r="S32" i="1"/>
  <c r="R32" i="1"/>
  <c r="Q32" i="1"/>
  <c r="L32" i="1"/>
  <c r="J32" i="1"/>
  <c r="V31" i="1"/>
  <c r="U31" i="1"/>
  <c r="T31" i="1"/>
  <c r="S31" i="1"/>
  <c r="R31" i="1"/>
  <c r="Q31" i="1"/>
  <c r="L31" i="1"/>
  <c r="J31" i="1"/>
  <c r="V30" i="1"/>
  <c r="U30" i="1"/>
  <c r="T30" i="1"/>
  <c r="S30" i="1"/>
  <c r="R30" i="1"/>
  <c r="Q30" i="1"/>
  <c r="L30" i="1"/>
  <c r="J30" i="1"/>
  <c r="V29" i="1"/>
  <c r="U29" i="1"/>
  <c r="T29" i="1"/>
  <c r="S29" i="1"/>
  <c r="R29" i="1"/>
  <c r="Q29" i="1"/>
  <c r="L29" i="1"/>
  <c r="J29" i="1"/>
  <c r="V28" i="1"/>
  <c r="U28" i="1"/>
  <c r="T28" i="1"/>
  <c r="S28" i="1"/>
  <c r="R28" i="1"/>
  <c r="Q28" i="1"/>
  <c r="L28" i="1"/>
  <c r="J28" i="1"/>
  <c r="V27" i="1"/>
  <c r="U27" i="1"/>
  <c r="T27" i="1"/>
  <c r="S27" i="1"/>
  <c r="R27" i="1"/>
  <c r="Q27" i="1"/>
  <c r="L27" i="1"/>
  <c r="J27" i="1"/>
  <c r="U26" i="1"/>
  <c r="T26" i="1"/>
  <c r="S26" i="1"/>
  <c r="R26" i="1"/>
  <c r="Q26" i="1"/>
  <c r="L26" i="1"/>
  <c r="J26" i="1"/>
  <c r="V25" i="1"/>
  <c r="U25" i="1"/>
  <c r="T25" i="1"/>
  <c r="S25" i="1"/>
  <c r="R25" i="1"/>
  <c r="Q25" i="1"/>
  <c r="L25" i="1"/>
  <c r="J25" i="1"/>
  <c r="V24" i="1"/>
  <c r="U24" i="1"/>
  <c r="T24" i="1"/>
  <c r="S24" i="1"/>
  <c r="R24" i="1"/>
  <c r="Q24" i="1"/>
  <c r="L24" i="1"/>
  <c r="J24" i="1"/>
  <c r="V23" i="1"/>
  <c r="U23" i="1"/>
  <c r="T23" i="1"/>
  <c r="S23" i="1"/>
  <c r="R23" i="1"/>
  <c r="Q23" i="1"/>
  <c r="L23" i="1"/>
  <c r="J23" i="1"/>
  <c r="V22" i="1"/>
  <c r="U22" i="1"/>
  <c r="T22" i="1"/>
  <c r="S22" i="1"/>
  <c r="R22" i="1"/>
  <c r="Q22" i="1"/>
  <c r="L22" i="1"/>
  <c r="J22" i="1"/>
  <c r="V21" i="1"/>
  <c r="U21" i="1"/>
  <c r="T21" i="1"/>
  <c r="S21" i="1"/>
  <c r="R21" i="1"/>
  <c r="Q21" i="1"/>
  <c r="L21" i="1"/>
  <c r="J21" i="1"/>
  <c r="T20" i="1"/>
  <c r="S20" i="1"/>
  <c r="R20" i="1"/>
  <c r="Q20" i="1"/>
  <c r="P20" i="1"/>
  <c r="L20" i="1"/>
  <c r="J20" i="1"/>
  <c r="U19" i="1"/>
  <c r="T19" i="1"/>
  <c r="S19" i="1"/>
  <c r="R19" i="1"/>
  <c r="Q19" i="1"/>
  <c r="L19" i="1"/>
  <c r="J19" i="1"/>
  <c r="V18" i="1"/>
  <c r="U18" i="1"/>
  <c r="T18" i="1"/>
  <c r="S18" i="1"/>
  <c r="R18" i="1"/>
  <c r="Q18" i="1"/>
  <c r="L18" i="1"/>
  <c r="J18" i="1"/>
  <c r="T17" i="1"/>
  <c r="S17" i="1"/>
  <c r="R17" i="1"/>
  <c r="Q17" i="1"/>
  <c r="P17" i="1"/>
  <c r="P7" i="1" s="1"/>
  <c r="L17" i="1"/>
  <c r="J17" i="1"/>
  <c r="V16" i="1"/>
  <c r="U16" i="1"/>
  <c r="T16" i="1"/>
  <c r="S16" i="1"/>
  <c r="R16" i="1"/>
  <c r="Q16" i="1"/>
  <c r="L16" i="1"/>
  <c r="J16" i="1"/>
  <c r="V15" i="1"/>
  <c r="U15" i="1"/>
  <c r="T15" i="1"/>
  <c r="S15" i="1"/>
  <c r="R15" i="1"/>
  <c r="Q15" i="1"/>
  <c r="L15" i="1"/>
  <c r="J15" i="1"/>
  <c r="V14" i="1"/>
  <c r="U14" i="1"/>
  <c r="T14" i="1"/>
  <c r="S14" i="1"/>
  <c r="R14" i="1"/>
  <c r="Q14" i="1"/>
  <c r="L14" i="1"/>
  <c r="J14" i="1"/>
  <c r="V13" i="1"/>
  <c r="U13" i="1"/>
  <c r="T13" i="1"/>
  <c r="S13" i="1"/>
  <c r="R13" i="1"/>
  <c r="Q13" i="1"/>
  <c r="L13" i="1"/>
  <c r="J13" i="1"/>
  <c r="V12" i="1"/>
  <c r="U12" i="1"/>
  <c r="T12" i="1"/>
  <c r="S12" i="1"/>
  <c r="R12" i="1"/>
  <c r="Q12" i="1"/>
  <c r="L12" i="1"/>
  <c r="J12" i="1"/>
  <c r="V11" i="1"/>
  <c r="U11" i="1"/>
  <c r="T11" i="1"/>
  <c r="S11" i="1"/>
  <c r="R11" i="1"/>
  <c r="Q11" i="1"/>
  <c r="Q7" i="1" s="1"/>
  <c r="L11" i="1"/>
  <c r="J11" i="1"/>
  <c r="U10" i="1"/>
  <c r="U7" i="1" s="1"/>
  <c r="T10" i="1"/>
  <c r="S10" i="1"/>
  <c r="R10" i="1"/>
  <c r="Q10" i="1"/>
  <c r="L10" i="1"/>
  <c r="J10" i="1"/>
  <c r="L6" i="1"/>
  <c r="R7" i="1" l="1"/>
  <c r="V7" i="1"/>
  <c r="S7" i="1"/>
  <c r="L7" i="1"/>
  <c r="T7" i="1"/>
</calcChain>
</file>

<file path=xl/sharedStrings.xml><?xml version="1.0" encoding="utf-8"?>
<sst xmlns="http://schemas.openxmlformats.org/spreadsheetml/2006/main" count="9802" uniqueCount="2218">
  <si>
    <t>Молодежная одежда марки</t>
  </si>
  <si>
    <t>ВНИМАНИЕ!</t>
  </si>
  <si>
    <t>Москва, ул. Маршала Соколовского, д.3, офис на первом этаже., (499) 190-49-00, email: opt@gooood.ru, www.gooood.ru</t>
  </si>
  <si>
    <t>ВЫ МОЖЕТЕ СДЕЛАТЬ ПРЕДЗАКАЗ ПРОДУКЦИИ!</t>
  </si>
  <si>
    <t>Если желаемое количество больше текущего остатка на складе.</t>
  </si>
  <si>
    <t>Бренды:</t>
  </si>
  <si>
    <t>Дополнительные параметры выбора:</t>
  </si>
  <si>
    <t>Разделы:</t>
  </si>
  <si>
    <t>Фотографии моделей доступны по ссылке на превью и номере артикула.</t>
  </si>
  <si>
    <t>Артикул</t>
  </si>
  <si>
    <t>Превью</t>
  </si>
  <si>
    <t>Модель / Цвет</t>
  </si>
  <si>
    <t>Раздел</t>
  </si>
  <si>
    <t>Бренд</t>
  </si>
  <si>
    <t>Описание</t>
  </si>
  <si>
    <t>Доп. параметры</t>
  </si>
  <si>
    <t>Цвет</t>
  </si>
  <si>
    <t>Состав</t>
  </si>
  <si>
    <t>Розничная цена, р</t>
  </si>
  <si>
    <t>Кол-во</t>
  </si>
  <si>
    <t>*</t>
  </si>
  <si>
    <t>XS
(42)</t>
  </si>
  <si>
    <t>S
(44)</t>
  </si>
  <si>
    <t>M
(46)</t>
  </si>
  <si>
    <t>L
(48)</t>
  </si>
  <si>
    <t>XL
(50)</t>
  </si>
  <si>
    <t>XXL
(52)</t>
  </si>
  <si>
    <t>XXХL
(54)</t>
  </si>
  <si>
    <t>Штрих-код</t>
  </si>
  <si>
    <t>Код ТОРГ-12 WB</t>
  </si>
  <si>
    <t>Код ТОРГ-12 5Карманов</t>
  </si>
  <si>
    <t>51-1642</t>
  </si>
  <si>
    <t>CyberGorgon 
(Светится в темноте и ультрафиолете)</t>
  </si>
  <si>
    <t>Толстовки</t>
  </si>
  <si>
    <t>GOOD</t>
  </si>
  <si>
    <t>Толстовка с молнией однотонная, косая молния</t>
  </si>
  <si>
    <t>SALE</t>
  </si>
  <si>
    <t>Черный</t>
  </si>
  <si>
    <t>хлопок 80%, полиэстер 20%</t>
  </si>
  <si>
    <t>21-1530</t>
  </si>
  <si>
    <t>FREE YOUR MIND
(Светится в темноте и ультрафиолете)</t>
  </si>
  <si>
    <t>Толстовки мужские</t>
  </si>
  <si>
    <t>21-1662</t>
  </si>
  <si>
    <t>Герб России
(Светится в темноте и ультрафиолете)</t>
  </si>
  <si>
    <t>21-1617</t>
  </si>
  <si>
    <t>X-Skeleton
(Светится в темноте и ультрафиолете)</t>
  </si>
  <si>
    <t>14-1671</t>
  </si>
  <si>
    <t>Череп Вождя</t>
  </si>
  <si>
    <t>Футболки мужские</t>
  </si>
  <si>
    <t>Футболка мужская однотонная</t>
  </si>
  <si>
    <t>Футболки с коротким рукавом</t>
  </si>
  <si>
    <t>хлопок 95%, лайкра 5%</t>
  </si>
  <si>
    <t>14-1668</t>
  </si>
  <si>
    <t>Спартанец (Veni vidi vici)
(Светится в темноте и ультрафиолете)</t>
  </si>
  <si>
    <t>14-1675</t>
  </si>
  <si>
    <t>Panda Free Ride
(Светится в темноте и ультрафиолете)</t>
  </si>
  <si>
    <t>35-2674</t>
  </si>
  <si>
    <t>Cats Tribe</t>
  </si>
  <si>
    <t>Футболки женские</t>
  </si>
  <si>
    <t>Футболка женская однотонная</t>
  </si>
  <si>
    <t>Белый</t>
  </si>
  <si>
    <t>14-1646</t>
  </si>
  <si>
    <t>Gravity
(Светится в темноте и ультрафиолете)</t>
  </si>
  <si>
    <t>14-6672</t>
  </si>
  <si>
    <t>Life forms</t>
  </si>
  <si>
    <t>Бирюзовый</t>
  </si>
  <si>
    <t>35-6672</t>
  </si>
  <si>
    <t>36-2672</t>
  </si>
  <si>
    <t>Футболки с длинным рукавом</t>
  </si>
  <si>
    <t>14-1662</t>
  </si>
  <si>
    <t>14-2662</t>
  </si>
  <si>
    <t>14-1595</t>
  </si>
  <si>
    <t>HardCore 
(Светится в темноте и ультрафиолете)</t>
  </si>
  <si>
    <t>14-2664</t>
  </si>
  <si>
    <t xml:space="preserve">Fluoro Darth Vader
(Светится в ультрафиолете) </t>
  </si>
  <si>
    <t>14-2673</t>
  </si>
  <si>
    <t>Bruce Lee</t>
  </si>
  <si>
    <t>14-1519</t>
  </si>
  <si>
    <t>Life never die
(Светится в темноте и ультрафиолете)</t>
  </si>
  <si>
    <t>14-1657</t>
  </si>
  <si>
    <t>Flure-Future
(Светится в темноте и ультрафиолете)</t>
  </si>
  <si>
    <t>28-5647</t>
  </si>
  <si>
    <r>
      <t xml:space="preserve">НОВИНКА!
</t>
    </r>
    <r>
      <rPr>
        <sz val="7"/>
        <color indexed="55"/>
        <rFont val="Arial Cyr"/>
        <charset val="204"/>
      </rPr>
      <t>(спрашивайте фото у менеджера)</t>
    </r>
  </si>
  <si>
    <t>HIS AIRNESS</t>
  </si>
  <si>
    <t>Серый</t>
  </si>
  <si>
    <t>12-5647</t>
  </si>
  <si>
    <t>14-1632</t>
  </si>
  <si>
    <t>Alien 2</t>
  </si>
  <si>
    <t>14-1670</t>
  </si>
  <si>
    <t>GOOD STRANGER
(Светится в ультрафиолете)</t>
  </si>
  <si>
    <t>14-1669</t>
  </si>
  <si>
    <t>Дракон</t>
  </si>
  <si>
    <t>14-2654</t>
  </si>
  <si>
    <t>Fluoro Depp
(Светится в ультрафиолете)</t>
  </si>
  <si>
    <t>35-2654</t>
  </si>
  <si>
    <t>14-1663</t>
  </si>
  <si>
    <t>Ловец Снов 
(Светится в темноте и ультрафиолете)</t>
  </si>
  <si>
    <t>35-1663</t>
  </si>
  <si>
    <t>14-1566</t>
  </si>
  <si>
    <t>Creation of the universe
(Светится в темноте и ультрафиолете)</t>
  </si>
  <si>
    <t>14-4576</t>
  </si>
  <si>
    <t>They are not alone 
(Светится в темноте и ультрафиолете)</t>
  </si>
  <si>
    <t>14-8662</t>
  </si>
  <si>
    <t>Меланж</t>
  </si>
  <si>
    <t>14-1599</t>
  </si>
  <si>
    <t>Wild Street Racing 
(Светится в темноте и ультрафиолете)</t>
  </si>
  <si>
    <t>14-167</t>
  </si>
  <si>
    <t>NIGHT CITY 
(Светится в ультрафиолете)</t>
  </si>
  <si>
    <t>14-1569</t>
  </si>
  <si>
    <t>Драконы Инь и Янь
(Светится в ультрафиолете)</t>
  </si>
  <si>
    <t>14-289</t>
  </si>
  <si>
    <t>100% URBAN 
(Двух-сторонний TOTAL-print)</t>
  </si>
  <si>
    <t>14-1572</t>
  </si>
  <si>
    <t>Crazy Frog
(Светится в темноте и ультрафиолете)</t>
  </si>
  <si>
    <t>35-1610</t>
  </si>
  <si>
    <t>SWEETY 
(Светится в темноте и ультрафиолете)</t>
  </si>
  <si>
    <t>14-1610</t>
  </si>
  <si>
    <t>35-1638</t>
  </si>
  <si>
    <t>Jaguar</t>
  </si>
  <si>
    <t>28-5620</t>
  </si>
  <si>
    <t>ZEBRA WAZZZUP
(Светится в ультрафиолете)</t>
  </si>
  <si>
    <t>Футболка мужская комбинированная</t>
  </si>
  <si>
    <t>14-3620</t>
  </si>
  <si>
    <t>Желтый</t>
  </si>
  <si>
    <t>35-1667</t>
  </si>
  <si>
    <t xml:space="preserve">Fluoro Panda
(Светится в ультрафиолете) </t>
  </si>
  <si>
    <t>35-7611</t>
  </si>
  <si>
    <t>Galaxy of Bubbles
(Светится в темноте и ультрафиолете)</t>
  </si>
  <si>
    <t>Бежевый</t>
  </si>
  <si>
    <t>14-2627</t>
  </si>
  <si>
    <r>
      <t>Фантастический герой</t>
    </r>
    <r>
      <rPr>
        <sz val="10"/>
        <rFont val="Arial Cyr"/>
        <charset val="204"/>
      </rPr>
      <t xml:space="preserve">
(Двух-сторонний TOTAL-print, мягкая печать)</t>
    </r>
  </si>
  <si>
    <t>14-6611</t>
  </si>
  <si>
    <t>Зеленый</t>
  </si>
  <si>
    <t>44-4611</t>
  </si>
  <si>
    <t>Сарафаны женские</t>
  </si>
  <si>
    <t>Футболка-сарафан женская</t>
  </si>
  <si>
    <t>Платья женские</t>
  </si>
  <si>
    <t>Песочный</t>
  </si>
  <si>
    <t>35-2611</t>
  </si>
  <si>
    <t>14-1587</t>
  </si>
  <si>
    <t>PARTY ISLAND
(Светится в темноте и ультрафиолете)</t>
  </si>
  <si>
    <t>14-8584</t>
  </si>
  <si>
    <t>Sugar Skull 
(Светится в темноте и ультрафиолете)</t>
  </si>
  <si>
    <t>35-3584</t>
  </si>
  <si>
    <t>36-1595</t>
  </si>
  <si>
    <t>14-3662</t>
  </si>
  <si>
    <t>14-4662</t>
  </si>
  <si>
    <t>Кирпичный</t>
  </si>
  <si>
    <t>14-7662</t>
  </si>
  <si>
    <t>Хаки</t>
  </si>
  <si>
    <t>14-3662-1</t>
  </si>
  <si>
    <t>Оранжевый</t>
  </si>
  <si>
    <t>36-2662</t>
  </si>
  <si>
    <t>36-3662</t>
  </si>
  <si>
    <t>14-1655</t>
  </si>
  <si>
    <t>GOOD KARMA
(Светится в темноте и ультрафиолете)</t>
  </si>
  <si>
    <t>35-1655</t>
  </si>
  <si>
    <t>35-1519</t>
  </si>
  <si>
    <t>36-1519</t>
  </si>
  <si>
    <t>34-1566</t>
  </si>
  <si>
    <t>36-1566</t>
  </si>
  <si>
    <t>36-9660</t>
  </si>
  <si>
    <t xml:space="preserve">Cyber Lion
(Светится в ультрафиолете) </t>
  </si>
  <si>
    <t>Сиреневый</t>
  </si>
  <si>
    <t>14-1661</t>
  </si>
  <si>
    <t>Darth Vader
(Светится в темноте и ультрафиолете)</t>
  </si>
  <si>
    <t>36-1661</t>
  </si>
  <si>
    <t>14-8580</t>
  </si>
  <si>
    <t>I'M NOT A MONSTER 
(Светится в темноте и ультрафиолете)</t>
  </si>
  <si>
    <t>36-1505</t>
  </si>
  <si>
    <t>LIFE IS GOOD - длин. рукав 
(Светится в ультрафиолете)</t>
  </si>
  <si>
    <t>36-1505-1</t>
  </si>
  <si>
    <t>14-2653</t>
  </si>
  <si>
    <t>Барокко
(Печать золотом и серебром)</t>
  </si>
  <si>
    <t>35-1657</t>
  </si>
  <si>
    <t>14-2658</t>
  </si>
  <si>
    <t>Censored
(Светится в темноте и ультрафиолете)</t>
  </si>
  <si>
    <t>14-2659</t>
  </si>
  <si>
    <t>Hippy Skull
(Светится в темноте и ультрафиолете)</t>
  </si>
  <si>
    <t>35-2659</t>
  </si>
  <si>
    <t>36-2659</t>
  </si>
  <si>
    <t>35-123</t>
  </si>
  <si>
    <t>ANGEL 
(спецэффект - Блестки)</t>
  </si>
  <si>
    <t>14-1656</t>
  </si>
  <si>
    <t>Marilyn Monroe
(Светится в темноте и ультрафиолете)</t>
  </si>
  <si>
    <t>35-1656</t>
  </si>
  <si>
    <t>14-1617</t>
  </si>
  <si>
    <t>36-1617</t>
  </si>
  <si>
    <t>14-3177</t>
  </si>
  <si>
    <t>Good Vinil division
(Светится в ультрафиолете)</t>
  </si>
  <si>
    <t>14-121</t>
  </si>
  <si>
    <t>Эльф 
(Светится в темноте и ультрафиолете)</t>
  </si>
  <si>
    <t>14-1577</t>
  </si>
  <si>
    <t>GOOD VIBRATIONS
(Светится в ультрафиолете)</t>
  </si>
  <si>
    <t>36-1577</t>
  </si>
  <si>
    <t>14-197</t>
  </si>
  <si>
    <t>Sex Drugs Rock-n-roll 
(Светится в темноте и ультрафиолете)</t>
  </si>
  <si>
    <t>36-197</t>
  </si>
  <si>
    <t>14-2631</t>
  </si>
  <si>
    <t>Fluk Summer 
(ФЛЮРО TOTAL-print)</t>
  </si>
  <si>
    <t>14-1609</t>
  </si>
  <si>
    <t>City of the Future
(Светится в темноте и ультрафиолете)</t>
  </si>
  <si>
    <t>14-1559</t>
  </si>
  <si>
    <t>FULL MOON
(Светится в темноте и ультрафиолете)</t>
  </si>
  <si>
    <t>14-119</t>
  </si>
  <si>
    <t>Танцующие челы 
(Светится в ультрафиолете)</t>
  </si>
  <si>
    <t>36-119</t>
  </si>
  <si>
    <t>14-2606</t>
  </si>
  <si>
    <t>Black Knight 
(Светится в темноте и ультрафиолете)</t>
  </si>
  <si>
    <t>14-1593</t>
  </si>
  <si>
    <t>Cyber Spider 
(Светится в темноте и ультрафиолете)</t>
  </si>
  <si>
    <t>14-1530</t>
  </si>
  <si>
    <t>16-1530</t>
  </si>
  <si>
    <t>36-1530</t>
  </si>
  <si>
    <t>FREE YOUR MIND - длин. рукав
(Светится в темноте и ультрафиолете)</t>
  </si>
  <si>
    <t>34-1530</t>
  </si>
  <si>
    <t>35-1530</t>
  </si>
  <si>
    <t>14-5564</t>
  </si>
  <si>
    <t>Mystery of Life
(Светится в темноте и ультрафиолете)</t>
  </si>
  <si>
    <t>Индиго</t>
  </si>
  <si>
    <t>34-5564</t>
  </si>
  <si>
    <t>35-5564</t>
  </si>
  <si>
    <t>36-5564</t>
  </si>
  <si>
    <t>35-1569</t>
  </si>
  <si>
    <t>14-1526-2</t>
  </si>
  <si>
    <t>ПИПЕЦ
(Светится в темноте и ультрафиолете)</t>
  </si>
  <si>
    <t>14-1570</t>
  </si>
  <si>
    <t>WE ARE NOT ALONE
(Светится в темноте и ультрафиолете)</t>
  </si>
  <si>
    <t>14-1624</t>
  </si>
  <si>
    <t>Dancing Galaxy 2
(Светится в темноте и ультрафиолете)</t>
  </si>
  <si>
    <t>14-1501</t>
  </si>
  <si>
    <t>People of underground 
(Светится в ультрафиолете)</t>
  </si>
  <si>
    <t>35-1501</t>
  </si>
  <si>
    <t>People of underground
(Светится в ультрафиолете)</t>
  </si>
  <si>
    <t>14-530</t>
  </si>
  <si>
    <t>Ночной Эльф 
(Светится в темноте и ультрафиолете)</t>
  </si>
  <si>
    <t>14-1582</t>
  </si>
  <si>
    <t>Nano Skeleton
(Светится в ультрафиолете)</t>
  </si>
  <si>
    <t>35-1582</t>
  </si>
  <si>
    <t>36-1582</t>
  </si>
  <si>
    <t>14-1581</t>
  </si>
  <si>
    <t>BIORGANICA
(Светится в ультрафиолете)</t>
  </si>
  <si>
    <t>14-1621</t>
  </si>
  <si>
    <t>Mechanical Lotus
(Светится в темноте и ультрафиолете)</t>
  </si>
  <si>
    <t>35-1621</t>
  </si>
  <si>
    <t>14-1642</t>
  </si>
  <si>
    <t>35-1642</t>
  </si>
  <si>
    <t>CyberGorgon
(Светится в темноте и ультрафиолете)</t>
  </si>
  <si>
    <t>14-1583</t>
  </si>
  <si>
    <t>IT`S PARTY TIME 
(Светится в темноте и ультрафиолете)</t>
  </si>
  <si>
    <t>14-1645</t>
  </si>
  <si>
    <t>DREAM RIDER
(Светится в темноте и ультрафиолете)</t>
  </si>
  <si>
    <t>35-1645</t>
  </si>
  <si>
    <t>14-1544</t>
  </si>
  <si>
    <t>GOOD ENERGY 
(Светится в темноте и ультрафиолете)</t>
  </si>
  <si>
    <t>14-172</t>
  </si>
  <si>
    <t>Music my religion 
(Светится в ультрафиолете)</t>
  </si>
  <si>
    <t>34-1610</t>
  </si>
  <si>
    <t>16-1610</t>
  </si>
  <si>
    <t>14-1649</t>
  </si>
  <si>
    <t>3D Клоун 
(Светится в темноте и ультрафиолете)</t>
  </si>
  <si>
    <t>35-1649</t>
  </si>
  <si>
    <t>14-1652</t>
  </si>
  <si>
    <t>3D Mario
(Светится в темноте и ультрафиолете)</t>
  </si>
  <si>
    <t>35-1652</t>
  </si>
  <si>
    <t>14-1651</t>
  </si>
  <si>
    <t>Gorilla
(Светится в темноте и ультрафиолете)</t>
  </si>
  <si>
    <t>36-1651</t>
  </si>
  <si>
    <t>14-1650</t>
  </si>
  <si>
    <t>Forest - inside
(Светится в темноте и ультрафиолете)</t>
  </si>
  <si>
    <t>35-1650</t>
  </si>
  <si>
    <t>14-788</t>
  </si>
  <si>
    <t>New York City
(Светится в темноте и ультрафиолете)</t>
  </si>
  <si>
    <t>Коричневый</t>
  </si>
  <si>
    <t>14-488</t>
  </si>
  <si>
    <t>14-1539</t>
  </si>
  <si>
    <t>Cosmopolitan Life 
(Светится в темноте и ультрафиолете)</t>
  </si>
  <si>
    <t>34-1539</t>
  </si>
  <si>
    <t>14-1575</t>
  </si>
  <si>
    <t>BOB MARLEY
(Светится в ультрафиолете)</t>
  </si>
  <si>
    <t>35-1575</t>
  </si>
  <si>
    <t>34-1575</t>
  </si>
  <si>
    <t>14-1505</t>
  </si>
  <si>
    <t>LIFE IS GOOD 
(Светится в ультрафиолете)</t>
  </si>
  <si>
    <t>14-1505-1</t>
  </si>
  <si>
    <t>44-9660</t>
  </si>
  <si>
    <t>20-9660</t>
  </si>
  <si>
    <t>Толстовка с молнией однотонная</t>
  </si>
  <si>
    <t>хлопок 80%, полиэстер 20%.
Куртка выполнена из двухниточного футера, очень легкая и удобная.
Тоньше аналогичных 30-х моделей, без начеса.</t>
  </si>
  <si>
    <t>40-9660</t>
  </si>
  <si>
    <t>22-9662</t>
  </si>
  <si>
    <t>20-8662</t>
  </si>
  <si>
    <t>14-170</t>
  </si>
  <si>
    <t>JAZZ 
(Светится в темноте и ультрафиолете)</t>
  </si>
  <si>
    <t>35-170</t>
  </si>
  <si>
    <t>34-170</t>
  </si>
  <si>
    <t>14-1623</t>
  </si>
  <si>
    <t>ДНК ДОБРА
(Светится в ультрафиолете)</t>
  </si>
  <si>
    <t>34-1623</t>
  </si>
  <si>
    <t>14-1660</t>
  </si>
  <si>
    <t>14-8660</t>
  </si>
  <si>
    <t>36-1660</t>
  </si>
  <si>
    <t>36-8660</t>
  </si>
  <si>
    <t>16-1660</t>
  </si>
  <si>
    <t>35-8660</t>
  </si>
  <si>
    <t>35-6660</t>
  </si>
  <si>
    <t>35-1559</t>
  </si>
  <si>
    <t>35-2644</t>
  </si>
  <si>
    <t>Fluoro Flower
(Светится в ультрафиолете)</t>
  </si>
  <si>
    <t>35-141</t>
  </si>
  <si>
    <t>Flower Power 
(Светится в ультрафиолете)</t>
  </si>
  <si>
    <t>34-141</t>
  </si>
  <si>
    <t>35-1540</t>
  </si>
  <si>
    <t>Гармония
(Светится в темноте и ультрафиолете)</t>
  </si>
  <si>
    <t>34-1540</t>
  </si>
  <si>
    <t>14-136</t>
  </si>
  <si>
    <t xml:space="preserve">Club Zone 
(Светится в темноте и ультрафиолете) </t>
  </si>
  <si>
    <t>35-136</t>
  </si>
  <si>
    <t>34-136</t>
  </si>
  <si>
    <t>28-7503</t>
  </si>
  <si>
    <t>Трубка мира
(Светится в ультрафиолете)</t>
  </si>
  <si>
    <t>28-7648</t>
  </si>
  <si>
    <t>Mr. Mystic</t>
  </si>
  <si>
    <t>35-3648</t>
  </si>
  <si>
    <t>Mr. Mystic
(Светится в ультрафиолете)</t>
  </si>
  <si>
    <t>35-8648</t>
  </si>
  <si>
    <t>14-2640</t>
  </si>
  <si>
    <t>Rainbow Tiger
(Светится в ультрафиолете)</t>
  </si>
  <si>
    <t>35-2640</t>
  </si>
  <si>
    <t>фото</t>
  </si>
  <si>
    <t>28-2605</t>
  </si>
  <si>
    <t>James Roper Rapture</t>
  </si>
  <si>
    <t>14-2605</t>
  </si>
  <si>
    <t>14-2579</t>
  </si>
  <si>
    <t>London Free Ride 
(Светится в ультрафиолете)</t>
  </si>
  <si>
    <t>14-3643</t>
  </si>
  <si>
    <t>RIO
(Светится в ультрафиолете)</t>
  </si>
  <si>
    <t>14-3643-1</t>
  </si>
  <si>
    <t>14-5643</t>
  </si>
  <si>
    <t>35-6643</t>
  </si>
  <si>
    <t>Голубой</t>
  </si>
  <si>
    <t>14-218</t>
  </si>
  <si>
    <t>Victory 
(Светится в темноте и ультрафиолете)</t>
  </si>
  <si>
    <t>35-518</t>
  </si>
  <si>
    <t>Розовый</t>
  </si>
  <si>
    <t>14-3615</t>
  </si>
  <si>
    <t>SKATER
(Светится в ультрафиолете)</t>
  </si>
  <si>
    <t>14-392</t>
  </si>
  <si>
    <t>PEACE LOVE UNITY RESPECT 
(Светится в ультрафиолете)</t>
  </si>
  <si>
    <t>14-144</t>
  </si>
  <si>
    <t>GOOD LUCK 
(Светится в темноте и ультрафиолете)</t>
  </si>
  <si>
    <t>14-1603</t>
  </si>
  <si>
    <t>Авто-Мото-Вело-Фото 
(Светится в темноте и ультрафиолете)</t>
  </si>
  <si>
    <t>14-1619</t>
  </si>
  <si>
    <t>Сalifornication
(Светится в темноте и ультрафиолете)</t>
  </si>
  <si>
    <t>14-248</t>
  </si>
  <si>
    <t>GOOD Мagic trip 
(Светится в ультрафиолете)</t>
  </si>
  <si>
    <t>14-2531</t>
  </si>
  <si>
    <t>FUTURE SOUND from UNIVERSE 
(Светится в темноте и ультрафиолете)</t>
  </si>
  <si>
    <t>14-2532</t>
  </si>
  <si>
    <t>ПАНК 
(Светится в темноте и ультрафиолете)</t>
  </si>
  <si>
    <t>14-2578</t>
  </si>
  <si>
    <t>FULL DISTORTION
(Светится в ультрафиолете)</t>
  </si>
  <si>
    <t>28-5578</t>
  </si>
  <si>
    <t>14-285</t>
  </si>
  <si>
    <t>DJ IN THE MIX 
(Светится в ультрафиолете)</t>
  </si>
  <si>
    <t>14-296</t>
  </si>
  <si>
    <r>
      <t>SPACE CAT
(</t>
    </r>
    <r>
      <rPr>
        <sz val="10"/>
        <color indexed="12"/>
        <rFont val="Arial Cyr"/>
        <charset val="204"/>
      </rPr>
      <t>Дизайн МЕНЯЕТ ЦВЕТ;</t>
    </r>
    <r>
      <rPr>
        <sz val="10"/>
        <rFont val="Arial Cyr"/>
        <charset val="204"/>
      </rPr>
      <t xml:space="preserve">
светится в темноте и ультрафиолете)</t>
    </r>
  </si>
  <si>
    <t>14-496</t>
  </si>
  <si>
    <t>45-896</t>
  </si>
  <si>
    <t>Футболка женская рукав-фонарик</t>
  </si>
  <si>
    <t>14-3508</t>
  </si>
  <si>
    <t>POWER UP 
(Светится в темноте и ультрафиолете)</t>
  </si>
  <si>
    <t>14-3625</t>
  </si>
  <si>
    <t>TIME LOOP 
(Светится в темноте и ультрафиолете)</t>
  </si>
  <si>
    <t>Красный</t>
  </si>
  <si>
    <t>14-938</t>
  </si>
  <si>
    <t>ILLUSION 
(Рисунок движется! Светится в темноте и ультрафиолете)</t>
  </si>
  <si>
    <t>Фиолетовый</t>
  </si>
  <si>
    <t>45-938</t>
  </si>
  <si>
    <t>38-4536</t>
  </si>
  <si>
    <t>Faces
(спецэффект — Блестки; художественная обработка)</t>
  </si>
  <si>
    <t>Футболка женская комбинированная</t>
  </si>
  <si>
    <t>38-4541</t>
  </si>
  <si>
    <t>PEACE JOY PROSPERITY</t>
  </si>
  <si>
    <t>41-374</t>
  </si>
  <si>
    <t>Ганеш 
(Светится в ультрафиолете)</t>
  </si>
  <si>
    <t>41-379</t>
  </si>
  <si>
    <t>Skull
(Светится в ультрафиолете + спецэффект-Пуфф)</t>
  </si>
  <si>
    <t>64-357</t>
  </si>
  <si>
    <t>SAVE ME</t>
  </si>
  <si>
    <t>Футболка женская с глубоким вырезом рукав-ласточкой</t>
  </si>
  <si>
    <t>64-457</t>
  </si>
  <si>
    <t>A-14-701</t>
  </si>
  <si>
    <t>Mahakala 
(Светится в ультрафиолете)</t>
  </si>
  <si>
    <t>Acid Wear</t>
  </si>
  <si>
    <t>14-173</t>
  </si>
  <si>
    <t>FUCK FASHION 
(Светится в ультрафиолете)</t>
  </si>
  <si>
    <t>34-1574</t>
  </si>
  <si>
    <t>SPACE DIVE
(Светится в ультрафиолете)</t>
  </si>
  <si>
    <t>34-1501</t>
  </si>
  <si>
    <t>People of undeground 
(Светится в ультрафиолете)</t>
  </si>
  <si>
    <t>35-1587</t>
  </si>
  <si>
    <t>34-1587</t>
  </si>
  <si>
    <t>PARTY ISLAND 
(Светится в темноте и ультрафиолете)</t>
  </si>
  <si>
    <t>14-1637</t>
  </si>
  <si>
    <t>X-FUCK
(Светится в темноте и ультрафиолете)</t>
  </si>
  <si>
    <t>14-1639</t>
  </si>
  <si>
    <t>X-OK
(Светится в темноте и ультрафиолете)</t>
  </si>
  <si>
    <t>35-121</t>
  </si>
  <si>
    <t>34-121</t>
  </si>
  <si>
    <t>14-1543</t>
  </si>
  <si>
    <t>BLACK JACK 
(Светится в ультрафиолете)</t>
  </si>
  <si>
    <t>35-1543</t>
  </si>
  <si>
    <t>34-1559</t>
  </si>
  <si>
    <t>14-1560</t>
  </si>
  <si>
    <t>Full Power 2
(Светится в темноте и ультрафиолете)</t>
  </si>
  <si>
    <t>34-1569</t>
  </si>
  <si>
    <t>34-1570</t>
  </si>
  <si>
    <t>14-1574</t>
  </si>
  <si>
    <t>14-1509</t>
  </si>
  <si>
    <t>Full Power 
(Светится в темноте и ультрафиолете)</t>
  </si>
  <si>
    <t>14-1529</t>
  </si>
  <si>
    <t>Yoda
(Светится в темноте и ультрафиолете)</t>
  </si>
  <si>
    <t>14-1529-1</t>
  </si>
  <si>
    <t>14-1612</t>
  </si>
  <si>
    <t>ALIEN MIND
(Светится в темноте и ультрафиолете)</t>
  </si>
  <si>
    <t>36-1612</t>
  </si>
  <si>
    <t>14-1626</t>
  </si>
  <si>
    <t>Dark City
(Светится в темноте и ультрафиолете)</t>
  </si>
  <si>
    <t>34-197</t>
  </si>
  <si>
    <t>35-2605</t>
  </si>
  <si>
    <t>14-2620</t>
  </si>
  <si>
    <t>14-3580</t>
  </si>
  <si>
    <t>14-3641</t>
  </si>
  <si>
    <t>Save the World 
(Светится в темноте и ультрафиолете)</t>
  </si>
  <si>
    <t>35-7641</t>
  </si>
  <si>
    <t>Шоколад</t>
  </si>
  <si>
    <t>14-7641</t>
  </si>
  <si>
    <t>14-7641-1</t>
  </si>
  <si>
    <t>14-5504</t>
  </si>
  <si>
    <t>iBot 
(Светится в темноте и ультрафиолете)</t>
  </si>
  <si>
    <t>Синий</t>
  </si>
  <si>
    <t>14-9504</t>
  </si>
  <si>
    <t>28-4504</t>
  </si>
  <si>
    <t>14-9614</t>
  </si>
  <si>
    <t>3D GRAFFITI
(Светится в ультрафиолете)</t>
  </si>
  <si>
    <t>28-3584</t>
  </si>
  <si>
    <t>28-4568</t>
  </si>
  <si>
    <t>EMOTION
(Светится в ультрафиолете)</t>
  </si>
  <si>
    <t>28-549</t>
  </si>
  <si>
    <t>Surge 
(Светится в ультрафиолете)</t>
  </si>
  <si>
    <t>28-515</t>
  </si>
  <si>
    <t>35-7506</t>
  </si>
  <si>
    <t>Art Rodger 
(Спецэффект - Вытравка)</t>
  </si>
  <si>
    <t>35-717</t>
  </si>
  <si>
    <t>Shadow 
(спецэффект-Пуфф)</t>
  </si>
  <si>
    <t>14-5576</t>
  </si>
  <si>
    <t>28-4576</t>
  </si>
  <si>
    <t>35-4611</t>
  </si>
  <si>
    <t>Вишневый (бордовый)</t>
  </si>
  <si>
    <t>34-1505</t>
  </si>
  <si>
    <t>35-1505</t>
  </si>
  <si>
    <t>34-1505-1</t>
  </si>
  <si>
    <t>35-1505-1</t>
  </si>
  <si>
    <t>35-296</t>
  </si>
  <si>
    <r>
      <t>SPACE CAT
(</t>
    </r>
    <r>
      <rPr>
        <sz val="10"/>
        <color indexed="12"/>
        <rFont val="Arial Cyr"/>
        <charset val="204"/>
      </rPr>
      <t>Дизайн МЕНЯЕТ ЦВЕТ</t>
    </r>
    <r>
      <rPr>
        <sz val="10"/>
        <rFont val="Arial Cyr"/>
        <charset val="204"/>
      </rPr>
      <t>;
светится в темноте и ультрафиолете)</t>
    </r>
  </si>
  <si>
    <t>34-1572</t>
  </si>
  <si>
    <t>34-1543</t>
  </si>
  <si>
    <t>34-1577</t>
  </si>
  <si>
    <t>34-1581</t>
  </si>
  <si>
    <t>34-1582</t>
  </si>
  <si>
    <t>34-172</t>
  </si>
  <si>
    <t>34-173</t>
  </si>
  <si>
    <t>14-2DS</t>
  </si>
  <si>
    <t>DANCE SESSION 
(Светится в ультрафиолете)</t>
  </si>
  <si>
    <t>34-2DS</t>
  </si>
  <si>
    <t>34-204</t>
  </si>
  <si>
    <t>38-694</t>
  </si>
  <si>
    <t>Dream girl 
(спецэффект - Блестки)</t>
  </si>
  <si>
    <t>14-112</t>
  </si>
  <si>
    <t>Pop music
(Светится в ультрафиолете)</t>
  </si>
  <si>
    <t>34-3508-1</t>
  </si>
  <si>
    <t>11-258</t>
  </si>
  <si>
    <t>Bob Marley - One Love</t>
  </si>
  <si>
    <t>14-100</t>
  </si>
  <si>
    <t>Футболка GOOD</t>
  </si>
  <si>
    <t>Без дизайна</t>
  </si>
  <si>
    <t>14-101SG</t>
  </si>
  <si>
    <t>Everything is growing up to the sun
(Светится в ультрафиолете)</t>
  </si>
  <si>
    <t>14-102</t>
  </si>
  <si>
    <t>DARK SIDE 
(Светится в темноте и ультрафиолете + GOLD)</t>
  </si>
  <si>
    <t>14-102SG</t>
  </si>
  <si>
    <t>Медуза Горгона
(Светится в ультрафиолете)</t>
  </si>
  <si>
    <t>14-116</t>
  </si>
  <si>
    <t>SHAMANIX 
(Светится в ультрафиолете)</t>
  </si>
  <si>
    <t>14-117</t>
  </si>
  <si>
    <t>14-116-1</t>
  </si>
  <si>
    <t>14-123</t>
  </si>
  <si>
    <t>14-125</t>
  </si>
  <si>
    <t>Party people 
(Светится в темноте и ультрафиолете)</t>
  </si>
  <si>
    <t>14-125-1</t>
  </si>
  <si>
    <t>14-128</t>
  </si>
  <si>
    <t>NIGHT PARTY 
(Светится в ультрафиолете)</t>
  </si>
  <si>
    <t>14-130</t>
  </si>
  <si>
    <t>14-134</t>
  </si>
  <si>
    <t>Elvis lives 
(Светится в темноте и ультрафиолете)</t>
  </si>
  <si>
    <t>14-135</t>
  </si>
  <si>
    <t>ссылка на 
фото</t>
  </si>
  <si>
    <t>Большой Дракон 
(Светится в темноте и ультрафиолете)</t>
  </si>
  <si>
    <t>14-136-1</t>
  </si>
  <si>
    <t xml:space="preserve">Club Zone Lite
(Светится в темноте и ультрафиолете) </t>
  </si>
  <si>
    <t>14-138</t>
  </si>
  <si>
    <t>14-1504</t>
  </si>
  <si>
    <t>14-1506</t>
  </si>
  <si>
    <t>Art Rodger 
(Светится в ультрафиолете)</t>
  </si>
  <si>
    <t>14-1507</t>
  </si>
  <si>
    <t>Techno World 
(Светится в ультрафиолете)</t>
  </si>
  <si>
    <t>14-1520</t>
  </si>
  <si>
    <t>Born in the mix 
(Светится в темноте и ультрафиолете)</t>
  </si>
  <si>
    <t>14-1537</t>
  </si>
  <si>
    <t>Ё… 
(Светится в ультрафиолете)</t>
  </si>
  <si>
    <t>14-1537-1</t>
  </si>
  <si>
    <t>14-1508</t>
  </si>
  <si>
    <t>14-151</t>
  </si>
  <si>
    <t>Alien Pool 
(Светится в темноте и ультрафиолете)</t>
  </si>
  <si>
    <t>14-1512</t>
  </si>
  <si>
    <t>LOST IN MUSIC 
(Светится в темноте и ультрафиолете)</t>
  </si>
  <si>
    <t>14-1514</t>
  </si>
  <si>
    <t>Тату дракон
(Светится в темноте и ультрафиолете)</t>
  </si>
  <si>
    <t>14-1525</t>
  </si>
  <si>
    <t>Dream 
(спецэффект - Блестки)</t>
  </si>
  <si>
    <t>14-1526-1</t>
  </si>
  <si>
    <t>14-1532</t>
  </si>
  <si>
    <t>14-1535</t>
  </si>
  <si>
    <t>GOOD Сonnecting People
(Светится в темноте и ультрафиолете)</t>
  </si>
  <si>
    <t>14-1542</t>
  </si>
  <si>
    <t>We are in Space 
(Светится в ультрафиолете)</t>
  </si>
  <si>
    <t>14-1545</t>
  </si>
  <si>
    <t>GOOD BioniX 
(Светится в темноте и ультрафиолете)</t>
  </si>
  <si>
    <t>14-1608</t>
  </si>
  <si>
    <t>FIRST MAN IN SPACE 
(Светится в темноте и ультрафиолете)</t>
  </si>
  <si>
    <t>14-1594</t>
  </si>
  <si>
    <t>Sound Vision 
(Светится в темноте и ультрафиолете)</t>
  </si>
  <si>
    <t>14-1602</t>
  </si>
  <si>
    <t>Патронов не жалеть 
(Светится в темноте и ультрафиолете)</t>
  </si>
  <si>
    <t>14-1635</t>
  </si>
  <si>
    <t>Через терни к звездам
(Светится в темноте и ультрафиолете)</t>
  </si>
  <si>
    <t>14-169</t>
  </si>
  <si>
    <t>Zombies 
(спецэффекты - светится в темноте и ультрафиолете)</t>
  </si>
  <si>
    <t>14-175</t>
  </si>
  <si>
    <t>Genetic experiments 
(Светится в ультрафиолете)</t>
  </si>
  <si>
    <t>14-1556</t>
  </si>
  <si>
    <t>GOOD MATRIX 
(Светится в темноте и ультрафиолете)</t>
  </si>
  <si>
    <t>14-1584</t>
  </si>
  <si>
    <t>14-1585</t>
  </si>
  <si>
    <t>GOOD ENERGY MIX</t>
  </si>
  <si>
    <t>14-1586</t>
  </si>
  <si>
    <t>WAVES OF SOUND 
(Светится в темноте и ультрафиолете)</t>
  </si>
  <si>
    <t>14-1596</t>
  </si>
  <si>
    <t>X-SKULL 
(Светится в темноте и ультрафиолете)</t>
  </si>
  <si>
    <t>14-1598</t>
  </si>
  <si>
    <t>DJ at WORK 
(Светится в темноте и ультрафиолете)</t>
  </si>
  <si>
    <t>14-160</t>
  </si>
  <si>
    <t>GLOWING IN THE DARK 
(Светится в темноте и ультрафиолете + спецэффект - Блестки)</t>
  </si>
  <si>
    <t>14-1600</t>
  </si>
  <si>
    <t>Живьем не возьмете 
(Светится в темноте и ультрафиолете)</t>
  </si>
  <si>
    <t>14-1601</t>
  </si>
  <si>
    <t>Русские не сдаются 
(Светится в темноте и ультрафиолете)</t>
  </si>
  <si>
    <t>14-1607</t>
  </si>
  <si>
    <t>ГЕРБ РОССИИ
(Светится в темноте и ультрафиолете)</t>
  </si>
  <si>
    <t>14-1629</t>
  </si>
  <si>
    <t>Алкозайцер</t>
  </si>
  <si>
    <t>14-1630</t>
  </si>
  <si>
    <t>Welcome to russia</t>
  </si>
  <si>
    <t>14-1633</t>
  </si>
  <si>
    <t>No Drugs
(Мягкая печать водными красками)</t>
  </si>
  <si>
    <t>14-182</t>
  </si>
  <si>
    <t>Могу любое - 
ношу отечественное</t>
  </si>
  <si>
    <t>14-188</t>
  </si>
  <si>
    <t>New york city</t>
  </si>
  <si>
    <t>14-190</t>
  </si>
  <si>
    <t xml:space="preserve"> ICE FIRE 
(Светится в темноте и ультрафиолете)</t>
  </si>
  <si>
    <t>14-1TON</t>
  </si>
  <si>
    <t>Джокер</t>
  </si>
  <si>
    <t>TON</t>
  </si>
  <si>
    <t>14-200</t>
  </si>
  <si>
    <t>14-20B</t>
  </si>
  <si>
    <t>Вежливые люди</t>
  </si>
  <si>
    <t>14-207</t>
  </si>
  <si>
    <t>Британика 
(Светится в ультрафиолете)</t>
  </si>
  <si>
    <t>14-215</t>
  </si>
  <si>
    <t>14-217</t>
  </si>
  <si>
    <t>14-227</t>
  </si>
  <si>
    <t>LIVE SOUND 
(Светится в темноте и ультрафиолете)</t>
  </si>
  <si>
    <t>14-235</t>
  </si>
  <si>
    <t>Большой Дракон 
(Светится в ультрафиолете)</t>
  </si>
  <si>
    <t>14-249</t>
  </si>
  <si>
    <t>14-2508</t>
  </si>
  <si>
    <t>14-254</t>
  </si>
  <si>
    <t>14-2571</t>
  </si>
  <si>
    <t>Chupa-Chups 
(спецэффект - Блестки)</t>
  </si>
  <si>
    <t>14-259</t>
  </si>
  <si>
    <t>Freedom Live is GOOD</t>
  </si>
  <si>
    <t>14-2604</t>
  </si>
  <si>
    <t>Жизнь прекрасна 
(Светится в ультрафиолете)</t>
  </si>
  <si>
    <t>14-2615</t>
  </si>
  <si>
    <t>14-2628</t>
  </si>
  <si>
    <t>Johnny Depp</t>
  </si>
  <si>
    <t>14-2633</t>
  </si>
  <si>
    <t>14-2634</t>
  </si>
  <si>
    <t>BRAZIL
(Мягкая печать водными красками)</t>
  </si>
  <si>
    <t>14-298</t>
  </si>
  <si>
    <t>Cool Surfing 
(спецэффект-Перламутр)</t>
  </si>
  <si>
    <t>14-2VEG</t>
  </si>
  <si>
    <t>Eat Nobody</t>
  </si>
  <si>
    <t>14-3508-1</t>
  </si>
  <si>
    <t>14-3532</t>
  </si>
  <si>
    <t>14-3584</t>
  </si>
  <si>
    <t>14-3618</t>
  </si>
  <si>
    <t>NO FEAR 
(Светится в ультрафиолете)</t>
  </si>
  <si>
    <t>14-3636</t>
  </si>
  <si>
    <t>Hipster 3D
(3D-печать и светится в ультрафиолете)</t>
  </si>
  <si>
    <t>14-374</t>
  </si>
  <si>
    <t>14-379</t>
  </si>
  <si>
    <t>Skull 
(Светится в ультрафиолете + спецэффект-Пуфф)</t>
  </si>
  <si>
    <t>14-418</t>
  </si>
  <si>
    <t>14-427</t>
  </si>
  <si>
    <t>14-4504</t>
  </si>
  <si>
    <t>14-4531</t>
  </si>
  <si>
    <t>14-4568</t>
  </si>
  <si>
    <t>14-4597</t>
  </si>
  <si>
    <t>BE GOOD LIFE IS 
(Светится в темноте и ультрафиолете)</t>
  </si>
  <si>
    <t>14-4615</t>
  </si>
  <si>
    <t>14-4620</t>
  </si>
  <si>
    <t>14-4LC</t>
  </si>
  <si>
    <t>Lyapis Crew</t>
  </si>
  <si>
    <t>хлопок 100%</t>
  </si>
  <si>
    <t>14-501SG</t>
  </si>
  <si>
    <t>14-525</t>
  </si>
  <si>
    <t>Темно синий</t>
  </si>
  <si>
    <t>14-5508</t>
  </si>
  <si>
    <t>14-5528</t>
  </si>
  <si>
    <t>Super GOOD
(Светится в темноте и ультрафиолете)</t>
  </si>
  <si>
    <t>14-5532</t>
  </si>
  <si>
    <t>14-5539</t>
  </si>
  <si>
    <t>Темно серый</t>
  </si>
  <si>
    <t>14-5541</t>
  </si>
  <si>
    <t>14-5561</t>
  </si>
  <si>
    <t>Happy Halloween
(Светится в ультрафиолете)</t>
  </si>
  <si>
    <t>14-5564-1</t>
  </si>
  <si>
    <t>14-5568</t>
  </si>
  <si>
    <t>14-5584</t>
  </si>
  <si>
    <t>14-5597</t>
  </si>
  <si>
    <t>Антрацитовый</t>
  </si>
  <si>
    <t>14-5614</t>
  </si>
  <si>
    <t>14-5615</t>
  </si>
  <si>
    <t>14-5620</t>
  </si>
  <si>
    <t>14-5623</t>
  </si>
  <si>
    <t>14-5636</t>
  </si>
  <si>
    <t>14-6504</t>
  </si>
  <si>
    <t>Салатовый</t>
  </si>
  <si>
    <t>14-6508</t>
  </si>
  <si>
    <t>14-6532</t>
  </si>
  <si>
    <t>14-6618</t>
  </si>
  <si>
    <t>14-679</t>
  </si>
  <si>
    <t>14-682</t>
  </si>
  <si>
    <t>Орел</t>
  </si>
  <si>
    <t>14-749</t>
  </si>
  <si>
    <t>14-7506</t>
  </si>
  <si>
    <t>14-7539</t>
  </si>
  <si>
    <t>14-7561</t>
  </si>
  <si>
    <t>14-7573</t>
  </si>
  <si>
    <t>SEXY KILLER
(Светится в ультрафиолете)</t>
  </si>
  <si>
    <t>14-7580</t>
  </si>
  <si>
    <t>14-7584</t>
  </si>
  <si>
    <t>14-7611</t>
  </si>
  <si>
    <t>14-7614</t>
  </si>
  <si>
    <t>14-7512</t>
  </si>
  <si>
    <t>14-7622</t>
  </si>
  <si>
    <t>Matsuri
(Светится в ультрафиолете)</t>
  </si>
  <si>
    <t>14-3614</t>
  </si>
  <si>
    <t>14-792</t>
  </si>
  <si>
    <t>14-7LC</t>
  </si>
  <si>
    <t>14-8615</t>
  </si>
  <si>
    <t>14-8616</t>
  </si>
  <si>
    <r>
      <t>MASK OF LIES
(</t>
    </r>
    <r>
      <rPr>
        <sz val="10"/>
        <color indexed="12"/>
        <rFont val="Arial Cyr"/>
        <charset val="204"/>
      </rPr>
      <t>Дизайн МЕНЯЕТ ЦВЕТ;</t>
    </r>
    <r>
      <rPr>
        <sz val="10"/>
        <rFont val="Arial Cyr"/>
        <charset val="204"/>
      </rPr>
      <t xml:space="preserve">
светится в темноте и ультрафиолете)</t>
    </r>
  </si>
  <si>
    <t>14-879</t>
  </si>
  <si>
    <t>14-901SG</t>
  </si>
  <si>
    <t>14-909</t>
  </si>
  <si>
    <t>Crazy Dance DJ 
(Светится в темноте и ультрафиолете)</t>
  </si>
  <si>
    <t>14-922</t>
  </si>
  <si>
    <t>NEVER SLEEP 
(Светится в темноте и ультрафиолете)</t>
  </si>
  <si>
    <t>14-939</t>
  </si>
  <si>
    <t>ROCK'N'ROLL 
(спецэффект - Блестки)</t>
  </si>
  <si>
    <t>14-9506</t>
  </si>
  <si>
    <t>Art Rodger 
(Спецэффект - Серебро)</t>
  </si>
  <si>
    <t>14-9508</t>
  </si>
  <si>
    <t>14-9525</t>
  </si>
  <si>
    <t>14-9584</t>
  </si>
  <si>
    <t>14-988</t>
  </si>
  <si>
    <t>15-777</t>
  </si>
  <si>
    <t>GOOD vinyl division 
(Светится в ультрафиолете)</t>
  </si>
  <si>
    <t>16-1540</t>
  </si>
  <si>
    <t>16-136</t>
  </si>
  <si>
    <t xml:space="preserve">Club Zone - жен.длин.рук. 
(Светится в темноте и ультрафиолете) </t>
  </si>
  <si>
    <t>16-1559</t>
  </si>
  <si>
    <t>FULL MOON - жен.длин.рук.
(Светится в темноте и ультрафиолете)</t>
  </si>
  <si>
    <t>16-1566</t>
  </si>
  <si>
    <t>16-1583</t>
  </si>
  <si>
    <t>16-1587</t>
  </si>
  <si>
    <t>16-523</t>
  </si>
  <si>
    <t>ANGEL - жен.длин.рук. 
(спецэффект - Блестки)</t>
  </si>
  <si>
    <t>16-5512</t>
  </si>
  <si>
    <t>42-9672</t>
  </si>
  <si>
    <t>Толстовки женские</t>
  </si>
  <si>
    <t>20-119</t>
  </si>
  <si>
    <t>20-1505-1</t>
  </si>
  <si>
    <t>20-1530</t>
  </si>
  <si>
    <t>20-1566</t>
  </si>
  <si>
    <t>20-1569</t>
  </si>
  <si>
    <t>20-5572</t>
  </si>
  <si>
    <t>20-5621</t>
  </si>
  <si>
    <t>20-1621</t>
  </si>
  <si>
    <t>20-8584</t>
  </si>
  <si>
    <t>20-8615</t>
  </si>
  <si>
    <t>20-9625</t>
  </si>
  <si>
    <t>22-121</t>
  </si>
  <si>
    <t>22-123</t>
  </si>
  <si>
    <t>22-135</t>
  </si>
  <si>
    <t>22-136</t>
  </si>
  <si>
    <t xml:space="preserve">Club Zone - куртка 
(Светится в темноте и ультрафиолете) </t>
  </si>
  <si>
    <t>22-138</t>
  </si>
  <si>
    <t>22-140</t>
  </si>
  <si>
    <t>Urban moon 
(Светится в темноте и ультрафиолете)</t>
  </si>
  <si>
    <t>22-1512</t>
  </si>
  <si>
    <t>22-1519</t>
  </si>
  <si>
    <t>Life never die
(Фольгирование, Мягкий рисунок - вытравка, Светится в ультрафиолете)</t>
  </si>
  <si>
    <t>22-1530</t>
  </si>
  <si>
    <t>22-1574</t>
  </si>
  <si>
    <t>22-1595</t>
  </si>
  <si>
    <t>22-422</t>
  </si>
  <si>
    <t>22-427</t>
  </si>
  <si>
    <t>LIVE SOUND - куртка
(Светится в темноте и ультрафиолете)</t>
  </si>
  <si>
    <t>22-901SG</t>
  </si>
  <si>
    <t>Everything is growing up to the sun - куртка
(Светится в ультрафиолете)</t>
  </si>
  <si>
    <t>22-922</t>
  </si>
  <si>
    <t>22-938</t>
  </si>
  <si>
    <t>Magic Elephant
(Светится в ультрафиолете)</t>
  </si>
  <si>
    <t>Джемпер мужской однотонный</t>
  </si>
  <si>
    <t>Герб</t>
  </si>
  <si>
    <t>24-1520</t>
  </si>
  <si>
    <t>Футболка мужская однотонная с V-образным вырезом</t>
  </si>
  <si>
    <t>28-249</t>
  </si>
  <si>
    <t>28-349</t>
  </si>
  <si>
    <t>28-3503</t>
  </si>
  <si>
    <t>Трубка Мира 
(Светится в ультрафиолете)</t>
  </si>
  <si>
    <t>28-3532</t>
  </si>
  <si>
    <t>28-3545</t>
  </si>
  <si>
    <t>GAGARIN PARTY 
(Светится в ультрафиолете)</t>
  </si>
  <si>
    <t>28-3578</t>
  </si>
  <si>
    <t>28-3576</t>
  </si>
  <si>
    <t>Футболки подростковые</t>
  </si>
  <si>
    <t>28-379</t>
  </si>
  <si>
    <t>28-385</t>
  </si>
  <si>
    <t>28-396</t>
  </si>
  <si>
    <t>28-409</t>
  </si>
  <si>
    <t>28-417</t>
  </si>
  <si>
    <t>28-427</t>
  </si>
  <si>
    <t>28-427-1</t>
  </si>
  <si>
    <t>28-449</t>
  </si>
  <si>
    <t>28-504</t>
  </si>
  <si>
    <t>28-527</t>
  </si>
  <si>
    <t>28-558</t>
  </si>
  <si>
    <t>28-5615</t>
  </si>
  <si>
    <t>28-585</t>
  </si>
  <si>
    <t>GOD IS A DJ 
(Светится в темноте и ультрафиолете)</t>
  </si>
  <si>
    <t>28-6503</t>
  </si>
  <si>
    <t>28-6504</t>
  </si>
  <si>
    <t>28-6584</t>
  </si>
  <si>
    <t>Светло-зеленый</t>
  </si>
  <si>
    <t>28-6616</t>
  </si>
  <si>
    <t>28-674</t>
  </si>
  <si>
    <t>Ганеш 
(Светится в ультрафиолете + СТРАЗЫ!)</t>
  </si>
  <si>
    <t>30-1530</t>
  </si>
  <si>
    <t>Толстовка с молнией и светоотражателями</t>
  </si>
  <si>
    <t>30-1570</t>
  </si>
  <si>
    <t>30-172</t>
  </si>
  <si>
    <t>30-5564</t>
  </si>
  <si>
    <t>30-427</t>
  </si>
  <si>
    <t>30-123</t>
  </si>
  <si>
    <t>30-125</t>
  </si>
  <si>
    <t>30-128</t>
  </si>
  <si>
    <t>30-136</t>
  </si>
  <si>
    <t>30-1509</t>
  </si>
  <si>
    <t>30-1514</t>
  </si>
  <si>
    <t>30-1520</t>
  </si>
  <si>
    <t>30-1535</t>
  </si>
  <si>
    <t>30-1566</t>
  </si>
  <si>
    <t>30-1599</t>
  </si>
  <si>
    <t>30-190</t>
  </si>
  <si>
    <t>30-417</t>
  </si>
  <si>
    <t>30-4584</t>
  </si>
  <si>
    <t>30-5521</t>
  </si>
  <si>
    <t>Fluora Skin 
(Светится в ультрафиолете)</t>
  </si>
  <si>
    <t>30-598</t>
  </si>
  <si>
    <t>34-119</t>
  </si>
  <si>
    <t>32-1534</t>
  </si>
  <si>
    <t>Silence under water 
(Светится в ультрафиолете)</t>
  </si>
  <si>
    <t>Майки женские</t>
  </si>
  <si>
    <t>Майка женская, однотонная</t>
  </si>
  <si>
    <t>32-165</t>
  </si>
  <si>
    <t>Be in love 
(Светится в ультрафиолете)</t>
  </si>
  <si>
    <t>32-2534</t>
  </si>
  <si>
    <t>32-2543</t>
  </si>
  <si>
    <t>Маки 
(Светится в ультрафиолете)</t>
  </si>
  <si>
    <t>32-365</t>
  </si>
  <si>
    <t>35-100</t>
  </si>
  <si>
    <t>34-100</t>
  </si>
  <si>
    <t>34-101SG</t>
  </si>
  <si>
    <t>34-105</t>
  </si>
  <si>
    <t>EVE 
(спецэффекты - Перламутр + Светится в ультрафиолете)</t>
  </si>
  <si>
    <t>34-123</t>
  </si>
  <si>
    <t>34-125</t>
  </si>
  <si>
    <t>34-128</t>
  </si>
  <si>
    <t>34-130</t>
  </si>
  <si>
    <t>34-143</t>
  </si>
  <si>
    <t>Under the skin 
(спецэффект-Блестки)</t>
  </si>
  <si>
    <t>34-144</t>
  </si>
  <si>
    <t>34-1502</t>
  </si>
  <si>
    <t>FLUORO DEPTH 
(Светится в ультрафиолете)</t>
  </si>
  <si>
    <t>34-1511</t>
  </si>
  <si>
    <t xml:space="preserve">Music overflows my heart 
(Светится в ультрафиолете) </t>
  </si>
  <si>
    <t>34-1520</t>
  </si>
  <si>
    <t>Born in the mix
(Светится в темноте и ультрафиолете)</t>
  </si>
  <si>
    <t>34-1522</t>
  </si>
  <si>
    <t>Sparkling Beauty
(спецэффект - Блестки)</t>
  </si>
  <si>
    <t>34-1524</t>
  </si>
  <si>
    <t>Sweet Life
(спецэффект - Блестки)</t>
  </si>
  <si>
    <t>34-1526-2</t>
  </si>
  <si>
    <t>34-1529</t>
  </si>
  <si>
    <t>34-1529-1</t>
  </si>
  <si>
    <t>34-1556</t>
  </si>
  <si>
    <t>GOOD MATRIX
(Светится в ультрафиолете и ультрафиолете)</t>
  </si>
  <si>
    <t>34-1583</t>
  </si>
  <si>
    <t>IT`S PARTY TIME
 (Светится в темноте и ультрафиолете)</t>
  </si>
  <si>
    <t>34-1584</t>
  </si>
  <si>
    <t>34-1635</t>
  </si>
  <si>
    <t>34-165</t>
  </si>
  <si>
    <t>34-184</t>
  </si>
  <si>
    <t>PEACE 
(Светится в ультрафиолете)</t>
  </si>
  <si>
    <t>34-190</t>
  </si>
  <si>
    <t>35-200</t>
  </si>
  <si>
    <t>34-207</t>
  </si>
  <si>
    <t>34-227</t>
  </si>
  <si>
    <t>34-235</t>
  </si>
  <si>
    <t>34-248</t>
  </si>
  <si>
    <t>34-2508</t>
  </si>
  <si>
    <t>34-2531</t>
  </si>
  <si>
    <t>34-2532</t>
  </si>
  <si>
    <t>34-2536</t>
  </si>
  <si>
    <t>34-2543</t>
  </si>
  <si>
    <t>34-257</t>
  </si>
  <si>
    <t>34-2571</t>
  </si>
  <si>
    <t>34-258</t>
  </si>
  <si>
    <t>34-259</t>
  </si>
  <si>
    <t>34-265</t>
  </si>
  <si>
    <t>34-2628</t>
  </si>
  <si>
    <t>34-2633</t>
  </si>
  <si>
    <t>34-2634</t>
  </si>
  <si>
    <t>34-284</t>
  </si>
  <si>
    <t>34-296</t>
  </si>
  <si>
    <t>34-349</t>
  </si>
  <si>
    <t>34-3502</t>
  </si>
  <si>
    <t>34-3508</t>
  </si>
  <si>
    <t>34-357</t>
  </si>
  <si>
    <t>34-3611</t>
  </si>
  <si>
    <t>34-3614</t>
  </si>
  <si>
    <t>34-3618</t>
  </si>
  <si>
    <t>34-379</t>
  </si>
  <si>
    <t>34-384</t>
  </si>
  <si>
    <t>34-418</t>
  </si>
  <si>
    <t>34-4524</t>
  </si>
  <si>
    <t>34-4545</t>
  </si>
  <si>
    <t>34-530</t>
  </si>
  <si>
    <t>34-539</t>
  </si>
  <si>
    <t>34-5504</t>
  </si>
  <si>
    <t>34-5512</t>
  </si>
  <si>
    <t>34-5522</t>
  </si>
  <si>
    <t>34-5528</t>
  </si>
  <si>
    <t>Super GOOD 
(Светится в темноте и ультрафиолете)</t>
  </si>
  <si>
    <t>34-5532</t>
  </si>
  <si>
    <t>34-5538</t>
  </si>
  <si>
    <t>Magic Butterfly
(Светится в ультрафиолете + блестки)</t>
  </si>
  <si>
    <t>34-5539</t>
  </si>
  <si>
    <t>34-5541</t>
  </si>
  <si>
    <t>34-5568</t>
  </si>
  <si>
    <t>34-5597</t>
  </si>
  <si>
    <t>34-5611</t>
  </si>
  <si>
    <t>34-5623</t>
  </si>
  <si>
    <t>34-5625</t>
  </si>
  <si>
    <t>34-564</t>
  </si>
  <si>
    <t>Mystery of Good 
(Светится в ультрафиолете)</t>
  </si>
  <si>
    <t>Коралловый</t>
  </si>
  <si>
    <t>34-565</t>
  </si>
  <si>
    <t>34-6502</t>
  </si>
  <si>
    <t>34-6504</t>
  </si>
  <si>
    <t>34-6524</t>
  </si>
  <si>
    <t>34-657</t>
  </si>
  <si>
    <t>34-684</t>
  </si>
  <si>
    <t>34-749</t>
  </si>
  <si>
    <t>34-7524</t>
  </si>
  <si>
    <t>34-7539</t>
  </si>
  <si>
    <t>34-7573</t>
  </si>
  <si>
    <t>34-7584</t>
  </si>
  <si>
    <t>34-7611</t>
  </si>
  <si>
    <t>Какао</t>
  </si>
  <si>
    <t>34-7622</t>
  </si>
  <si>
    <t>34-843</t>
  </si>
  <si>
    <t>34-8524</t>
  </si>
  <si>
    <t>34-8584</t>
  </si>
  <si>
    <t>34-8615</t>
  </si>
  <si>
    <t>SKATER 
(Светится в ультрафиолете)</t>
  </si>
  <si>
    <t>34-901SG</t>
  </si>
  <si>
    <t>34-922</t>
  </si>
  <si>
    <t>34-938</t>
  </si>
  <si>
    <t>34-943</t>
  </si>
  <si>
    <t>34-9504</t>
  </si>
  <si>
    <t>34-9508</t>
  </si>
  <si>
    <t>34-9525</t>
  </si>
  <si>
    <t>34-9584</t>
  </si>
  <si>
    <t>34-9611</t>
  </si>
  <si>
    <t>34-972</t>
  </si>
  <si>
    <t>35-379</t>
  </si>
  <si>
    <t>35-374</t>
  </si>
  <si>
    <t>35-5538</t>
  </si>
  <si>
    <t>35-5641</t>
  </si>
  <si>
    <t>35-6538</t>
  </si>
  <si>
    <t>35-842</t>
  </si>
  <si>
    <t>Get ready - Рerformance 
(спецэффект-Пуфф)</t>
  </si>
  <si>
    <t>36-9625</t>
  </si>
  <si>
    <t>36-922</t>
  </si>
  <si>
    <t>NEVER SLEEP - длин. рукав 
(Светится в темноте и ультрафиолете)</t>
  </si>
  <si>
    <t>36-170</t>
  </si>
  <si>
    <t>36-289</t>
  </si>
  <si>
    <t>36-172</t>
  </si>
  <si>
    <t>Music my religion - длин. рукав 
(Светится в ультрафиолете)</t>
  </si>
  <si>
    <t>36-227</t>
  </si>
  <si>
    <t>LIVE SOUND - длин. рукав 
(Светится в темноте и ультрафиолете)</t>
  </si>
  <si>
    <t>36-1584</t>
  </si>
  <si>
    <t>36-1559</t>
  </si>
  <si>
    <t>FULL MOON - длин. рукав
(Светится в темноте и ультрафиолете)</t>
  </si>
  <si>
    <t>36-1570</t>
  </si>
  <si>
    <t>36-101SG</t>
  </si>
  <si>
    <t>36-102SG</t>
  </si>
  <si>
    <t>36-128</t>
  </si>
  <si>
    <t>NIGHT PARTY - длин. рукав
(Светится в ультрафиолете)</t>
  </si>
  <si>
    <t>36-136</t>
  </si>
  <si>
    <t xml:space="preserve">Club Zone - длин. рукав
(Светится в темноте и ультрафиолете) </t>
  </si>
  <si>
    <t>36-1501</t>
  </si>
  <si>
    <t>36-1509</t>
  </si>
  <si>
    <t>36-151</t>
  </si>
  <si>
    <t>36-1512</t>
  </si>
  <si>
    <t>LOST IN MUSIC - длин. рукав
(Светится в темноте и ультрафиолете)</t>
  </si>
  <si>
    <t>36-1514</t>
  </si>
  <si>
    <t>36-1520</t>
  </si>
  <si>
    <t>36-1525</t>
  </si>
  <si>
    <t>DREAM - длин. рукав 
(спецэффект - Блестки)</t>
  </si>
  <si>
    <t>36-1535</t>
  </si>
  <si>
    <t>36-1539</t>
  </si>
  <si>
    <t>36-1542</t>
  </si>
  <si>
    <t>We are in Space - длин. рукав 
(Светится в ультрафиолете)</t>
  </si>
  <si>
    <t>36-1543</t>
  </si>
  <si>
    <t>BLACK JACK - длин. рукав 
(Светится в ультрафиолете)</t>
  </si>
  <si>
    <t>36-1544</t>
  </si>
  <si>
    <t>GOOD ENERGY - длин. рукав 
(Светится в темноте и ультрафиолете)</t>
  </si>
  <si>
    <t>36-1560</t>
  </si>
  <si>
    <t>Full Power 2 - длин. рукав
(Светится в темноте и ультрафиолете)</t>
  </si>
  <si>
    <t>36-1569</t>
  </si>
  <si>
    <t>36-1572</t>
  </si>
  <si>
    <t>36-1581</t>
  </si>
  <si>
    <t>36-1583</t>
  </si>
  <si>
    <t>36-1587</t>
  </si>
  <si>
    <t>36-1599</t>
  </si>
  <si>
    <t>36-1621</t>
  </si>
  <si>
    <t>36-1623</t>
  </si>
  <si>
    <t>36-1624</t>
  </si>
  <si>
    <t>36-160</t>
  </si>
  <si>
    <t>GLOWING IN THE DARK - длин. рукав 
(Светится в темноте и ультрафиолете + спецэффект - Блестки)</t>
  </si>
  <si>
    <t>36-2545</t>
  </si>
  <si>
    <t>GAGARIN PARTY - длин. рукав 
(Светится в ультрафиолете)</t>
  </si>
  <si>
    <t>36-2584</t>
  </si>
  <si>
    <t>36-519</t>
  </si>
  <si>
    <t>36-5504</t>
  </si>
  <si>
    <t>36-827</t>
  </si>
  <si>
    <t>36-8505</t>
  </si>
  <si>
    <t>36-8512</t>
  </si>
  <si>
    <t>LOST IN MUSIC - длин. рукав 
(Светится в темноте и ультрафиолете)</t>
  </si>
  <si>
    <t>36-9504</t>
  </si>
  <si>
    <t>iBot - длин. рукав 
(Светится в темноте и ультрафиолете)</t>
  </si>
  <si>
    <t>36-9512</t>
  </si>
  <si>
    <t>38-3541</t>
  </si>
  <si>
    <t>38-357</t>
  </si>
  <si>
    <t>38-3571</t>
  </si>
  <si>
    <t>38-3584</t>
  </si>
  <si>
    <t>38-3620</t>
  </si>
  <si>
    <t>38-417</t>
  </si>
  <si>
    <t>38-427</t>
  </si>
  <si>
    <t>38-449</t>
  </si>
  <si>
    <t>38-4505</t>
  </si>
  <si>
    <t>38-4568</t>
  </si>
  <si>
    <t>38-6533</t>
  </si>
  <si>
    <t>Wild girl 
(спецэффект-Блестки)</t>
  </si>
  <si>
    <t>38-6541</t>
  </si>
  <si>
    <t>38-6584</t>
  </si>
  <si>
    <t>38-8531</t>
  </si>
  <si>
    <t>38-8925</t>
  </si>
  <si>
    <t>40-1530</t>
  </si>
  <si>
    <t>40-1610</t>
  </si>
  <si>
    <t>40-9625</t>
  </si>
  <si>
    <t>41-3513</t>
  </si>
  <si>
    <t>FREESTYLING
(Светится в темноте и ультрафиолете)</t>
  </si>
  <si>
    <t>41-3580</t>
  </si>
  <si>
    <t>41-392</t>
  </si>
  <si>
    <t>41-4504</t>
  </si>
  <si>
    <t>41-4531</t>
  </si>
  <si>
    <t>FUTURE SOUND from UNIVERSE 
(Светится в ультрафиолете)</t>
  </si>
  <si>
    <t>41-4576</t>
  </si>
  <si>
    <t>41-492</t>
  </si>
  <si>
    <t>41-692</t>
  </si>
  <si>
    <t>42-123</t>
  </si>
  <si>
    <t>Толстовка женская с молнией однотонная</t>
  </si>
  <si>
    <t>42-136</t>
  </si>
  <si>
    <t xml:space="preserve">Club Zone - куртка
(Светится в темноте и ультрафиолете) </t>
  </si>
  <si>
    <t>42-143</t>
  </si>
  <si>
    <t>42-1559</t>
  </si>
  <si>
    <t>42-187</t>
  </si>
  <si>
    <t xml:space="preserve"> GOOD GLAM 2 
(Светится в ультрафиолете)</t>
  </si>
  <si>
    <t>42-190</t>
  </si>
  <si>
    <t xml:space="preserve"> ICE FIRE - куртка 
(Светится в темноте и ультрафиолете)</t>
  </si>
  <si>
    <t>42-423</t>
  </si>
  <si>
    <t>ANGEL - куртка
(спецэффект - Блестки)</t>
  </si>
  <si>
    <t>42-427</t>
  </si>
  <si>
    <t>LIVE SOUND - куртка 
(Светится в темноте и ультрафиолете)</t>
  </si>
  <si>
    <t>42-4531</t>
  </si>
  <si>
    <t>42-901SG</t>
  </si>
  <si>
    <t>42-923</t>
  </si>
  <si>
    <t>42-927</t>
  </si>
  <si>
    <t>42-938</t>
  </si>
  <si>
    <t>42-943</t>
  </si>
  <si>
    <t>42-9533</t>
  </si>
  <si>
    <t>Wild girl - куртка
(спецэффект-Блестки)</t>
  </si>
  <si>
    <t>43-181-C</t>
  </si>
  <si>
    <t>GOOD EXTRIM 
(Светится в темноте и ультрафиолете)</t>
  </si>
  <si>
    <t>Футболка мужская c майкой</t>
  </si>
  <si>
    <t>43-452-C</t>
  </si>
  <si>
    <t>Parkour</t>
  </si>
  <si>
    <t>43-753-C</t>
  </si>
  <si>
    <t>Dont stop sk8ers</t>
  </si>
  <si>
    <t>43-755-C</t>
  </si>
  <si>
    <t>Extrim smile</t>
  </si>
  <si>
    <t>43-181</t>
  </si>
  <si>
    <t>43-452</t>
  </si>
  <si>
    <t>43-753</t>
  </si>
  <si>
    <t>43-755</t>
  </si>
  <si>
    <t>44-1502</t>
  </si>
  <si>
    <t>44-1540</t>
  </si>
  <si>
    <t>44-1581</t>
  </si>
  <si>
    <t>44-2536</t>
  </si>
  <si>
    <t>44-2571</t>
  </si>
  <si>
    <t>44-3618</t>
  </si>
  <si>
    <t>Светло-желтый</t>
  </si>
  <si>
    <t>44-3620</t>
  </si>
  <si>
    <t>44-6502</t>
  </si>
  <si>
    <t>44-6543</t>
  </si>
  <si>
    <t>44-7541</t>
  </si>
  <si>
    <t>45-5512</t>
  </si>
  <si>
    <t>45-5524</t>
  </si>
  <si>
    <t>45-9510</t>
  </si>
  <si>
    <t>COME TOGETHER
(Дизайн из СТРАЗ!!!)</t>
  </si>
  <si>
    <t>46-1544</t>
  </si>
  <si>
    <t>Герб GOOD
(Светится в темноте и ультрафиолете; ткань - бамбуковое волокно)</t>
  </si>
  <si>
    <t>Футболка мужская однотонная с глубоким V-обр. вырезом</t>
  </si>
  <si>
    <t>бамбуковое волокно 95%, лайкра 5%</t>
  </si>
  <si>
    <t>46-285</t>
  </si>
  <si>
    <t>DJ IN THE MIX 
(Светится в ультрафиолете; ткань - бамбуковое волокно)</t>
  </si>
  <si>
    <t>46-4544</t>
  </si>
  <si>
    <t>46-9544</t>
  </si>
  <si>
    <t>14-1663-K</t>
  </si>
  <si>
    <t>14-1530-K</t>
  </si>
  <si>
    <t>14-5530-K</t>
  </si>
  <si>
    <t>14-1505-1-K</t>
  </si>
  <si>
    <t>14-119-K</t>
  </si>
  <si>
    <t>14-519-K</t>
  </si>
  <si>
    <t>14-121-K</t>
  </si>
  <si>
    <t>14-136-K</t>
  </si>
  <si>
    <t>14-536-K</t>
  </si>
  <si>
    <t>14-1559-K</t>
  </si>
  <si>
    <t>14-1570-K</t>
  </si>
  <si>
    <t>14-1572-K</t>
  </si>
  <si>
    <t>14-5624-K</t>
  </si>
  <si>
    <t>14-9625-K</t>
  </si>
  <si>
    <t>14-9660-K</t>
  </si>
  <si>
    <t>14-5539-K</t>
  </si>
  <si>
    <t>14-5614-K</t>
  </si>
  <si>
    <t>14-7622-K</t>
  </si>
  <si>
    <t>14-8615-K</t>
  </si>
  <si>
    <t>14-8616-K</t>
  </si>
  <si>
    <t>14-8664-K</t>
  </si>
  <si>
    <t>14-9614-K</t>
  </si>
  <si>
    <t>28-396-K</t>
  </si>
  <si>
    <t>50-1509</t>
  </si>
  <si>
    <t>Толстовка со светоотражателями без капюшона</t>
  </si>
  <si>
    <t>50-1510-C</t>
  </si>
  <si>
    <t>50-1617</t>
  </si>
  <si>
    <t>50-1544</t>
  </si>
  <si>
    <t>GOOD ENERGY - куртка 
(Светится в темноте и ультрафиолете)</t>
  </si>
  <si>
    <t>50-1566</t>
  </si>
  <si>
    <t>50-1587</t>
  </si>
  <si>
    <t>50-1595</t>
  </si>
  <si>
    <t>52-123</t>
  </si>
  <si>
    <t>52-136</t>
  </si>
  <si>
    <t>52-143</t>
  </si>
  <si>
    <t>52-1510-C</t>
  </si>
  <si>
    <t>COME TOGETHER - куртка
(Дизайн из СТРАЗ!!!)</t>
  </si>
  <si>
    <t>52-1511</t>
  </si>
  <si>
    <t>52-1518</t>
  </si>
  <si>
    <t>Magic sphere - куртка
(Спецэффекты: Светится в ультрафиолете, Объемный рисунок)</t>
  </si>
  <si>
    <t>52-1530</t>
  </si>
  <si>
    <t>52-1559</t>
  </si>
  <si>
    <t>52-227</t>
  </si>
  <si>
    <t>52-462</t>
  </si>
  <si>
    <t>Fly 
(спецэффект - Блестки)</t>
  </si>
  <si>
    <t>52-5522</t>
  </si>
  <si>
    <t>52-5564</t>
  </si>
  <si>
    <t>50-125</t>
  </si>
  <si>
    <t>53-5565</t>
  </si>
  <si>
    <t>REACTOR 
(Светится в ультрафиолете)</t>
  </si>
  <si>
    <t>Куртки трикотажные мужские утепленные с подкладкой</t>
  </si>
  <si>
    <t>хлопок 80%, полиэстер 20%; подкладка 100% хлопок</t>
  </si>
  <si>
    <t>53-7565</t>
  </si>
  <si>
    <t>54-136</t>
  </si>
  <si>
    <t>Толстовка с молнией однотонная, резная, 3-и кармана</t>
  </si>
  <si>
    <t>54-1512</t>
  </si>
  <si>
    <t>54-427</t>
  </si>
  <si>
    <t>54-4531</t>
  </si>
  <si>
    <t>FUTURE SOUND from UNIVERSE</t>
  </si>
  <si>
    <t>54-5514</t>
  </si>
  <si>
    <t>54-5564</t>
  </si>
  <si>
    <t>54-927</t>
  </si>
  <si>
    <t>LIVE SOUND  - куртка
(Светится в темноте и ультрафиолете)</t>
  </si>
  <si>
    <t>57-1544</t>
  </si>
  <si>
    <t>Куртка-плащ GOOD!</t>
  </si>
  <si>
    <t>Куртки зимние</t>
  </si>
  <si>
    <t>Куртка-плащ</t>
  </si>
  <si>
    <t>полиэстер 100%</t>
  </si>
  <si>
    <t>56-1545-C</t>
  </si>
  <si>
    <t>GOOD BioniX
(Светится в ультрафиолете)</t>
  </si>
  <si>
    <t>56-1556-C</t>
  </si>
  <si>
    <t>GOOD MATRIX
(Светится в ультрафиолете)</t>
  </si>
  <si>
    <t>56-1567-C</t>
  </si>
  <si>
    <t>GOOD Connect
(Светится в ультрафиолете)</t>
  </si>
  <si>
    <t>56-1545</t>
  </si>
  <si>
    <t>56-1556</t>
  </si>
  <si>
    <t>56-1567</t>
  </si>
  <si>
    <t>62-285</t>
  </si>
  <si>
    <t>Майки мужские - борцовки</t>
  </si>
  <si>
    <t>Майка мужская - борцовка, однотонная</t>
  </si>
  <si>
    <t>62-3544</t>
  </si>
  <si>
    <t>Герб GOOD
(Светится в темноте и ультрафиолете)</t>
  </si>
  <si>
    <t>64-3538</t>
  </si>
  <si>
    <t>64-3543</t>
  </si>
  <si>
    <t>64-4505</t>
  </si>
  <si>
    <t>64-4546</t>
  </si>
  <si>
    <t>BODY ART 
(Светится в ультрафиолете + блестки)</t>
  </si>
  <si>
    <t>64-523</t>
  </si>
  <si>
    <t>64-539</t>
  </si>
  <si>
    <t>ROCK 'N' ROLL 
(футболка с эффектом Vintage + фольгирование)</t>
  </si>
  <si>
    <t>64-5504</t>
  </si>
  <si>
    <t>64-5541</t>
  </si>
  <si>
    <t>64-939</t>
  </si>
  <si>
    <t>64-9538</t>
  </si>
  <si>
    <t>77-122</t>
  </si>
  <si>
    <t>City Parkour 
(спецэффекты: TOTAL-print, мягкая печать)</t>
  </si>
  <si>
    <t>NMNH</t>
  </si>
  <si>
    <t>77-124-C</t>
  </si>
  <si>
    <t>Zombie Music 
(спецэффекты: TOTAL-print, мягкая печать)</t>
  </si>
  <si>
    <t>77-170</t>
  </si>
  <si>
    <t>Plugging
(спецэффекты: TOTAL-print, мягкая печать)</t>
  </si>
  <si>
    <t>77-171-C</t>
  </si>
  <si>
    <t>Angry Koala
(спецэффект Hand Made)</t>
  </si>
  <si>
    <t>77-177-C</t>
  </si>
  <si>
    <t>Revolutionary Suicide
(спецэффекты: TOTAL-print, мягкая печать)</t>
  </si>
  <si>
    <t>77-187-C</t>
  </si>
  <si>
    <t>Miracle Robot
(спецэффект Hand Made)</t>
  </si>
  <si>
    <t>77-200-C</t>
  </si>
  <si>
    <t>Unidentified Animal
(спецэффект Hand Made)</t>
  </si>
  <si>
    <t>77-213</t>
  </si>
  <si>
    <t>GETDOWN
(спецэффекты: TOTAL-print, мягкая печать)</t>
  </si>
  <si>
    <t>77-252-C</t>
  </si>
  <si>
    <t>TV Robot
(спецэффект Hand Made)</t>
  </si>
  <si>
    <t>77-268</t>
  </si>
  <si>
    <t>Rabbit
(спецэффект Hand Made)</t>
  </si>
  <si>
    <t>77-89</t>
  </si>
  <si>
    <t>Bear
(спецэффект Hand Made)</t>
  </si>
  <si>
    <t>77-91-C</t>
  </si>
  <si>
    <t>Nibbler
(спецэффект Hand Made)</t>
  </si>
  <si>
    <t>77-96-C</t>
  </si>
  <si>
    <t>Yahoo
(спецэффект Hand Made)</t>
  </si>
  <si>
    <t>77-A-058-C</t>
  </si>
  <si>
    <t>Extortion girl
(спецэффекты: TOTAL-print, мягкая печать, фольгирование)</t>
  </si>
  <si>
    <t>77-EN-002-C</t>
  </si>
  <si>
    <t>Самурай 
(спецэффекты: TOTAL-print, мягкая печать, фольгирование)</t>
  </si>
  <si>
    <t>77-EN-129</t>
  </si>
  <si>
    <t>Emperor Eternity - Rose 
(спецэффекты: TOTAL-print, футболка с эффектом Vintage, Стразы!)</t>
  </si>
  <si>
    <t>77-EN-138-C</t>
  </si>
  <si>
    <t>Emperor Eternity - Сердце 
(спецэффекты: TOTAL-print, футболка с эффектом Vintage, фольгирование)</t>
  </si>
  <si>
    <t>77-EN-154-C</t>
  </si>
  <si>
    <t>Emperor Eternity - Skull 
(спецэффект-Стразы, футболка с эффектом Vintage)</t>
  </si>
  <si>
    <t>77-FNF-04-B</t>
  </si>
  <si>
    <t>Rolling Stones 
(футболка с эффектом Vintage + фольгирование)</t>
  </si>
  <si>
    <t>Майка женская однотонная ONE SIZE</t>
  </si>
  <si>
    <t>77-FNF-06-P-C</t>
  </si>
  <si>
    <t>Футболка женская однотонная ONE SIZE</t>
  </si>
  <si>
    <t>77-FNF-06-Y-C</t>
  </si>
  <si>
    <t>77-FNF-10-G</t>
  </si>
  <si>
    <t>Marilyn Monro 
(футболка с эффектом Vintage + TOTAL-print)</t>
  </si>
  <si>
    <t>77-P-007G</t>
  </si>
  <si>
    <t>SUPERHERO 
(спецэффекты: TOTAL-print, Стразы!)</t>
  </si>
  <si>
    <t>77-Pc40C-C</t>
  </si>
  <si>
    <t>Mushrooms 
(футболка с эффектом Vintage + TOTAL-print)</t>
  </si>
  <si>
    <t>77-Pc43B-C</t>
  </si>
  <si>
    <t>Saxophone 
(футболка с эффектом Vintage + TOTAL-print)</t>
  </si>
  <si>
    <t>77-Pc43W-C</t>
  </si>
  <si>
    <t>77-PcW5B-C</t>
  </si>
  <si>
    <t>77-PcW5C</t>
  </si>
  <si>
    <t>77-RM-008-C</t>
  </si>
  <si>
    <t>Tubing 
(спецэффекты: TOTAL-print, мягкая печать, фольгирование)</t>
  </si>
  <si>
    <t>77-VM-101-B-C</t>
  </si>
  <si>
    <t>BACK OFF 
(футболка с эффектом Vintage)</t>
  </si>
  <si>
    <t>Футболка мужская однотонная ONE SIZE</t>
  </si>
  <si>
    <t>77-VM-101-O-C</t>
  </si>
  <si>
    <t>77-VM-215-B-C</t>
  </si>
  <si>
    <t>Mick Jagger 
(футболка с эффектом Vintage)</t>
  </si>
  <si>
    <t>77-VM-215-G-C</t>
  </si>
  <si>
    <t>77-VW-098-P</t>
  </si>
  <si>
    <t>SMURFS 
(футболка с эффектом Vintage)</t>
  </si>
  <si>
    <t>77-VW-106-B-C</t>
  </si>
  <si>
    <t>Marilyn Monro 
(футболка с эффектом Vintage)</t>
  </si>
  <si>
    <t>77-VW-106-P-C</t>
  </si>
  <si>
    <t>77-VW-121-B</t>
  </si>
  <si>
    <t>SMURF 
(футболка с эффектом Vintage)</t>
  </si>
  <si>
    <t>77-VW-121-G-C</t>
  </si>
  <si>
    <t>77-VW-213-R</t>
  </si>
  <si>
    <t>77-VW-229-G-C</t>
  </si>
  <si>
    <t>BURN GIRL 
(футболка с эффектом Vintage)</t>
  </si>
  <si>
    <t>77-VW-229-P-C</t>
  </si>
  <si>
    <t>77-WL-013-C</t>
  </si>
  <si>
    <t>Skull 
(спецэффекты: TOTAL-print, мягкая печать)</t>
  </si>
  <si>
    <t>77-WL-017-C</t>
  </si>
  <si>
    <t>Skull-Robot 
(спецэффекты: TOTAL-print, мягкая печать)</t>
  </si>
  <si>
    <t>77-WL-034</t>
  </si>
  <si>
    <t>Line of Music 
(спецэффекты: TOTAL-print, мягкая печать)</t>
  </si>
  <si>
    <t>77-WL-051</t>
  </si>
  <si>
    <t>Collage 
(спецэффекты: TOTAL-print, мягкая печать)</t>
  </si>
  <si>
    <t>79-249</t>
  </si>
  <si>
    <t>Бейсболки</t>
  </si>
  <si>
    <t>Бейсболка с регулируемой металлической застежкой.</t>
  </si>
  <si>
    <t>Бейсболка</t>
  </si>
  <si>
    <t>79-5528</t>
  </si>
  <si>
    <t>SUPER GOOD 
(Светится в ультрафиолете
+ объемная печать)</t>
  </si>
  <si>
    <t>79-5528-1</t>
  </si>
  <si>
    <t>SUPER GOOD со звездами 
(Светится в ультрафиолете
+ объемная печать)</t>
  </si>
  <si>
    <t>80-14-108</t>
  </si>
  <si>
    <t>Ayamandala
(Светится в темноте и ультрафиолете)</t>
  </si>
  <si>
    <t>YANTRA</t>
  </si>
  <si>
    <t>80-14-109</t>
  </si>
  <si>
    <t>One God
(Светится в темноте и ультрафиолете)</t>
  </si>
  <si>
    <t>80-14-110-C</t>
  </si>
  <si>
    <t>Sadhu
(Светится в темноте и ультрафиолете)</t>
  </si>
  <si>
    <t>80-14-710-C</t>
  </si>
  <si>
    <t>81-1545</t>
  </si>
  <si>
    <t>GOOD BioniX</t>
  </si>
  <si>
    <t>Шапки</t>
  </si>
  <si>
    <t>Шапка зимняя мужская утепленная (размер 58)</t>
  </si>
  <si>
    <t>полиэстер на утеплителе, отделка - высококачественный искусственный мех, подкладка из 100%-го хлопка</t>
  </si>
  <si>
    <t>81-1562</t>
  </si>
  <si>
    <t>Carbon</t>
  </si>
  <si>
    <t>81-1589</t>
  </si>
  <si>
    <t>3D Vision</t>
  </si>
  <si>
    <t>81-1590</t>
  </si>
  <si>
    <t>QR CODE</t>
  </si>
  <si>
    <t>81-1591</t>
  </si>
  <si>
    <t>Funny Monsters 2</t>
  </si>
  <si>
    <t>81-5588</t>
  </si>
  <si>
    <t>SPACE TRIBE</t>
  </si>
  <si>
    <t>81-5590</t>
  </si>
  <si>
    <t>81-5591</t>
  </si>
  <si>
    <t>81-7557</t>
  </si>
  <si>
    <t>Funny Monsters</t>
  </si>
  <si>
    <t>82-2592</t>
  </si>
  <si>
    <t>Panda</t>
  </si>
  <si>
    <t>Шапка зимняя женская утепленная (размер 56,58)</t>
  </si>
  <si>
    <t>82-6563</t>
  </si>
  <si>
    <t>Twisted Sky</t>
  </si>
  <si>
    <t>82-8516</t>
  </si>
  <si>
    <t>Snow Storm</t>
  </si>
  <si>
    <t>82-9558</t>
  </si>
  <si>
    <t>Winter Flower</t>
  </si>
  <si>
    <t>82-9590</t>
  </si>
  <si>
    <t>83-207</t>
  </si>
  <si>
    <t>Британика 
(спецэффект-Блестки)</t>
  </si>
  <si>
    <t>Сумки молодежные</t>
  </si>
  <si>
    <t xml:space="preserve">Двусторонняя сумка GOOD.
Цвет белый. Дизайн на лицевой стороне.
Длина - 40 см, ширина 43 - см, лямки - 25 см, дно - 10 см.
Внешний карман: ширини -20 см, глубина - 17 см.
Внутренний карман: вход -20 см, глубина - 17 см. </t>
  </si>
  <si>
    <t>83-2531</t>
  </si>
  <si>
    <t xml:space="preserve">Двусторонняя сумка GOOD.
Цвет белый. Дизайн на лицевой и обратной стороне.
Длина - 40 см, ширина 43 - см, лямки - 25 см, дно - 10 см.
Внешний карман: ширини -20 см, глубина - 17 см.
Внутренний карман: вход -20 см, глубина - 17 см. </t>
  </si>
  <si>
    <t>83-2533</t>
  </si>
  <si>
    <t>83-259</t>
  </si>
  <si>
    <t>83-5528</t>
  </si>
  <si>
    <t>SUPER GOOD 
(Светится в ультрафиолете)</t>
  </si>
  <si>
    <t xml:space="preserve">Двусторонняя сумка GOOD.
Дизайн на лицевой и обратной стороне.
Длина - 40 см, ширина 43 - см, лямки - 25 см, дно - 10 см.
Внешний карман: ширини -20 см, глубина - 17 см.
Внутренний карман: вход -20 см, глубина - 17 см. </t>
  </si>
  <si>
    <t>83-7524</t>
  </si>
  <si>
    <t xml:space="preserve">Двусторонняя сумка GOOD.
Цвет серый. Дизайн на лицевой стороне.
Длина - 40 см, ширина 43 - см, лямки - 25 см, дно - 10 см.
Внешний карман: ширини -20 см, глубина - 17 см.
Внутренний карман: вход -20 см, глубина - 17 см. </t>
  </si>
  <si>
    <t>83-7539</t>
  </si>
  <si>
    <t xml:space="preserve">Двусторонняя сумка GOOD.
Дизайн на лицевой стороне.
Длина - 40 см, ширина 43 - см, лямки - 25 см, дно - 10 см.
Внешний карман: ширини -20 см, глубина - 17 см.
Внутренний карман: вход -20 см, глубина - 17 см. </t>
  </si>
  <si>
    <t>83-9538</t>
  </si>
  <si>
    <t>84-6563</t>
  </si>
  <si>
    <t>Шапка зимняя женская утепленная (размер 56)</t>
  </si>
  <si>
    <t>84-8516</t>
  </si>
  <si>
    <t>84-9558</t>
  </si>
  <si>
    <t>85-128</t>
  </si>
  <si>
    <t>Цвет черный. Дизайн на лицевой стороне.
Длина - 40 см, ширина 40 - см, лямки - 25 см, дно - 10 см.</t>
  </si>
  <si>
    <t>полиэстр 100%</t>
  </si>
  <si>
    <t>85-136</t>
  </si>
  <si>
    <t>85-1530</t>
  </si>
  <si>
    <t>85-1532</t>
  </si>
  <si>
    <t>85-1559</t>
  </si>
  <si>
    <t>86-136-1</t>
  </si>
  <si>
    <t>Штаны</t>
  </si>
  <si>
    <t>-</t>
  </si>
  <si>
    <t>Штаны мужские</t>
  </si>
  <si>
    <t>86-1584</t>
  </si>
  <si>
    <t>86-285</t>
  </si>
  <si>
    <t>87-227</t>
  </si>
  <si>
    <t>LIVE SOUND</t>
  </si>
  <si>
    <t>Шорты молодежные</t>
  </si>
  <si>
    <t>Цвет белый, флюро-активный;
Глубокие карманы спереди и сзади.</t>
  </si>
  <si>
    <t>87-235</t>
  </si>
  <si>
    <t>Большой Дракон</t>
  </si>
  <si>
    <t>A-115</t>
  </si>
  <si>
    <t>Holy Fucking Shit</t>
  </si>
  <si>
    <t>Ё-ART</t>
  </si>
  <si>
    <t>A-117</t>
  </si>
  <si>
    <t>BR-711-12-C</t>
  </si>
  <si>
    <t>STAMP</t>
  </si>
  <si>
    <t>B-RICH</t>
  </si>
  <si>
    <t>BR-712-09-C</t>
  </si>
  <si>
    <t>Дева</t>
  </si>
  <si>
    <t>BR-712-11-C</t>
  </si>
  <si>
    <t>BR-720-12</t>
  </si>
  <si>
    <t>DJ</t>
  </si>
  <si>
    <t>CBW-1250-C</t>
  </si>
  <si>
    <t>CBW LOVE 
(Спецэффект - Блестящие пайетки)</t>
  </si>
  <si>
    <t>CIPO &amp; BAXX</t>
  </si>
  <si>
    <t>Футболка женская однотонная, рукав фонариком с завязочками</t>
  </si>
  <si>
    <t>вискоза 90%, лайкра 10%</t>
  </si>
  <si>
    <t>77-124</t>
  </si>
  <si>
    <t xml:space="preserve">Zombie Music </t>
  </si>
  <si>
    <t>77-171</t>
  </si>
  <si>
    <t>Angry Koala</t>
  </si>
  <si>
    <t>77-177</t>
  </si>
  <si>
    <t>Revolutionary Suicide</t>
  </si>
  <si>
    <t>77-187</t>
  </si>
  <si>
    <t>Miracle Robot</t>
  </si>
  <si>
    <t>77-200</t>
  </si>
  <si>
    <t>Unidentified Animal</t>
  </si>
  <si>
    <t>77-91</t>
  </si>
  <si>
    <t>Nibbler</t>
  </si>
  <si>
    <t>77-96</t>
  </si>
  <si>
    <t>Yahoo</t>
  </si>
  <si>
    <t>77-A-058</t>
  </si>
  <si>
    <t>Extortion girl</t>
  </si>
  <si>
    <t>77-EN-138</t>
  </si>
  <si>
    <t xml:space="preserve">Emperor Eternity - Сердце </t>
  </si>
  <si>
    <t>77-EN-154</t>
  </si>
  <si>
    <t xml:space="preserve">Emperor Eternity - Skull </t>
  </si>
  <si>
    <t>77-Pc43B</t>
  </si>
  <si>
    <t xml:space="preserve">Saxophone </t>
  </si>
  <si>
    <t>CD-NPW</t>
  </si>
  <si>
    <t>New Psychedelic Wave</t>
  </si>
  <si>
    <t>Аксессуары</t>
  </si>
  <si>
    <t>CD</t>
  </si>
  <si>
    <t>G-12-703</t>
  </si>
  <si>
    <t>Волна 
(Светится в темноте и ультрафиолете)</t>
  </si>
  <si>
    <t>Glookoraund</t>
  </si>
  <si>
    <t>G-14-101</t>
  </si>
  <si>
    <t>Восток 
(Светится в темноте и ультрафиолете)</t>
  </si>
  <si>
    <t>G-14-102</t>
  </si>
  <si>
    <t>Ганеш 
(Светится в темноте и ультрафиолете)</t>
  </si>
  <si>
    <t>G-14-602</t>
  </si>
  <si>
    <t>G-14-701</t>
  </si>
  <si>
    <t>G-34-101</t>
  </si>
  <si>
    <t>G-34-701</t>
  </si>
  <si>
    <t>C-136</t>
  </si>
  <si>
    <t>Club Zone</t>
  </si>
  <si>
    <t>Кружка керамическая, дизайн GOOD</t>
  </si>
  <si>
    <t>Кружки</t>
  </si>
  <si>
    <t>белый, обод и ручка - красный</t>
  </si>
  <si>
    <t>Керамика</t>
  </si>
  <si>
    <t>C-227</t>
  </si>
  <si>
    <t>Live Sound</t>
  </si>
  <si>
    <t>белый, обод и ручка - черный</t>
  </si>
  <si>
    <t>C-248</t>
  </si>
  <si>
    <t xml:space="preserve"> GOOD Мagic trip</t>
  </si>
  <si>
    <t>белый - целиком</t>
  </si>
  <si>
    <t>C-2579</t>
  </si>
  <si>
    <t>London Free Ride</t>
  </si>
  <si>
    <t>C-2605H</t>
  </si>
  <si>
    <r>
      <t xml:space="preserve">James Roper Rapture
</t>
    </r>
    <r>
      <rPr>
        <b/>
        <sz val="10"/>
        <rFont val="Arial Cyr"/>
        <charset val="204"/>
      </rPr>
      <t>(ХАМЕЛЕОН)</t>
    </r>
  </si>
  <si>
    <r>
      <t xml:space="preserve">Кружка керамическая </t>
    </r>
    <r>
      <rPr>
        <b/>
        <sz val="10"/>
        <rFont val="Arial Cyr"/>
        <charset val="204"/>
      </rPr>
      <t>ХАМЕЛЕОН</t>
    </r>
    <r>
      <rPr>
        <sz val="10"/>
        <rFont val="Arial Cyr"/>
        <charset val="204"/>
      </rPr>
      <t>, дизайн GOOD</t>
    </r>
  </si>
  <si>
    <t>хамелеон</t>
  </si>
  <si>
    <t>C-289</t>
  </si>
  <si>
    <t>100% URBAN</t>
  </si>
  <si>
    <t>белый, внутри и ручка - красный</t>
  </si>
  <si>
    <t>C-289H</t>
  </si>
  <si>
    <r>
      <t xml:space="preserve">100% URBAN
</t>
    </r>
    <r>
      <rPr>
        <b/>
        <sz val="10"/>
        <rFont val="Arial Cyr"/>
        <charset val="204"/>
      </rPr>
      <t>(ХАМЕЛЕОН)</t>
    </r>
  </si>
  <si>
    <t>C-4576</t>
  </si>
  <si>
    <t>They are not alone</t>
  </si>
  <si>
    <t>белый, внутри и ручка - черный</t>
  </si>
  <si>
    <t>C-4576H</t>
  </si>
  <si>
    <r>
      <t xml:space="preserve">They are not alone
</t>
    </r>
    <r>
      <rPr>
        <b/>
        <sz val="10"/>
        <rFont val="Arial Cyr"/>
        <charset val="204"/>
      </rPr>
      <t>(ХАМЕЛЕОН)</t>
    </r>
  </si>
  <si>
    <t>C-504</t>
  </si>
  <si>
    <t>iBot</t>
  </si>
  <si>
    <t>белый, обод и ручка - синий</t>
  </si>
  <si>
    <t>C-508</t>
  </si>
  <si>
    <t>POWER UP</t>
  </si>
  <si>
    <t>C-528</t>
  </si>
  <si>
    <t>SUPER GOOD</t>
  </si>
  <si>
    <t>C-531H</t>
  </si>
  <si>
    <r>
      <t xml:space="preserve">FUTURE SOUND from UNIVERSE
</t>
    </r>
    <r>
      <rPr>
        <b/>
        <sz val="10"/>
        <rFont val="Arial Cyr"/>
        <charset val="204"/>
      </rPr>
      <t>(ХАМЕЛЕОН)</t>
    </r>
  </si>
  <si>
    <t>C-568H</t>
  </si>
  <si>
    <r>
      <t xml:space="preserve">EMOTION
</t>
    </r>
    <r>
      <rPr>
        <b/>
        <sz val="10"/>
        <rFont val="Arial Cyr"/>
        <charset val="204"/>
      </rPr>
      <t>(ХАМЕЛЕОН)</t>
    </r>
  </si>
  <si>
    <t>C-584</t>
  </si>
  <si>
    <t>Sugar Skull</t>
  </si>
  <si>
    <t>C-614</t>
  </si>
  <si>
    <t>3D GRAFFITI</t>
  </si>
  <si>
    <t>C-620</t>
  </si>
  <si>
    <t>ZEBRA WAZZZUP</t>
  </si>
  <si>
    <t>C-938</t>
  </si>
  <si>
    <t>ILLUSION</t>
  </si>
  <si>
    <t>белый, обод и ручка - салатовый</t>
  </si>
  <si>
    <t>MK-001</t>
  </si>
  <si>
    <t>Колонка GOOD</t>
  </si>
  <si>
    <t>Колонки</t>
  </si>
  <si>
    <t>MK-002</t>
  </si>
  <si>
    <t>MK-003</t>
  </si>
  <si>
    <t>MK-004</t>
  </si>
  <si>
    <t>BMK</t>
  </si>
  <si>
    <t>Колонка GOOD
(в ассортименте)</t>
  </si>
  <si>
    <t>Mini bluetooth speaker</t>
  </si>
  <si>
    <t>В ассортименте</t>
  </si>
  <si>
    <t>RW-024-B</t>
  </si>
  <si>
    <t>Pants of the Future! 
(Черные с молниями)</t>
  </si>
  <si>
    <t>GOOD &amp; RW</t>
  </si>
  <si>
    <t>Штаны черные с молниями</t>
  </si>
  <si>
    <t>RW-033-G</t>
  </si>
  <si>
    <t>Pants of the Future! 
(Серые с вышивкой)</t>
  </si>
  <si>
    <t>Штаны серые с вышивкой</t>
  </si>
  <si>
    <t>RW-035-G</t>
  </si>
  <si>
    <t>Pants of the Future! 
(В ассортименте)</t>
  </si>
  <si>
    <t>Разные</t>
  </si>
  <si>
    <t>RW-U</t>
  </si>
  <si>
    <t>Юбка Радуга</t>
  </si>
  <si>
    <t>Юбка</t>
  </si>
  <si>
    <t>хлопок 100% (вильвет)</t>
  </si>
  <si>
    <t>RW-K</t>
  </si>
  <si>
    <t>Костюм Радуга</t>
  </si>
  <si>
    <t>Костюм</t>
  </si>
  <si>
    <t>RW-22-01</t>
  </si>
  <si>
    <t>Winter Imagination!
(Куртка утепленная)</t>
  </si>
  <si>
    <t>хлопок 80%, полиэстер 20%; подкладка флисовая</t>
  </si>
  <si>
    <t>RW-22-02</t>
  </si>
  <si>
    <t>RW-22-03</t>
  </si>
  <si>
    <t>Military Style
(Куртка утепленная)</t>
  </si>
  <si>
    <t>RW-42-01</t>
  </si>
  <si>
    <t>U-100</t>
  </si>
  <si>
    <t>Зонт GOOD</t>
  </si>
  <si>
    <t>Зонт</t>
  </si>
  <si>
    <t>H-105</t>
  </si>
  <si>
    <t>Напульсник 50 cent</t>
  </si>
  <si>
    <t>Напульсники</t>
  </si>
  <si>
    <t>H-116</t>
  </si>
  <si>
    <t>Напульсник Роттердамский террор</t>
  </si>
  <si>
    <t>H-204</t>
  </si>
  <si>
    <t>Напульсник ICQ</t>
  </si>
  <si>
    <t>H-206</t>
  </si>
  <si>
    <t>Напульсник Ниндзя</t>
  </si>
  <si>
    <t>H-212</t>
  </si>
  <si>
    <t>Напульсник Италия</t>
  </si>
  <si>
    <t>H-215</t>
  </si>
  <si>
    <t>MOD</t>
  </si>
  <si>
    <t>H-417</t>
  </si>
  <si>
    <t>Напульсник Команда Crew</t>
  </si>
  <si>
    <t>H-610</t>
  </si>
  <si>
    <t>Напульсник Розовая пантера</t>
  </si>
  <si>
    <t>H-711</t>
  </si>
  <si>
    <t>Напульсник Powell</t>
  </si>
  <si>
    <t>H-713</t>
  </si>
  <si>
    <t>Напульсник Бразилия</t>
  </si>
  <si>
    <t>H-920</t>
  </si>
  <si>
    <t>Напульсник GURU</t>
  </si>
  <si>
    <t>K-01</t>
  </si>
  <si>
    <t>Футболка мужская "Lion"</t>
  </si>
  <si>
    <t>SharK</t>
  </si>
  <si>
    <t>K-02</t>
  </si>
  <si>
    <t>Футболка женская "Lion"</t>
  </si>
  <si>
    <t>K-05</t>
  </si>
  <si>
    <t>Футболка мужская "Tezcatlipoca"</t>
  </si>
  <si>
    <t>K-09</t>
  </si>
  <si>
    <t>Футболка женская "Tezcatlipoca"</t>
  </si>
  <si>
    <t>вискоза 100%</t>
  </si>
  <si>
    <t>K-10</t>
  </si>
  <si>
    <t>Футболка женская "Tiger"</t>
  </si>
  <si>
    <t>хлопок 98%, лайкра 2%</t>
  </si>
  <si>
    <t>K-11</t>
  </si>
  <si>
    <t>Футболка мужская "Tiger"</t>
  </si>
  <si>
    <t>K-12</t>
  </si>
  <si>
    <t>K-13</t>
  </si>
  <si>
    <t>K-14</t>
  </si>
  <si>
    <t>Футболка женская "Nefertiti"</t>
  </si>
  <si>
    <t>K-17</t>
  </si>
  <si>
    <t>Футболка женская "Phoenix"</t>
  </si>
  <si>
    <t>K-18</t>
  </si>
  <si>
    <t>Футболка женская "Trip Flora"</t>
  </si>
  <si>
    <t>98% хлопок, 2% лайкра</t>
  </si>
  <si>
    <t>K-19</t>
  </si>
  <si>
    <t>K-20</t>
  </si>
  <si>
    <t>K-29</t>
  </si>
  <si>
    <t>Футболка мужская "WOLF"</t>
  </si>
  <si>
    <t>K-30</t>
  </si>
  <si>
    <t>Футболка женская "WOLF"</t>
  </si>
  <si>
    <t>K-33</t>
  </si>
  <si>
    <t>K-14-101</t>
  </si>
  <si>
    <t>Joker - Insane 
(Светится в темноте и ультрафиолете)</t>
  </si>
  <si>
    <t>K-14-102</t>
  </si>
  <si>
    <t>Волк 
(Светится в темноте и ультрафиолете)</t>
  </si>
  <si>
    <t>M-14-107</t>
  </si>
  <si>
    <t>Mospheric — Big City 
(ART.7 Black)</t>
  </si>
  <si>
    <t>Mospheric</t>
  </si>
  <si>
    <t>Футболка мужская</t>
  </si>
  <si>
    <t>M-14-401</t>
  </si>
  <si>
    <t>Mospheric — Big City 
(ART.1 Grey)</t>
  </si>
  <si>
    <t>M-14-407</t>
  </si>
  <si>
    <t>Mospheric — Big City 
(ART.7 Grey)</t>
  </si>
  <si>
    <t>M-34-204</t>
  </si>
  <si>
    <t>Mospheric — Big City 
(ART.4 Sky)</t>
  </si>
  <si>
    <t>Футболка женская</t>
  </si>
  <si>
    <t>M-44-403</t>
  </si>
  <si>
    <t>Mospheric — Big City 
(ART.3 Grey)</t>
  </si>
  <si>
    <t>Туника женская</t>
  </si>
  <si>
    <t>M-44-803</t>
  </si>
  <si>
    <t>Mospheric — Big City 
(ART.3 Pink)</t>
  </si>
  <si>
    <t>SG-001</t>
  </si>
  <si>
    <t>Мраморные джунгли</t>
  </si>
  <si>
    <t>SEVEN GREEN</t>
  </si>
  <si>
    <t>100% Хлопок</t>
  </si>
  <si>
    <t>SG-002</t>
  </si>
  <si>
    <t>Бирюзовый ромб</t>
  </si>
  <si>
    <t>SG-003</t>
  </si>
  <si>
    <t>Салатовый ромб</t>
  </si>
  <si>
    <t>SG-004</t>
  </si>
  <si>
    <t>4 Квадрата</t>
  </si>
  <si>
    <t>SG-005</t>
  </si>
  <si>
    <t>Татарский орнамент</t>
  </si>
  <si>
    <t>SG-005-1</t>
  </si>
  <si>
    <t>SG-006</t>
  </si>
  <si>
    <t>Девушка эльф</t>
  </si>
  <si>
    <t>SG-007</t>
  </si>
  <si>
    <t>Розовая готика</t>
  </si>
  <si>
    <t>SG-008</t>
  </si>
  <si>
    <t>Солнышко с клапаном</t>
  </si>
  <si>
    <t>SG-009</t>
  </si>
  <si>
    <t>Желтый цветок</t>
  </si>
  <si>
    <t>SG-010</t>
  </si>
  <si>
    <t>Лепесток (зеленый с фиолетовым)</t>
  </si>
  <si>
    <t>SG-011</t>
  </si>
  <si>
    <t>Лепесток (оранжевый с серым)</t>
  </si>
  <si>
    <t>SG-012</t>
  </si>
  <si>
    <t>Лепесток (фиолетовый с фиксией)</t>
  </si>
  <si>
    <t>SG-013</t>
  </si>
  <si>
    <t>Почта</t>
  </si>
  <si>
    <t>SG-014</t>
  </si>
  <si>
    <t>Африка</t>
  </si>
  <si>
    <t>SG-015</t>
  </si>
  <si>
    <t>Кобура (серый цвет)</t>
  </si>
  <si>
    <t>SG-016</t>
  </si>
  <si>
    <t>Кобура (бежевый цвет)</t>
  </si>
  <si>
    <t>SG-017</t>
  </si>
  <si>
    <t>Тигр</t>
  </si>
  <si>
    <t>SG-018</t>
  </si>
  <si>
    <t>Скат (сер.-роз.)</t>
  </si>
  <si>
    <t>SG-019</t>
  </si>
  <si>
    <t>Скат (шоколадный)</t>
  </si>
  <si>
    <t>SG-020</t>
  </si>
  <si>
    <t>Скат (кор.-оранж.)</t>
  </si>
  <si>
    <t>SG-021</t>
  </si>
  <si>
    <t>8 карманов (с зелеными карманами)</t>
  </si>
  <si>
    <t>SG-022</t>
  </si>
  <si>
    <t>8 карманов (с желтыми карманами)</t>
  </si>
  <si>
    <t>SG-023</t>
  </si>
  <si>
    <t>8 карманов (с розовыми карманами)</t>
  </si>
  <si>
    <t>SG-024</t>
  </si>
  <si>
    <t>SG-025</t>
  </si>
  <si>
    <t>REVIEW Newspaper</t>
  </si>
  <si>
    <t>SG-026</t>
  </si>
  <si>
    <t>Tasha</t>
  </si>
  <si>
    <t>SG-027</t>
  </si>
  <si>
    <t>PAPARIZZI</t>
  </si>
  <si>
    <t>SG-028</t>
  </si>
  <si>
    <t>Free Range</t>
  </si>
  <si>
    <t>SG-029</t>
  </si>
  <si>
    <t>Лесная братва (темн. корр.)</t>
  </si>
  <si>
    <t>SG-030</t>
  </si>
  <si>
    <t>Лесная братва (оранж. с фиолет.)</t>
  </si>
  <si>
    <t>SG-031</t>
  </si>
  <si>
    <t>Give PEACE a chance!</t>
  </si>
  <si>
    <t>SG-032</t>
  </si>
  <si>
    <t>Give PEACE a chance! (ручки корр. Цвета)</t>
  </si>
  <si>
    <t>SG-033-1</t>
  </si>
  <si>
    <t>Митенки
(Светится в ультрафиолете)</t>
  </si>
  <si>
    <t>SG-033-2</t>
  </si>
  <si>
    <t>SG-033-3</t>
  </si>
  <si>
    <t>SL-K-M-100</t>
  </si>
  <si>
    <t>Концентрат Pheromone 100% (мужской)</t>
  </si>
  <si>
    <t>Концентрат Pheromone</t>
  </si>
  <si>
    <t>Sexy Life</t>
  </si>
  <si>
    <t>SL-K-M-50</t>
  </si>
  <si>
    <t>Концентрат Pheromone 50% (мужской)</t>
  </si>
  <si>
    <t>SL-K-M-85</t>
  </si>
  <si>
    <t>Концентрат Pheromone 85% (мужской)</t>
  </si>
  <si>
    <t>SL-K-M-Pheromon</t>
  </si>
  <si>
    <t>Концентрат Pheromone 13мл (мужской)</t>
  </si>
  <si>
    <t>SL-K-W-100</t>
  </si>
  <si>
    <t>Концентрат Pheromone 100% (женский)</t>
  </si>
  <si>
    <t>SL-K-W-50</t>
  </si>
  <si>
    <t>Концентрат Pheromone 50% (женский)</t>
  </si>
  <si>
    <t>SL-K-W-85</t>
  </si>
  <si>
    <t>Концентрат Pheromone 85% (женский)</t>
  </si>
  <si>
    <t>SL-K-W-Pheromon</t>
  </si>
  <si>
    <t>Концентрат Pheromone 13мл (женский)</t>
  </si>
  <si>
    <t>SL-M-1</t>
  </si>
  <si>
    <t>№ 1 L'Eau par Kenzo</t>
  </si>
  <si>
    <t>Духи с феромонами</t>
  </si>
  <si>
    <t>SL-M-2</t>
  </si>
  <si>
    <t>№ 2 Egoiste Platinum</t>
  </si>
  <si>
    <t>SL-M-3</t>
  </si>
  <si>
    <t>№ 3 XS</t>
  </si>
  <si>
    <t>SL-M-4</t>
  </si>
  <si>
    <t>№ 4 Hugo Soul</t>
  </si>
  <si>
    <t>SL-M-5</t>
  </si>
  <si>
    <t>№ 5 Higher</t>
  </si>
  <si>
    <t>SL-M-6</t>
  </si>
  <si>
    <t>№ 6 Very Irresistible</t>
  </si>
  <si>
    <t>SL-M-7</t>
  </si>
  <si>
    <t>№ 7 Dolce&amp;Gabbana</t>
  </si>
  <si>
    <t>SL-M-8</t>
  </si>
  <si>
    <t>№ 8 Lacoste</t>
  </si>
  <si>
    <t>SL-M-9</t>
  </si>
  <si>
    <t>№ 9 Armani black code</t>
  </si>
  <si>
    <t>SL-M-10</t>
  </si>
  <si>
    <t>№10 Be Delicious DKNY</t>
  </si>
  <si>
    <t>SL-M-11</t>
  </si>
  <si>
    <t>№11 Del Mar (Baldessarini)</t>
  </si>
  <si>
    <t>SL-M-12</t>
  </si>
  <si>
    <t>№12 Lacoste Challenge</t>
  </si>
  <si>
    <t>SL-M-13</t>
  </si>
  <si>
    <t>№13 Hugo Boss</t>
  </si>
  <si>
    <t>SL-M-14</t>
  </si>
  <si>
    <t>№14 Aquamarine (Bvlgary)</t>
  </si>
  <si>
    <t>SL-M-15</t>
  </si>
  <si>
    <t>№15 L'Homme (YSL)</t>
  </si>
  <si>
    <t>SL-M-16</t>
  </si>
  <si>
    <t>№16 Allure Home Sport (Сhanel)</t>
  </si>
  <si>
    <t>SL-BS-1</t>
  </si>
  <si>
    <t>№1 CHERIE AMOUR</t>
  </si>
  <si>
    <t>SL-BS-2</t>
  </si>
  <si>
    <t>№2 ENIGMA</t>
  </si>
  <si>
    <t>SL-BS-3</t>
  </si>
  <si>
    <t>№3 EXOTIC FANTASY</t>
  </si>
  <si>
    <t>SL-BS-4</t>
  </si>
  <si>
    <t>№4 FASHION PARTY</t>
  </si>
  <si>
    <t>SL-BS-5-G</t>
  </si>
  <si>
    <t>№5 LIFE IS GOOD</t>
  </si>
  <si>
    <t>SL-BS-6</t>
  </si>
  <si>
    <t>№6 MAGIC QUEEN</t>
  </si>
  <si>
    <t>SL-BS-7</t>
  </si>
  <si>
    <t>№7 MORNING ANGEL</t>
  </si>
  <si>
    <t>SL-BS-8</t>
  </si>
  <si>
    <t>№8 ROSE GARDEN</t>
  </si>
  <si>
    <t>SL-BS-9</t>
  </si>
  <si>
    <t>№9 SILK HEART</t>
  </si>
  <si>
    <t>SL-BS-10</t>
  </si>
  <si>
    <t>№10 WOMAN CODE</t>
  </si>
  <si>
    <t>SL-NI-1</t>
  </si>
  <si>
    <t>№1 Chance Eau Fraiche</t>
  </si>
  <si>
    <t>SL-NI-2</t>
  </si>
  <si>
    <t>№2 Be Delicious Fresh Blossom</t>
  </si>
  <si>
    <t>SL-NI-3</t>
  </si>
  <si>
    <t>№3 Aqua di Gio</t>
  </si>
  <si>
    <t>SL-NI-4</t>
  </si>
  <si>
    <t>№4 Clinique Happy Heart</t>
  </si>
  <si>
    <t>SL-NI-5</t>
  </si>
  <si>
    <t>№5 Armani Code</t>
  </si>
  <si>
    <t>SL-NI-6</t>
  </si>
  <si>
    <t>№6 Ibiza Hippie</t>
  </si>
  <si>
    <t>SL-NI-7</t>
  </si>
  <si>
    <t>№7 Nina</t>
  </si>
  <si>
    <t>SL-NI-8</t>
  </si>
  <si>
    <t>№8 J'adore Eau de Perfume</t>
  </si>
  <si>
    <t>SL-NI-9</t>
  </si>
  <si>
    <t>№9 Addict 2 Eau Fraiche</t>
  </si>
  <si>
    <t>SL-NI-10</t>
  </si>
  <si>
    <t>№10 Cristalle (Chanel)</t>
  </si>
  <si>
    <t>SL-NI-M-1</t>
  </si>
  <si>
    <t>№1 Albert Sport (75 мл.)</t>
  </si>
  <si>
    <t>SL-NI-M-2</t>
  </si>
  <si>
    <t>№2 Baron (75 мл.)</t>
  </si>
  <si>
    <t>SL-NI-M-3</t>
  </si>
  <si>
    <t>№3 Triomphateur (75 мл.)</t>
  </si>
  <si>
    <t>SL-NI-M-4</t>
  </si>
  <si>
    <t>№4 De La Mer (75 мл.)</t>
  </si>
  <si>
    <t>SL-NI-M-5</t>
  </si>
  <si>
    <t>№5 Fire Lover (75 мл.)</t>
  </si>
  <si>
    <t>SL-NI-M-6</t>
  </si>
  <si>
    <t>№6 I am (75 мл.)</t>
  </si>
  <si>
    <t>SL-NI-M-7</t>
  </si>
  <si>
    <t>№7 Just One (75 мл.)</t>
  </si>
  <si>
    <t>SL-NI-M-8</t>
  </si>
  <si>
    <t>№8 Black Lord (75 мл.)</t>
  </si>
  <si>
    <t>SL-NI-M-8_75</t>
  </si>
  <si>
    <t>SL-NI-M-9</t>
  </si>
  <si>
    <t>№9 Water Element (75 мл.)</t>
  </si>
  <si>
    <t>SL-NI-M-10</t>
  </si>
  <si>
    <t>№10 White Lord (75 мл.)</t>
  </si>
  <si>
    <t>SL-W-1</t>
  </si>
  <si>
    <t>SL-W-2</t>
  </si>
  <si>
    <t>№ 2 Pure Poison</t>
  </si>
  <si>
    <t>SL-W-3</t>
  </si>
  <si>
    <t>№ 3 Hypnose</t>
  </si>
  <si>
    <t>SL-W-4</t>
  </si>
  <si>
    <t>№ 4 Promesse</t>
  </si>
  <si>
    <t>SL-W-5</t>
  </si>
  <si>
    <t>№ 5 Miracle</t>
  </si>
  <si>
    <t>SL-W-6</t>
  </si>
  <si>
    <t>SL-W-7</t>
  </si>
  <si>
    <t>№ 7 Amor Amor</t>
  </si>
  <si>
    <t>SL-W-8</t>
  </si>
  <si>
    <t>№ 8 Touch of Pink</t>
  </si>
  <si>
    <t>SL-W-9</t>
  </si>
  <si>
    <t>№ 9 Love in Paris</t>
  </si>
  <si>
    <t>SL-W-10</t>
  </si>
  <si>
    <t>№ 10 J'Adore</t>
  </si>
  <si>
    <t>SL-W-11</t>
  </si>
  <si>
    <t>№ 11 Light Blue</t>
  </si>
  <si>
    <t>SL-W-12</t>
  </si>
  <si>
    <t>№ 12 Boss Woman</t>
  </si>
  <si>
    <t>SL-W-13</t>
  </si>
  <si>
    <t>№ 13 Miss Dior Cherie</t>
  </si>
  <si>
    <t>SL-W-14</t>
  </si>
  <si>
    <t>№ 14 Nina Richi</t>
  </si>
  <si>
    <t>SL-W-15</t>
  </si>
  <si>
    <t>№ 15 Lacoste</t>
  </si>
  <si>
    <t>SL-W-16</t>
  </si>
  <si>
    <t>№ 16 Magnifigue</t>
  </si>
  <si>
    <t>SL-W-17</t>
  </si>
  <si>
    <t>№ 17 Cucci eau de parfum</t>
  </si>
  <si>
    <t>SL-W-18</t>
  </si>
  <si>
    <t>№ 18 Bright Crystal</t>
  </si>
  <si>
    <t>SL-W-19</t>
  </si>
  <si>
    <t>№ 19 Coco Mademoiselle</t>
  </si>
  <si>
    <t>SL-W-20</t>
  </si>
  <si>
    <t>№ 20 Ange ou Demon</t>
  </si>
  <si>
    <t>SL-W-21</t>
  </si>
  <si>
    <t>№ 21 The one D&amp;G</t>
  </si>
  <si>
    <t>SL-W-22</t>
  </si>
  <si>
    <t>№ 22 212 SEXY</t>
  </si>
  <si>
    <t>SL-W-23</t>
  </si>
  <si>
    <t>№ 23 Crystal Noir</t>
  </si>
  <si>
    <t>SL-W-24</t>
  </si>
  <si>
    <t>№ 24 Escada S</t>
  </si>
  <si>
    <t>SL-W-25</t>
  </si>
  <si>
    <t>№ 25 Chance Eau Fresh</t>
  </si>
  <si>
    <t>SL-W-26</t>
  </si>
  <si>
    <t>№ 26 Happy Heart (Clinique)</t>
  </si>
  <si>
    <t>SL-W-27</t>
  </si>
  <si>
    <t>№ 27 Armani Code</t>
  </si>
  <si>
    <t>SL-W-28</t>
  </si>
  <si>
    <t>№ 28 Ibiza Hippi (Escada)</t>
  </si>
  <si>
    <t>SL-W-29</t>
  </si>
  <si>
    <t>№ 29 Cristalle (Chanel)</t>
  </si>
  <si>
    <t>SL-W-30</t>
  </si>
  <si>
    <t>№ 30 Dior Addict</t>
  </si>
  <si>
    <t>SL-W-31</t>
  </si>
  <si>
    <t>№ 31 Aqua di Gio (Giorgio Armani)</t>
  </si>
  <si>
    <t>SL-W-32</t>
  </si>
  <si>
    <t>№ 32 Fresh Blossom DKNY (Donna Karan)</t>
  </si>
  <si>
    <t>SL-W-33</t>
  </si>
  <si>
    <t>№ 33 Gucci by Gucci</t>
  </si>
  <si>
    <t>SL-W-34</t>
  </si>
  <si>
    <t>№ 34 Dreaming (Tommy Hilfiger)</t>
  </si>
  <si>
    <t>SL-W-35</t>
  </si>
  <si>
    <t>№ 35 Bali Dream (Estee Lauder)</t>
  </si>
  <si>
    <t>SL-W-36</t>
  </si>
  <si>
    <t>№ 36 Young Sexy Lovely (Yves Saint Laurent)</t>
  </si>
  <si>
    <t>SL-W-37</t>
  </si>
  <si>
    <t>№ 37 Versace Blanche</t>
  </si>
  <si>
    <t>D-341-01</t>
  </si>
  <si>
    <t xml:space="preserve">HIPPIE TRIP </t>
  </si>
  <si>
    <t>D-1464-01</t>
  </si>
  <si>
    <t>I hear you</t>
  </si>
  <si>
    <t>D-1461-01</t>
  </si>
  <si>
    <t>Сумерки</t>
  </si>
  <si>
    <t>T-JH-001</t>
  </si>
  <si>
    <t>CYBER EVOLUTION 2012 (куртка)</t>
  </si>
  <si>
    <t>T-JH-005</t>
  </si>
  <si>
    <t>Trip-O-Nation (куртка)</t>
  </si>
  <si>
    <t>T-JH-022-01</t>
  </si>
  <si>
    <t>Moon elephant (куртка)</t>
  </si>
  <si>
    <t>T-JH-022-L</t>
  </si>
  <si>
    <t>Elephant Lady (куртка)</t>
  </si>
  <si>
    <t>T-JH-033</t>
  </si>
  <si>
    <t>FMP 2 (куртка)</t>
  </si>
  <si>
    <t>T-JH-033-L</t>
  </si>
  <si>
    <t>FMP 2 Lady (куртка)</t>
  </si>
  <si>
    <t>T-JH-038-01</t>
  </si>
  <si>
    <t>7 Чакр (куртка)</t>
  </si>
  <si>
    <t>T-JH-058</t>
  </si>
  <si>
    <t>Digital Dance (куртка)</t>
  </si>
  <si>
    <t>T-JH-065</t>
  </si>
  <si>
    <t>Shamanic Trance (куртка)</t>
  </si>
  <si>
    <t>T-JH-068</t>
  </si>
  <si>
    <t>Psycho Tribe (куртка)</t>
  </si>
  <si>
    <t>T-JHWS-023</t>
  </si>
  <si>
    <t>Mushroom People</t>
  </si>
  <si>
    <t>Темно-синяя безрукавка с капюшоном</t>
  </si>
  <si>
    <t>T-JHWS-037</t>
  </si>
  <si>
    <t>Open Air</t>
  </si>
  <si>
    <t>T-LS-001</t>
  </si>
  <si>
    <t>Cyber Evolution (длин.рукав)</t>
  </si>
  <si>
    <t>Футболка мужская с длинным рукавом однотонная</t>
  </si>
  <si>
    <t>T-LS-002</t>
  </si>
  <si>
    <t>Full Moon Party (длин.рукав)</t>
  </si>
  <si>
    <t>T-LS-004</t>
  </si>
  <si>
    <t>I WANT TO BELIEVE (длинный рукав)</t>
  </si>
  <si>
    <t>T-LS-008</t>
  </si>
  <si>
    <t>Waves of sound (длинный рукав)</t>
  </si>
  <si>
    <t>T-LS-011</t>
  </si>
  <si>
    <t>Trip-O-Nation (длин.рукав)</t>
  </si>
  <si>
    <t>T-LS-020</t>
  </si>
  <si>
    <t>Magic Winter Vision (длин.рукав)</t>
  </si>
  <si>
    <t>T-LS-022</t>
  </si>
  <si>
    <t>Moon elephant (длин.рукав)</t>
  </si>
  <si>
    <t>T-LS-031</t>
  </si>
  <si>
    <t>United Colours (длинный рукав)</t>
  </si>
  <si>
    <t>T-LS-038</t>
  </si>
  <si>
    <t>7 CHAKRAS 
(длин.рукав)</t>
  </si>
  <si>
    <t>T-LS-040</t>
  </si>
  <si>
    <t>DANCING GALAXY 
(длин.рукав)</t>
  </si>
  <si>
    <t>T-LS-041</t>
  </si>
  <si>
    <t>SHIVA Lord 
(длин.рукав)</t>
  </si>
  <si>
    <t>T-LS-042</t>
  </si>
  <si>
    <t>iLLEGAL Aliens Party (длинный рукав)</t>
  </si>
  <si>
    <t>T-LS-044</t>
  </si>
  <si>
    <t>VASILISA
(длин.рукав)</t>
  </si>
  <si>
    <t>Футболка мужская комбинированная с капюшоном</t>
  </si>
  <si>
    <t>T-LS-044-L</t>
  </si>
  <si>
    <t>VASILISA Lady
(длин.рукав)</t>
  </si>
  <si>
    <t>Футболка женская комбинированная с капюшоном</t>
  </si>
  <si>
    <t>T-LS-048</t>
  </si>
  <si>
    <t>FREE DROP-NEW HOPE
длинный рукав</t>
  </si>
  <si>
    <t>T-LS-048-L</t>
  </si>
  <si>
    <t>FREE DROP Lady
длинный рукав</t>
  </si>
  <si>
    <t>T-LS-061</t>
  </si>
  <si>
    <t>END OF THIS WORLD
длинный рукав</t>
  </si>
  <si>
    <t>T-LS-065</t>
  </si>
  <si>
    <t>Shamanic Trance (длин.рукав)</t>
  </si>
  <si>
    <t>T-LS-068</t>
  </si>
  <si>
    <t>PSYCHO TRIBE (длин.рукав)</t>
  </si>
  <si>
    <t>T-LS-070</t>
  </si>
  <si>
    <t>Клоун-взрыв</t>
  </si>
  <si>
    <t>T-LS-074</t>
  </si>
  <si>
    <t>Флаг Конфедерации
(длинный рукав)</t>
  </si>
  <si>
    <t>T-LS-075</t>
  </si>
  <si>
    <t>THE RIGHT BALANCE
(длинный рукав)</t>
  </si>
  <si>
    <t>T-LS-076</t>
  </si>
  <si>
    <t>ГАЙ ФОКС (Анонимус) длин.рукав</t>
  </si>
  <si>
    <t>T-NLS-001</t>
  </si>
  <si>
    <t>CYBER EVOLUTION Ninja</t>
  </si>
  <si>
    <t>T-NLS-001-L</t>
  </si>
  <si>
    <t>CYBER Ninja Lady</t>
  </si>
  <si>
    <t>T-NLS-002</t>
  </si>
  <si>
    <t>FULL MOON PARTY Ninja</t>
  </si>
  <si>
    <t>T-NLS-002-L</t>
  </si>
  <si>
    <t>FULL MOON Ninja Lady</t>
  </si>
  <si>
    <t>T-NLS-004</t>
  </si>
  <si>
    <t>I WANT Ninja</t>
  </si>
  <si>
    <t>T-NLS-004-L</t>
  </si>
  <si>
    <t>I WANT Ninja Lady</t>
  </si>
  <si>
    <t>T-NLS-008</t>
  </si>
  <si>
    <t>WAVES Ninja</t>
  </si>
  <si>
    <t>T-NLS-008-L</t>
  </si>
  <si>
    <t>WAVES Ninja Lady</t>
  </si>
  <si>
    <t>T-NLS-011</t>
  </si>
  <si>
    <t>TRIP-O-NATION 
(капюшон+рукав)</t>
  </si>
  <si>
    <t>T-NLS-011-L</t>
  </si>
  <si>
    <t>TRIP-O-NATION Lady 
(капюшон+рукав)</t>
  </si>
  <si>
    <t>T-NLS-013</t>
  </si>
  <si>
    <t>PSY AMBULANCE
Ninja</t>
  </si>
  <si>
    <t>T-NLS-013-L</t>
  </si>
  <si>
    <t>PSY AMBULANCE
 Ninja Lady</t>
  </si>
  <si>
    <t>T-NLS-015</t>
  </si>
  <si>
    <t>GET PSYCHED 
(капюшон+рукав)</t>
  </si>
  <si>
    <t>T-NLS-015-L</t>
  </si>
  <si>
    <t>GET PSYCHED Lady 
(капюшон+рукав)</t>
  </si>
  <si>
    <t>T-NLS-020-L</t>
  </si>
  <si>
    <t>MAGIC WINTER Lady 
(Ninja)</t>
  </si>
  <si>
    <t>T-NLS-021</t>
  </si>
  <si>
    <t>DANCEFLOOR Ninja</t>
  </si>
  <si>
    <t>T-NLS-021-L</t>
  </si>
  <si>
    <t>DANCEFLOOR Lady Ninja</t>
  </si>
  <si>
    <t>T-NLS-022</t>
  </si>
  <si>
    <t>MOON ELEPHANT (Ninja)</t>
  </si>
  <si>
    <t>T-NLS-022-L</t>
  </si>
  <si>
    <t>MOON Ninja Lady</t>
  </si>
  <si>
    <t>T-NLS-023</t>
  </si>
  <si>
    <t>MUSHROOMPEOPLE 
(капюшон+рукав)</t>
  </si>
  <si>
    <t>T-NLS-023-L</t>
  </si>
  <si>
    <t>MUSHROOMPEOPLE Lady 
(капюшон+рукав)</t>
  </si>
  <si>
    <t>T-NLS-030</t>
  </si>
  <si>
    <t>MUSHROOM OCEAN
(капюшон+рукав)</t>
  </si>
  <si>
    <t>T-NLS-030-L</t>
  </si>
  <si>
    <t>MUSHROOM OCEAN Lady 
(капюшон+рукав)</t>
  </si>
  <si>
    <t>T-NLS-031</t>
  </si>
  <si>
    <t>UNITED COLOURS 
(Ninja)</t>
  </si>
  <si>
    <t>T-NLS-031-L</t>
  </si>
  <si>
    <t>UNITED COLOURS Lady 
(Ninja)</t>
  </si>
  <si>
    <t>T-NLS-040-L</t>
  </si>
  <si>
    <t>DANCING GALAXY
Ninja Lady</t>
  </si>
  <si>
    <t>T-NLS-041-L</t>
  </si>
  <si>
    <t>SHIVA Lord 
(Ninja Lady)</t>
  </si>
  <si>
    <t>T-NLS-042</t>
  </si>
  <si>
    <t>ILLEGAL ALIENS
PARTY Ninja</t>
  </si>
  <si>
    <t>T-NLS-042-L</t>
  </si>
  <si>
    <t>ILLEGAL PARTY
Lady Ninja</t>
  </si>
  <si>
    <t>T-NLS-046</t>
  </si>
  <si>
    <t>ELECTRIC UNIVERSE</t>
  </si>
  <si>
    <t>T-NLS-046-L</t>
  </si>
  <si>
    <t>ELECTRIC UNIVERSE
Lady</t>
  </si>
  <si>
    <t>T-NLS-051</t>
  </si>
  <si>
    <t>FLOWER OF LIFE (Ninja)</t>
  </si>
  <si>
    <t>T-NLS-051-L</t>
  </si>
  <si>
    <t>FLOWER OF LIFE Ninja Lady</t>
  </si>
  <si>
    <t>T-NLS-056</t>
  </si>
  <si>
    <t>EASY RIDER Ninja</t>
  </si>
  <si>
    <t>T-NLS-056-L</t>
  </si>
  <si>
    <t>EASY RIDER Ninja Lady</t>
  </si>
  <si>
    <t>T-NLS-058</t>
  </si>
  <si>
    <t>DIGITAL DANCE Ninja</t>
  </si>
  <si>
    <t>T-NLS-058-L</t>
  </si>
  <si>
    <t>DIGITAL DANCE Ninja Lady</t>
  </si>
  <si>
    <t>T-RLS-033</t>
  </si>
  <si>
    <t>FMP 2
(длинный рукав)</t>
  </si>
  <si>
    <t>T-RLS-033-L</t>
  </si>
  <si>
    <t>FMP 2 Lady
(длинный рукав)</t>
  </si>
  <si>
    <t>T-TS-001</t>
  </si>
  <si>
    <t>CYBER EVOLUTION</t>
  </si>
  <si>
    <t>T-TS-001-B</t>
  </si>
  <si>
    <t>CYBER (синий)</t>
  </si>
  <si>
    <t>T-TS-001-L</t>
  </si>
  <si>
    <t>CYBER EVOLUTION Lady</t>
  </si>
  <si>
    <t>T-TS-002</t>
  </si>
  <si>
    <t>FULL MOON PARTY</t>
  </si>
  <si>
    <t>T-TS-002-L</t>
  </si>
  <si>
    <t>FULL MOON Lady</t>
  </si>
  <si>
    <t>T-TS-004</t>
  </si>
  <si>
    <t>I WANT TO BELIEVE</t>
  </si>
  <si>
    <t>T-TS-004-L</t>
  </si>
  <si>
    <t>I WANT TO BELIEVE
Lady</t>
  </si>
  <si>
    <t>T-TS-008</t>
  </si>
  <si>
    <t>WAVES OF SOUND</t>
  </si>
  <si>
    <t>T-TS-008-L</t>
  </si>
  <si>
    <t>WAVES OF SOUND Lady</t>
  </si>
  <si>
    <t>T-TS-011</t>
  </si>
  <si>
    <t>TRIP-O-NATION</t>
  </si>
  <si>
    <t>T-TS-011-L</t>
  </si>
  <si>
    <t>TRIP-O-NATION Lady</t>
  </si>
  <si>
    <t>T-TS-013</t>
  </si>
  <si>
    <t>PSY AMBULANCE</t>
  </si>
  <si>
    <t>T-TS-013-B</t>
  </si>
  <si>
    <t>PSY AMBULANCE Blue</t>
  </si>
  <si>
    <t>T-TS-013-L</t>
  </si>
  <si>
    <t>PSY AMBULANCE Lady</t>
  </si>
  <si>
    <t>T-TS-015</t>
  </si>
  <si>
    <t>GET PSYCHED</t>
  </si>
  <si>
    <t>T-TS-015-B</t>
  </si>
  <si>
    <t>GET PSYCHED 
(синий)</t>
  </si>
  <si>
    <t>T-TS-015-G</t>
  </si>
  <si>
    <t>GET PSYCHED 
(хаки)</t>
  </si>
  <si>
    <t>T-TS-020</t>
  </si>
  <si>
    <t>MAGIC WINTER VISION</t>
  </si>
  <si>
    <t>T-TS-020-L</t>
  </si>
  <si>
    <t>MAGIC WINTER VISION
Lady</t>
  </si>
  <si>
    <t>T-TS-021</t>
  </si>
  <si>
    <t>DANCEFLOOR
CONNECTION</t>
  </si>
  <si>
    <t>T-TS-021-B</t>
  </si>
  <si>
    <t>DANCEFLOOR Blue</t>
  </si>
  <si>
    <t>T-TS-021-L</t>
  </si>
  <si>
    <t>DANCEFLOOR
CONNECTION Lady</t>
  </si>
  <si>
    <t>T-TS-022</t>
  </si>
  <si>
    <t>Moon elephant</t>
  </si>
  <si>
    <t>T-TS-022-LB</t>
  </si>
  <si>
    <t>ELEPHANT Lady</t>
  </si>
  <si>
    <t>T-TS-023-L</t>
  </si>
  <si>
    <t>MUSHROOMPEOPLE
Lady</t>
  </si>
  <si>
    <t>T-TS-027</t>
  </si>
  <si>
    <t>Dr. Hofmann</t>
  </si>
  <si>
    <t>T-TS-027-S</t>
  </si>
  <si>
    <t>Dr. Hofmann - серый</t>
  </si>
  <si>
    <t>T-TS-030</t>
  </si>
  <si>
    <t>MUSHROOM OCEAN</t>
  </si>
  <si>
    <t>T-TS-030-L</t>
  </si>
  <si>
    <t>MUSHROOM OCEAN
Lady</t>
  </si>
  <si>
    <t>T-TS-031</t>
  </si>
  <si>
    <t>UNITED COLOURS</t>
  </si>
  <si>
    <t>T-TS-031-L</t>
  </si>
  <si>
    <t>UNITED COLOURS Lady</t>
  </si>
  <si>
    <t>T-TS-033</t>
  </si>
  <si>
    <t>FMP 2</t>
  </si>
  <si>
    <t>T-TS-033-L</t>
  </si>
  <si>
    <t>FMP 2 Lady</t>
  </si>
  <si>
    <t>T-TS-034</t>
  </si>
  <si>
    <t>MOSCOW TRANCE UNDERGROUND</t>
  </si>
  <si>
    <t>T-TS-036</t>
  </si>
  <si>
    <t>Lord GANESH</t>
  </si>
  <si>
    <t>T-TS-036-B</t>
  </si>
  <si>
    <t>T-TS-036-S</t>
  </si>
  <si>
    <t>SILVER GANESH</t>
  </si>
  <si>
    <t>T-TS-037</t>
  </si>
  <si>
    <t>OPEN AIR</t>
  </si>
  <si>
    <t>T-TS-037-L</t>
  </si>
  <si>
    <t>OPEN AIR Lady</t>
  </si>
  <si>
    <t>T-TS-038</t>
  </si>
  <si>
    <t>7 CHAKRAS</t>
  </si>
  <si>
    <t>T-TS-038-L</t>
  </si>
  <si>
    <t>7 CHAKRAS 
(Lady)</t>
  </si>
  <si>
    <t>T-TS-039</t>
  </si>
  <si>
    <t>EINSTEIN</t>
  </si>
  <si>
    <t>T-TS-040</t>
  </si>
  <si>
    <t>DANCING GALAXY</t>
  </si>
  <si>
    <t>T-TS-040-L</t>
  </si>
  <si>
    <t>DANCING GALAXY Lady</t>
  </si>
  <si>
    <t>T-TS-041</t>
  </si>
  <si>
    <t>SHIVA Lord</t>
  </si>
  <si>
    <t>T-TS-041-L</t>
  </si>
  <si>
    <t>SHIVA Lord 
(Lady)</t>
  </si>
  <si>
    <t>T-TS-042</t>
  </si>
  <si>
    <t>ILLEGAL ALIENS PARTY</t>
  </si>
  <si>
    <t>T-TS-042-L</t>
  </si>
  <si>
    <t>ILLEGAL PARTY Lady</t>
  </si>
  <si>
    <t>T-TS-043</t>
  </si>
  <si>
    <t>BUDDHA EYES</t>
  </si>
  <si>
    <t>T-TS-043-L</t>
  </si>
  <si>
    <t xml:space="preserve"> BUDDHA EYES Lady</t>
  </si>
  <si>
    <t>T-TS-044</t>
  </si>
  <si>
    <t>VASILISA</t>
  </si>
  <si>
    <t>T-TS-044-L</t>
  </si>
  <si>
    <t>VASILISA Lady</t>
  </si>
  <si>
    <t>T-TS-045</t>
  </si>
  <si>
    <t>SEE NO EVIL</t>
  </si>
  <si>
    <t>T-TS-046</t>
  </si>
  <si>
    <t>T-TS-046-L</t>
  </si>
  <si>
    <t>T-TS-047</t>
  </si>
  <si>
    <t>MYSTICAL SKULL</t>
  </si>
  <si>
    <t>T-TS-047-Br</t>
  </si>
  <si>
    <t>MYSTICAL SKULL Br</t>
  </si>
  <si>
    <t>T-TS-048</t>
  </si>
  <si>
    <t>FREE DROP-NEW HOPE</t>
  </si>
  <si>
    <t>T-TS-048-L</t>
  </si>
  <si>
    <t>FREE DROP Lady</t>
  </si>
  <si>
    <t>T-TS-049</t>
  </si>
  <si>
    <t>MUSH-MUSHI</t>
  </si>
  <si>
    <t>T-TS-049-I</t>
  </si>
  <si>
    <t>MUSH-MUSHI Indigo</t>
  </si>
  <si>
    <t>T-TS-049-L</t>
  </si>
  <si>
    <t>MUSH-MUSHI Lady</t>
  </si>
  <si>
    <t>T-TS-050</t>
  </si>
  <si>
    <t>Mr. Postman</t>
  </si>
  <si>
    <t>T-TS-050-L</t>
  </si>
  <si>
    <t>Postman to Lady</t>
  </si>
  <si>
    <t>T-TS-051</t>
  </si>
  <si>
    <t>FLOWER OF LIFE</t>
  </si>
  <si>
    <t>T-TS-051-L</t>
  </si>
  <si>
    <t>FLOWER OF LIFE Lady</t>
  </si>
  <si>
    <t>T-TS-052</t>
  </si>
  <si>
    <t>GAGARIN</t>
  </si>
  <si>
    <t>T-TS-053</t>
  </si>
  <si>
    <t>SEX, DRUGS &amp; ACID TRANCE</t>
  </si>
  <si>
    <t>T-TS-053-G</t>
  </si>
  <si>
    <t>SEX, DRUGS &amp; ACID TRANCE Grey</t>
  </si>
  <si>
    <t>T-TS-053-L</t>
  </si>
  <si>
    <t>SEX, DRUGS &amp; ACID TRANCE Lady</t>
  </si>
  <si>
    <t>T-TS-054</t>
  </si>
  <si>
    <t>DEADMAN</t>
  </si>
  <si>
    <t>T-TS-055</t>
  </si>
  <si>
    <t>BUDDHA'S TREE</t>
  </si>
  <si>
    <t>T-TS-056</t>
  </si>
  <si>
    <t>EASY RIDER</t>
  </si>
  <si>
    <t>T-TS-056-G</t>
  </si>
  <si>
    <t>EASY RIDER Grey</t>
  </si>
  <si>
    <t>T-TS-056-L</t>
  </si>
  <si>
    <t>EASY RIDER Lady</t>
  </si>
  <si>
    <t>T-TS-057</t>
  </si>
  <si>
    <t>LAS VEGAS</t>
  </si>
  <si>
    <t>T-TS-057-L</t>
  </si>
  <si>
    <t>LAS VEGAS Lady</t>
  </si>
  <si>
    <t>T-TS-058</t>
  </si>
  <si>
    <t>DIGITAL DANCE</t>
  </si>
  <si>
    <t>T-TS-058-L</t>
  </si>
  <si>
    <t>DIGITAL DANCE Lady</t>
  </si>
  <si>
    <t>T-TS-059</t>
  </si>
  <si>
    <t>Big PSY Lebowski</t>
  </si>
  <si>
    <t>T-TS-060</t>
  </si>
  <si>
    <t>БОЙЦОВСКИЙ КЛУБ</t>
  </si>
  <si>
    <t>T-TS-060-L</t>
  </si>
  <si>
    <t>БОЙЦОВСКИЙ КЛУБ Lady</t>
  </si>
  <si>
    <t>T-TS-061</t>
  </si>
  <si>
    <t>END OF THIS WORLD</t>
  </si>
  <si>
    <t>T-TS-061-L</t>
  </si>
  <si>
    <t>END OF THIS WORLD Lady</t>
  </si>
  <si>
    <t>T-TS-062</t>
  </si>
  <si>
    <t>ONE LOVE, ONE WORLD</t>
  </si>
  <si>
    <t>T-TS-063</t>
  </si>
  <si>
    <t>STAR (TOTAL PRINT)</t>
  </si>
  <si>
    <t>T-TS-064-G</t>
  </si>
  <si>
    <t>25 Grey</t>
  </si>
  <si>
    <t>T-TS-064-LB</t>
  </si>
  <si>
    <t>25 Lady</t>
  </si>
  <si>
    <t>T-TS-064-O</t>
  </si>
  <si>
    <t>25 Orange</t>
  </si>
  <si>
    <t>T-TS-065</t>
  </si>
  <si>
    <t>Shamanic Trance</t>
  </si>
  <si>
    <t>T-TS-065-L</t>
  </si>
  <si>
    <t>Shamanic Trance Lady</t>
  </si>
  <si>
    <t>T-TS-066</t>
  </si>
  <si>
    <t>Trainspotting (На Игле)</t>
  </si>
  <si>
    <t>T-TS-067</t>
  </si>
  <si>
    <t>PSYCHO!</t>
  </si>
  <si>
    <t>T-TS-068</t>
  </si>
  <si>
    <t>PSYCHO TRIBE</t>
  </si>
  <si>
    <t>T-TS-068-L</t>
  </si>
  <si>
    <t>PSYCHO TRIBE Lady</t>
  </si>
  <si>
    <t>T-TS-069</t>
  </si>
  <si>
    <t>CHEwie</t>
  </si>
  <si>
    <t>T-TS-070</t>
  </si>
  <si>
    <t>T-TS-071-A</t>
  </si>
  <si>
    <t>TURN ON…
(футболка голубого цвета)</t>
  </si>
  <si>
    <t>T-TS-071-Bo</t>
  </si>
  <si>
    <t>TURN ON…
(футболка бордового цвета)</t>
  </si>
  <si>
    <t>Бордовый</t>
  </si>
  <si>
    <t>T-TS-072</t>
  </si>
  <si>
    <t>Psycho Angry Birds</t>
  </si>
  <si>
    <t>T-TS-072-B</t>
  </si>
  <si>
    <t>Psycho Angry Birds (на черном)</t>
  </si>
  <si>
    <t>T-TS-073</t>
  </si>
  <si>
    <t>FUCK THE WORLD!</t>
  </si>
  <si>
    <t>T-TS-073-L</t>
  </si>
  <si>
    <t>FUCK THE WORLD! Lady</t>
  </si>
  <si>
    <t>T-TS-074</t>
  </si>
  <si>
    <t>Флаг Конфедерации</t>
  </si>
  <si>
    <t>T-TS-075</t>
  </si>
  <si>
    <t>THE RIGHT BALANCE</t>
  </si>
  <si>
    <t>T-TS-075-L</t>
  </si>
  <si>
    <t>THE RIGHT BALANCE Lady</t>
  </si>
  <si>
    <t>T-TS-076</t>
  </si>
  <si>
    <t>ГАЙ ФОКС (Анонимус)</t>
  </si>
  <si>
    <t>T-TS-077</t>
  </si>
  <si>
    <t>Breaking Bad</t>
  </si>
  <si>
    <t>T-TS-078</t>
  </si>
  <si>
    <t>NO WOMAN, NO CRY</t>
  </si>
  <si>
    <t>T-TS-079</t>
  </si>
  <si>
    <t>Алиса в стране Чудес</t>
  </si>
  <si>
    <t>T-TS-079-L</t>
  </si>
  <si>
    <t>T-TS-080</t>
  </si>
  <si>
    <t>DALI</t>
  </si>
  <si>
    <t>T-TS-080-L</t>
  </si>
  <si>
    <t>T-TS-081</t>
  </si>
  <si>
    <t>DJ Scarface (Tony Montana)</t>
  </si>
  <si>
    <t>T-TS-082</t>
  </si>
  <si>
    <t>SOUND SYSTEM</t>
  </si>
  <si>
    <t>T-TS-084</t>
  </si>
  <si>
    <t>Guardian of the Galaxy</t>
  </si>
  <si>
    <t>T-TS-085</t>
  </si>
  <si>
    <t>Go Home</t>
  </si>
  <si>
    <t>T-WS-002</t>
  </si>
  <si>
    <t>Full Moon Party
(футболка без рукавов)</t>
  </si>
  <si>
    <t>Футболка мужская однотонная без рукава</t>
  </si>
  <si>
    <t>T-WS-071</t>
  </si>
  <si>
    <t>TURN ON...
(футболка без рукавов)</t>
  </si>
  <si>
    <t>T-WS-074</t>
  </si>
  <si>
    <t>Флаг Конфедерации
(без рукавов)</t>
  </si>
  <si>
    <t>T-WS-075</t>
  </si>
  <si>
    <t>THE RIGHT BALANCE
(без рукавов)</t>
  </si>
  <si>
    <t>T-WSH-011</t>
  </si>
  <si>
    <t>TRIP-O-NATION 
(б/рукава+капюшон)</t>
  </si>
  <si>
    <t>Футболка мужская однотонная без рукава, с капюшоном</t>
  </si>
  <si>
    <t>T-WSH-011-L</t>
  </si>
  <si>
    <t>TRIP-O-NATION Lady 
(б/рукава+капюшон)</t>
  </si>
  <si>
    <t>Футболка женская однотонная без рукава, с капюшоном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</si>
</sst>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1.5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2"/>
      <name val="Arial Cyr"/>
      <family val="2"/>
      <charset val="204"/>
    </font>
    <font>
      <u/>
      <sz val="10"/>
      <color indexed="12"/>
      <name val="Arial Cyr"/>
      <charset val="204"/>
    </font>
    <font>
      <b/>
      <u/>
      <sz val="10"/>
      <color indexed="12"/>
      <name val="Arial Cyr"/>
      <charset val="204"/>
    </font>
    <font>
      <sz val="10"/>
      <color indexed="10"/>
      <name val="Arial Cyr"/>
      <charset val="204"/>
    </font>
    <font>
      <b/>
      <sz val="10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name val="Arial Cyr"/>
      <family val="2"/>
      <charset val="204"/>
    </font>
    <font>
      <sz val="9"/>
      <color indexed="10"/>
      <name val="Arial Cyr"/>
      <family val="2"/>
      <charset val="204"/>
    </font>
    <font>
      <b/>
      <sz val="12"/>
      <color indexed="12"/>
      <name val="Arial Cyr"/>
      <charset val="204"/>
    </font>
    <font>
      <b/>
      <sz val="10"/>
      <name val="Arial Cyr"/>
      <charset val="204"/>
    </font>
    <font>
      <b/>
      <sz val="9"/>
      <color indexed="12"/>
      <name val="Arial Cyr"/>
      <charset val="204"/>
    </font>
    <font>
      <b/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6"/>
      <color indexed="9"/>
      <name val="Arial Cyr"/>
      <charset val="204"/>
    </font>
    <font>
      <b/>
      <sz val="10"/>
      <color indexed="12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i/>
      <sz val="10"/>
      <color indexed="10"/>
      <name val="Arial Cyr"/>
      <charset val="204"/>
    </font>
    <font>
      <b/>
      <sz val="8"/>
      <color indexed="8"/>
      <name val="Arial Cyr"/>
      <charset val="204"/>
    </font>
    <font>
      <sz val="7"/>
      <color indexed="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62"/>
      <name val="Arial Cyr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u/>
      <sz val="10"/>
      <color indexed="8"/>
      <name val="Arial Cyr"/>
      <family val="2"/>
      <charset val="204"/>
    </font>
    <font>
      <sz val="10"/>
      <color indexed="12"/>
      <name val="Arial Cyr"/>
      <charset val="204"/>
    </font>
    <font>
      <sz val="7"/>
      <color indexed="55"/>
      <name val="Arial Cyr"/>
      <charset val="204"/>
    </font>
    <font>
      <u/>
      <sz val="10"/>
      <name val="Arial Cyr"/>
      <family val="2"/>
      <charset val="204"/>
    </font>
    <font>
      <u/>
      <sz val="10"/>
      <color indexed="55"/>
      <name val="Arial Cyr"/>
      <family val="2"/>
      <charset val="204"/>
    </font>
    <font>
      <sz val="10"/>
      <color indexed="22"/>
      <name val="Arial Cyr"/>
      <charset val="204"/>
    </font>
    <font>
      <sz val="10"/>
      <color indexed="55"/>
      <name val="Arial Cyr"/>
      <family val="2"/>
      <charset val="204"/>
    </font>
    <font>
      <b/>
      <sz val="10"/>
      <color indexed="55"/>
      <name val="Arial Cyr"/>
      <family val="2"/>
      <charset val="204"/>
    </font>
    <font>
      <sz val="9"/>
      <name val="Arial Cyr"/>
      <charset val="204"/>
    </font>
    <font>
      <sz val="7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10"/>
      <color indexed="12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8">
    <xf numFmtId="0" fontId="0" fillId="0" borderId="0" xfId="0"/>
    <xf numFmtId="0" fontId="2" fillId="2" borderId="0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center" vertical="justify"/>
    </xf>
    <xf numFmtId="0" fontId="1" fillId="2" borderId="0" xfId="1" applyFill="1" applyBorder="1" applyAlignment="1">
      <alignment horizontal="center" vertical="center"/>
    </xf>
    <xf numFmtId="0" fontId="8" fillId="2" borderId="0" xfId="1" applyFont="1" applyFill="1" applyBorder="1" applyAlignment="1"/>
    <xf numFmtId="0" fontId="1" fillId="2" borderId="0" xfId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2" borderId="0" xfId="1" applyFill="1"/>
    <xf numFmtId="1" fontId="1" fillId="2" borderId="0" xfId="1" applyNumberFormat="1" applyFill="1" applyBorder="1" applyAlignment="1">
      <alignment horizontal="center" vertical="justify"/>
    </xf>
    <xf numFmtId="0" fontId="10" fillId="2" borderId="0" xfId="1" applyFont="1" applyFill="1" applyAlignment="1">
      <alignment horizontal="left"/>
    </xf>
    <xf numFmtId="0" fontId="11" fillId="2" borderId="0" xfId="1" applyFont="1" applyFill="1" applyBorder="1" applyAlignment="1">
      <alignment vertical="center"/>
    </xf>
    <xf numFmtId="0" fontId="12" fillId="2" borderId="0" xfId="1" applyFont="1" applyFill="1" applyBorder="1" applyAlignment="1">
      <alignment horizontal="right"/>
    </xf>
    <xf numFmtId="0" fontId="5" fillId="2" borderId="0" xfId="2" applyFill="1" applyAlignment="1" applyProtection="1">
      <alignment horizontal="left"/>
    </xf>
    <xf numFmtId="0" fontId="13" fillId="2" borderId="0" xfId="1" applyFont="1" applyFill="1"/>
    <xf numFmtId="0" fontId="14" fillId="2" borderId="0" xfId="1" applyFont="1" applyFill="1" applyBorder="1" applyAlignment="1">
      <alignment horizontal="right"/>
    </xf>
    <xf numFmtId="0" fontId="15" fillId="2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vertical="center"/>
    </xf>
    <xf numFmtId="0" fontId="3" fillId="2" borderId="0" xfId="1" applyFont="1" applyFill="1" applyAlignment="1">
      <alignment horizontal="center"/>
    </xf>
    <xf numFmtId="0" fontId="1" fillId="2" borderId="0" xfId="1" applyFill="1" applyAlignment="1">
      <alignment horizontal="center"/>
    </xf>
    <xf numFmtId="0" fontId="1" fillId="2" borderId="0" xfId="1" applyFont="1" applyFill="1" applyBorder="1" applyAlignment="1">
      <alignment horizontal="center" vertical="justify"/>
    </xf>
    <xf numFmtId="0" fontId="15" fillId="2" borderId="0" xfId="1" applyFont="1" applyFill="1" applyBorder="1" applyAlignment="1">
      <alignment horizontal="center"/>
    </xf>
    <xf numFmtId="0" fontId="17" fillId="0" borderId="0" xfId="1" applyFont="1" applyBorder="1" applyAlignment="1">
      <alignment horizontal="center"/>
    </xf>
    <xf numFmtId="0" fontId="18" fillId="2" borderId="0" xfId="1" applyFont="1" applyFill="1" applyBorder="1" applyAlignment="1">
      <alignment horizontal="center" vertical="center"/>
    </xf>
    <xf numFmtId="0" fontId="1" fillId="2" borderId="0" xfId="1" applyFill="1" applyBorder="1"/>
    <xf numFmtId="0" fontId="18" fillId="2" borderId="2" xfId="1" applyFont="1" applyFill="1" applyBorder="1" applyAlignment="1">
      <alignment horizontal="center"/>
    </xf>
    <xf numFmtId="0" fontId="16" fillId="2" borderId="0" xfId="1" applyFont="1" applyFill="1" applyAlignment="1">
      <alignment horizontal="center"/>
    </xf>
    <xf numFmtId="0" fontId="19" fillId="2" borderId="0" xfId="1" applyFont="1" applyFill="1"/>
    <xf numFmtId="0" fontId="20" fillId="2" borderId="0" xfId="1" applyFont="1" applyFill="1" applyAlignment="1">
      <alignment horizontal="center"/>
    </xf>
    <xf numFmtId="0" fontId="15" fillId="3" borderId="3" xfId="1" applyFont="1" applyFill="1" applyBorder="1" applyAlignment="1">
      <alignment horizontal="center"/>
    </xf>
    <xf numFmtId="0" fontId="1" fillId="3" borderId="3" xfId="1" applyFill="1" applyBorder="1"/>
    <xf numFmtId="0" fontId="16" fillId="3" borderId="6" xfId="1" applyFont="1" applyFill="1" applyBorder="1" applyAlignment="1">
      <alignment horizontal="center"/>
    </xf>
    <xf numFmtId="0" fontId="16" fillId="3" borderId="5" xfId="1" applyFont="1" applyFill="1" applyBorder="1" applyAlignment="1">
      <alignment horizontal="center"/>
    </xf>
    <xf numFmtId="0" fontId="15" fillId="3" borderId="1" xfId="1" applyFont="1" applyFill="1" applyBorder="1" applyAlignment="1">
      <alignment horizontal="center"/>
    </xf>
    <xf numFmtId="0" fontId="18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justify"/>
    </xf>
    <xf numFmtId="0" fontId="15" fillId="3" borderId="7" xfId="1" applyFont="1" applyFill="1" applyBorder="1" applyAlignment="1">
      <alignment horizontal="center"/>
    </xf>
    <xf numFmtId="0" fontId="18" fillId="0" borderId="8" xfId="1" applyFont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/>
    </xf>
    <xf numFmtId="0" fontId="16" fillId="0" borderId="1" xfId="1" applyFont="1" applyBorder="1" applyAlignment="1">
      <alignment horizontal="center" vertical="justify" wrapText="1"/>
    </xf>
    <xf numFmtId="0" fontId="16" fillId="0" borderId="1" xfId="1" applyFont="1" applyFill="1" applyBorder="1" applyAlignment="1">
      <alignment horizontal="center" vertical="justify" wrapText="1"/>
    </xf>
    <xf numFmtId="0" fontId="16" fillId="0" borderId="1" xfId="1" applyFont="1" applyFill="1" applyBorder="1" applyAlignment="1">
      <alignment horizontal="center" vertical="justify"/>
    </xf>
    <xf numFmtId="0" fontId="21" fillId="0" borderId="1" xfId="1" applyFont="1" applyFill="1" applyBorder="1" applyAlignment="1">
      <alignment horizontal="center" vertical="justify"/>
    </xf>
    <xf numFmtId="0" fontId="22" fillId="0" borderId="1" xfId="1" applyFont="1" applyFill="1" applyBorder="1" applyAlignment="1">
      <alignment horizontal="center" vertical="justify"/>
    </xf>
    <xf numFmtId="0" fontId="15" fillId="0" borderId="0" xfId="1" applyFont="1" applyBorder="1" applyAlignment="1">
      <alignment horizontal="center"/>
    </xf>
    <xf numFmtId="0" fontId="23" fillId="0" borderId="1" xfId="2" applyFont="1" applyBorder="1" applyAlignment="1" applyProtection="1">
      <alignment horizontal="center" vertical="center" wrapText="1"/>
    </xf>
    <xf numFmtId="0" fontId="5" fillId="0" borderId="1" xfId="2" applyFont="1" applyBorder="1" applyAlignment="1" applyProtection="1">
      <alignment horizontal="center" vertical="center"/>
    </xf>
    <xf numFmtId="0" fontId="24" fillId="4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justify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5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center" vertical="center"/>
    </xf>
    <xf numFmtId="0" fontId="1" fillId="0" borderId="0" xfId="1" applyFill="1" applyBorder="1" applyAlignment="1">
      <alignment horizontal="center"/>
    </xf>
    <xf numFmtId="0" fontId="1" fillId="0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justify"/>
    </xf>
    <xf numFmtId="0" fontId="1" fillId="0" borderId="1" xfId="1" applyFont="1" applyFill="1" applyBorder="1" applyAlignment="1">
      <alignment horizontal="center" vertical="center"/>
    </xf>
    <xf numFmtId="0" fontId="23" fillId="0" borderId="1" xfId="2" applyFont="1" applyBorder="1" applyAlignment="1" applyProtection="1">
      <alignment horizontal="center" vertical="center"/>
    </xf>
    <xf numFmtId="0" fontId="27" fillId="0" borderId="1" xfId="2" applyFont="1" applyBorder="1" applyAlignment="1" applyProtection="1">
      <alignment horizontal="center" vertical="center"/>
    </xf>
    <xf numFmtId="0" fontId="25" fillId="5" borderId="1" xfId="1" applyFont="1" applyFill="1" applyBorder="1" applyAlignment="1">
      <alignment horizontal="center" vertical="center"/>
    </xf>
    <xf numFmtId="49" fontId="23" fillId="0" borderId="1" xfId="2" applyNumberFormat="1" applyFont="1" applyBorder="1" applyAlignment="1" applyProtection="1">
      <alignment horizontal="center" vertical="center"/>
    </xf>
    <xf numFmtId="0" fontId="28" fillId="0" borderId="1" xfId="2" applyFont="1" applyBorder="1" applyAlignment="1" applyProtection="1">
      <alignment horizontal="center" vertical="center" wrapText="1"/>
    </xf>
    <xf numFmtId="0" fontId="5" fillId="0" borderId="1" xfId="2" applyBorder="1" applyAlignment="1" applyProtection="1">
      <alignment horizontal="center" vertical="center"/>
    </xf>
    <xf numFmtId="0" fontId="15" fillId="5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</xf>
    <xf numFmtId="0" fontId="10" fillId="0" borderId="1" xfId="0" applyFont="1" applyBorder="1" applyAlignment="1">
      <alignment horizontal="left"/>
    </xf>
    <xf numFmtId="0" fontId="18" fillId="5" borderId="1" xfId="0" applyFont="1" applyFill="1" applyBorder="1" applyAlignment="1">
      <alignment horizontal="center" vertical="center"/>
    </xf>
    <xf numFmtId="0" fontId="23" fillId="2" borderId="1" xfId="2" applyFont="1" applyFill="1" applyBorder="1" applyAlignment="1" applyProtection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23" fillId="0" borderId="6" xfId="2" applyFont="1" applyBorder="1" applyAlignment="1" applyProtection="1">
      <alignment horizontal="center" vertical="center"/>
    </xf>
    <xf numFmtId="0" fontId="25" fillId="2" borderId="1" xfId="1" applyFont="1" applyFill="1" applyBorder="1" applyAlignment="1">
      <alignment horizontal="center" vertical="center" wrapText="1"/>
    </xf>
    <xf numFmtId="0" fontId="23" fillId="0" borderId="10" xfId="2" applyFont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justify" wrapText="1"/>
    </xf>
    <xf numFmtId="0" fontId="1" fillId="0" borderId="1" xfId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3" fillId="0" borderId="10" xfId="2" applyFont="1" applyBorder="1" applyAlignment="1" applyProtection="1">
      <alignment horizontal="center" vertical="center" wrapText="1"/>
    </xf>
    <xf numFmtId="0" fontId="5" fillId="0" borderId="6" xfId="2" applyBorder="1" applyAlignment="1" applyProtection="1">
      <alignment horizontal="center" vertical="center"/>
    </xf>
    <xf numFmtId="0" fontId="5" fillId="0" borderId="5" xfId="2" applyBorder="1" applyAlignment="1" applyProtection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5" fillId="0" borderId="1" xfId="2" applyBorder="1" applyAlignment="1" applyProtection="1">
      <alignment horizontal="center" vertical="center" wrapText="1"/>
    </xf>
    <xf numFmtId="0" fontId="16" fillId="2" borderId="1" xfId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27" fillId="0" borderId="6" xfId="2" applyFont="1" applyBorder="1" applyAlignment="1" applyProtection="1">
      <alignment horizontal="center" vertical="center"/>
    </xf>
    <xf numFmtId="0" fontId="31" fillId="0" borderId="1" xfId="2" applyFont="1" applyBorder="1" applyAlignment="1" applyProtection="1">
      <alignment horizontal="center" vertical="center"/>
    </xf>
    <xf numFmtId="0" fontId="32" fillId="0" borderId="1" xfId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justify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justify"/>
    </xf>
    <xf numFmtId="0" fontId="13" fillId="0" borderId="1" xfId="0" applyFont="1" applyBorder="1" applyAlignment="1">
      <alignment horizontal="center" vertical="center"/>
    </xf>
    <xf numFmtId="0" fontId="23" fillId="4" borderId="1" xfId="2" applyFont="1" applyFill="1" applyBorder="1" applyAlignment="1" applyProtection="1">
      <alignment horizontal="center" vertical="center" wrapText="1"/>
    </xf>
    <xf numFmtId="0" fontId="23" fillId="2" borderId="1" xfId="2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5" fillId="3" borderId="9" xfId="1" applyFont="1" applyFill="1" applyBorder="1" applyAlignment="1">
      <alignment horizontal="center"/>
    </xf>
    <xf numFmtId="0" fontId="21" fillId="0" borderId="1" xfId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35" fillId="0" borderId="1" xfId="1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justify"/>
    </xf>
    <xf numFmtId="0" fontId="36" fillId="0" borderId="1" xfId="0" applyFont="1" applyBorder="1" applyAlignment="1">
      <alignment horizontal="center" vertical="justify" wrapText="1"/>
    </xf>
    <xf numFmtId="0" fontId="37" fillId="0" borderId="1" xfId="0" applyFont="1" applyBorder="1" applyAlignment="1">
      <alignment horizontal="center" vertical="justify" wrapText="1"/>
    </xf>
    <xf numFmtId="0" fontId="15" fillId="0" borderId="6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justify"/>
    </xf>
    <xf numFmtId="0" fontId="10" fillId="0" borderId="1" xfId="0" applyFont="1" applyBorder="1" applyAlignment="1">
      <alignment horizontal="left" vertical="center"/>
    </xf>
    <xf numFmtId="0" fontId="13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1" applyFill="1" applyBorder="1" applyAlignment="1">
      <alignment horizontal="center"/>
    </xf>
    <xf numFmtId="0" fontId="1" fillId="0" borderId="1" xfId="1" applyFill="1" applyBorder="1" applyAlignment="1">
      <alignment horizontal="center" vertical="justify"/>
    </xf>
    <xf numFmtId="0" fontId="38" fillId="0" borderId="1" xfId="2" applyFont="1" applyBorder="1" applyAlignment="1" applyProtection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5" fillId="0" borderId="0" xfId="2" applyBorder="1" applyAlignment="1" applyProtection="1">
      <alignment horizontal="center" vertical="center"/>
    </xf>
    <xf numFmtId="0" fontId="33" fillId="0" borderId="1" xfId="0" applyFont="1" applyBorder="1" applyAlignment="1">
      <alignment horizontal="center"/>
    </xf>
    <xf numFmtId="0" fontId="6" fillId="0" borderId="0" xfId="2" applyFont="1" applyFill="1" applyBorder="1" applyAlignment="1" applyProtection="1">
      <alignment horizontal="center" vertical="center"/>
    </xf>
    <xf numFmtId="0" fontId="15" fillId="3" borderId="4" xfId="1" applyFont="1" applyFill="1" applyBorder="1" applyAlignment="1">
      <alignment horizontal="center"/>
    </xf>
    <xf numFmtId="0" fontId="15" fillId="3" borderId="5" xfId="1" applyFont="1" applyFill="1" applyBorder="1" applyAlignment="1">
      <alignment horizontal="center"/>
    </xf>
  </cellXfs>
  <cellStyles count="3">
    <cellStyle name="Гиперссылка" xfId="2" builtinId="8"/>
    <cellStyle name="Обычный" xfId="0" builtinId="0"/>
    <cellStyle name="Обычный_Каталог GOOD 10 new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813.jpeg"/><Relationship Id="rId170" Type="http://schemas.openxmlformats.org/officeDocument/2006/relationships/hyperlink" Target="http://www.gooood.ru/components/com_virtuemart/shop_image/product/nmnh/77-vw-213-rb.jpg" TargetMode="External"/><Relationship Id="rId987" Type="http://schemas.openxmlformats.org/officeDocument/2006/relationships/hyperlink" Target="http://www.gooood.ru/components/com_virtuemart/shop_image/product/good/14-5541big.jpg" TargetMode="External"/><Relationship Id="rId847" Type="http://schemas.openxmlformats.org/officeDocument/2006/relationships/hyperlink" Target="http://www.gooood.ru/components/com_virtuemart/shop_image/product/good/34-1543big.jpg" TargetMode="External"/><Relationship Id="rId1477" Type="http://schemas.openxmlformats.org/officeDocument/2006/relationships/hyperlink" Target="http://www.gooood.ru/components/com_virtuemart/shop_image/product/ton/T-JH-022-Lbig.jpg" TargetMode="External"/><Relationship Id="rId1684" Type="http://schemas.openxmlformats.org/officeDocument/2006/relationships/image" Target="../media/image732.jpeg"/><Relationship Id="rId1891" Type="http://schemas.openxmlformats.org/officeDocument/2006/relationships/hyperlink" Target="http://www.gooood.ru/components/com_virtuemart/shop_image/product/good/35-374big.jpg" TargetMode="External"/><Relationship Id="rId707" Type="http://schemas.openxmlformats.org/officeDocument/2006/relationships/image" Target="../media/image302.jpeg"/><Relationship Id="rId914" Type="http://schemas.openxmlformats.org/officeDocument/2006/relationships/hyperlink" Target="http://www.gooood.ru/components/com_virtuemart/shop_image/product/good/64-4505big.jpg" TargetMode="External"/><Relationship Id="rId1337" Type="http://schemas.openxmlformats.org/officeDocument/2006/relationships/hyperlink" Target="http://www.gooood.ru/components/com_virtuemart/shop_image/product/good/36-1520b.jpg" TargetMode="External"/><Relationship Id="rId1544" Type="http://schemas.openxmlformats.org/officeDocument/2006/relationships/image" Target="../media/image669.jpeg"/><Relationship Id="rId1751" Type="http://schemas.openxmlformats.org/officeDocument/2006/relationships/hyperlink" Target="http://www.gooood.ru/components/com_virtuemart/shop_image/product/good/36-1624big.jpg" TargetMode="External"/><Relationship Id="rId43" Type="http://schemas.openxmlformats.org/officeDocument/2006/relationships/hyperlink" Target="http://www.gooood.ru/pictures/katalog/05_1/14-922b.jpg" TargetMode="External"/><Relationship Id="rId1404" Type="http://schemas.openxmlformats.org/officeDocument/2006/relationships/image" Target="../media/image609.jpeg"/><Relationship Id="rId1611" Type="http://schemas.openxmlformats.org/officeDocument/2006/relationships/hyperlink" Target="http://www.gooood.ru/components/com_virtuemart/shop_image/product/good/45-896big.jpg" TargetMode="External"/><Relationship Id="rId497" Type="http://schemas.openxmlformats.org/officeDocument/2006/relationships/image" Target="../media/image205.jpeg"/><Relationship Id="rId357" Type="http://schemas.openxmlformats.org/officeDocument/2006/relationships/hyperlink" Target="http://www.gooood.ru/components/com_virtuemart/shop_image/product/ton/T-TS-015-Gb.jpg" TargetMode="External"/><Relationship Id="rId1194" Type="http://schemas.openxmlformats.org/officeDocument/2006/relationships/image" Target="../media/image517.jpeg"/><Relationship Id="rId2038" Type="http://schemas.openxmlformats.org/officeDocument/2006/relationships/hyperlink" Target="http://www.gooood.ru/components/com_virtuemart/shop_image/product/good/14-1519big.jpg" TargetMode="External"/><Relationship Id="rId217" Type="http://schemas.openxmlformats.org/officeDocument/2006/relationships/image" Target="../media/image99.jpeg"/><Relationship Id="rId564" Type="http://schemas.openxmlformats.org/officeDocument/2006/relationships/hyperlink" Target="http://www.gooood.ru/components/com_virtuemart/shop_image/product/nmnh/77-122big.jpg" TargetMode="External"/><Relationship Id="rId771" Type="http://schemas.openxmlformats.org/officeDocument/2006/relationships/hyperlink" Target="http://www.gooood.ru/components/com_virtuemart/shop_image/product/good/14-4531big.jpg" TargetMode="External"/><Relationship Id="rId424" Type="http://schemas.openxmlformats.org/officeDocument/2006/relationships/hyperlink" Target="http://www.gooood.ru/pictures/katalog/05_1/14-190b.jpg" TargetMode="External"/><Relationship Id="rId631" Type="http://schemas.openxmlformats.org/officeDocument/2006/relationships/hyperlink" Target="http://www.gooood.ru/components/com_virtuemart/shop_image/product/good/34-227big.jpg" TargetMode="External"/><Relationship Id="rId1054" Type="http://schemas.openxmlformats.org/officeDocument/2006/relationships/image" Target="../media/image456.jpeg"/><Relationship Id="rId1261" Type="http://schemas.openxmlformats.org/officeDocument/2006/relationships/hyperlink" Target="http://www.gooood.ru/components/com_virtuemart/shop_image/product/good/34-1584big.jpg" TargetMode="External"/><Relationship Id="rId2105" Type="http://schemas.openxmlformats.org/officeDocument/2006/relationships/hyperlink" Target="http://www.gooood.ru/components/com_virtuemart/shop_image/product/good/35-2674big.jpg" TargetMode="External"/><Relationship Id="rId1121" Type="http://schemas.openxmlformats.org/officeDocument/2006/relationships/hyperlink" Target="http://www.gooood.ru/components/com_virtuemart/shop_image/product/good/64-457big.jpg" TargetMode="External"/><Relationship Id="rId1938" Type="http://schemas.openxmlformats.org/officeDocument/2006/relationships/hyperlink" Target="http://www.gooood.ru/components/com_virtuemart/shop_image/product/good/14-5643big.jpg" TargetMode="External"/><Relationship Id="rId281" Type="http://schemas.openxmlformats.org/officeDocument/2006/relationships/hyperlink" Target="http://www.gooood.ru/pictures/katalog/05_1/50-125b.jpg" TargetMode="External"/><Relationship Id="rId141" Type="http://schemas.openxmlformats.org/officeDocument/2006/relationships/image" Target="../media/image61.jpeg"/><Relationship Id="rId7" Type="http://schemas.openxmlformats.org/officeDocument/2006/relationships/hyperlink" Target="http://www.gooood.ru/components/com_virtuemart/shop_image/product/good/14-112big.jpg" TargetMode="External"/><Relationship Id="rId958" Type="http://schemas.openxmlformats.org/officeDocument/2006/relationships/image" Target="../media/image413.jpeg"/><Relationship Id="rId1588" Type="http://schemas.openxmlformats.org/officeDocument/2006/relationships/image" Target="../media/image690.png"/><Relationship Id="rId1795" Type="http://schemas.openxmlformats.org/officeDocument/2006/relationships/image" Target="../media/image797.jpeg"/><Relationship Id="rId87" Type="http://schemas.openxmlformats.org/officeDocument/2006/relationships/hyperlink" Target="http://www.gooood.ru/pictures/katalog/05_1/36-922b.jpg" TargetMode="External"/><Relationship Id="rId818" Type="http://schemas.openxmlformats.org/officeDocument/2006/relationships/hyperlink" Target="http://www.gooood.ru/components/com_virtuemart/shop_image/product/good/34-565big.jpg" TargetMode="External"/><Relationship Id="rId1448" Type="http://schemas.openxmlformats.org/officeDocument/2006/relationships/hyperlink" Target="http://www.gooood.ru/components/com_virtuemart/shop_image/product/good/14-1599big.jpg" TargetMode="External"/><Relationship Id="rId1655" Type="http://schemas.openxmlformats.org/officeDocument/2006/relationships/image" Target="../media/image718.jpeg"/><Relationship Id="rId1003" Type="http://schemas.openxmlformats.org/officeDocument/2006/relationships/image" Target="../media/image434.jpeg"/><Relationship Id="rId1210" Type="http://schemas.openxmlformats.org/officeDocument/2006/relationships/image" Target="../media/image525.jpeg"/><Relationship Id="rId1308" Type="http://schemas.openxmlformats.org/officeDocument/2006/relationships/hyperlink" Target="http://www.gooood.ru/components/com_virtuemart/shop_image/product/ton/T-TS-013-Lbig.jpg" TargetMode="External"/><Relationship Id="rId1862" Type="http://schemas.openxmlformats.org/officeDocument/2006/relationships/hyperlink" Target="http://www.gooood.ru/components/com_virtuemart/shop_image/product/good/14-1633big.jpg" TargetMode="External"/><Relationship Id="rId1515" Type="http://schemas.openxmlformats.org/officeDocument/2006/relationships/image" Target="../media/image658.jpeg"/><Relationship Id="rId1722" Type="http://schemas.openxmlformats.org/officeDocument/2006/relationships/image" Target="../media/image770.jpeg"/><Relationship Id="rId14" Type="http://schemas.openxmlformats.org/officeDocument/2006/relationships/image" Target="../media/image8.jpeg"/><Relationship Id="rId163" Type="http://schemas.openxmlformats.org/officeDocument/2006/relationships/image" Target="../media/image72.jpeg"/><Relationship Id="rId370" Type="http://schemas.openxmlformats.org/officeDocument/2006/relationships/hyperlink" Target="http://www.gooood.ru/components/com_virtuemart/shop_image/product/ton/T-TS-033-Lb.jpg" TargetMode="External"/><Relationship Id="rId2051" Type="http://schemas.openxmlformats.org/officeDocument/2006/relationships/hyperlink" Target="http://www.gooood.ru/components/com_virtuemart/shop_image/product/good/35-8660big.jpg" TargetMode="External"/><Relationship Id="rId230" Type="http://schemas.openxmlformats.org/officeDocument/2006/relationships/hyperlink" Target="http://www.gooood.ru/pictures/katalog/05_1/41-4504b.jpg" TargetMode="External"/><Relationship Id="rId468" Type="http://schemas.openxmlformats.org/officeDocument/2006/relationships/hyperlink" Target="http://www.gooood.ru/pictures/katalog/05_1/34-1522b.jpg" TargetMode="External"/><Relationship Id="rId675" Type="http://schemas.openxmlformats.org/officeDocument/2006/relationships/image" Target="../media/image287.jpeg"/><Relationship Id="rId882" Type="http://schemas.openxmlformats.org/officeDocument/2006/relationships/hyperlink" Target="http://www.gooood.ru/components/com_virtuemart/shop_image/product/good/16-523big.jpg" TargetMode="External"/><Relationship Id="rId1098" Type="http://schemas.openxmlformats.org/officeDocument/2006/relationships/image" Target="../media/image474.jpeg"/><Relationship Id="rId328" Type="http://schemas.openxmlformats.org/officeDocument/2006/relationships/hyperlink" Target="http://www.gooood.ru/components/com_virtuemart/shop_image/product/ton/T-NLS-030b.jpg" TargetMode="External"/><Relationship Id="rId535" Type="http://schemas.openxmlformats.org/officeDocument/2006/relationships/image" Target="../media/image223.jpeg"/><Relationship Id="rId742" Type="http://schemas.openxmlformats.org/officeDocument/2006/relationships/image" Target="../media/image319.jpeg"/><Relationship Id="rId1165" Type="http://schemas.openxmlformats.org/officeDocument/2006/relationships/image" Target="../media/image506.jpeg"/><Relationship Id="rId1372" Type="http://schemas.openxmlformats.org/officeDocument/2006/relationships/image" Target="../media/image593.jpeg"/><Relationship Id="rId2009" Type="http://schemas.openxmlformats.org/officeDocument/2006/relationships/image" Target="../media/image886.jpeg"/><Relationship Id="rId602" Type="http://schemas.openxmlformats.org/officeDocument/2006/relationships/hyperlink" Target="http://www.gooood.ru/components/com_virtuemart/shop_image/product/good/79-249big.jpg" TargetMode="External"/><Relationship Id="rId1025" Type="http://schemas.openxmlformats.org/officeDocument/2006/relationships/hyperlink" Target="http://www.gooood.ru/components/com_virtuemart/shop_image/product/good/14-1575big.jpg" TargetMode="External"/><Relationship Id="rId1232" Type="http://schemas.openxmlformats.org/officeDocument/2006/relationships/image" Target="../media/image536.jpeg"/><Relationship Id="rId1677" Type="http://schemas.openxmlformats.org/officeDocument/2006/relationships/hyperlink" Target="http://www.gooood.ru/components/com_virtuemart/shop_image/product/good/36-1623big.jpg" TargetMode="External"/><Relationship Id="rId1884" Type="http://schemas.openxmlformats.org/officeDocument/2006/relationships/hyperlink" Target="http://www.gooood.ru/components/com_virtuemart/shop_image/product/good/14-3636big.jpg" TargetMode="External"/><Relationship Id="rId907" Type="http://schemas.openxmlformats.org/officeDocument/2006/relationships/hyperlink" Target="http://www.gooood.ru/components/com_virtuemart/shop_image/product/good/64-939big.jpg" TargetMode="External"/><Relationship Id="rId1537" Type="http://schemas.openxmlformats.org/officeDocument/2006/relationships/hyperlink" Target="http://www.gooood.ru/components/com_virtuemart/shop_image/product/ton/T-TS-073big.jpg" TargetMode="External"/><Relationship Id="rId1744" Type="http://schemas.openxmlformats.org/officeDocument/2006/relationships/hyperlink" Target="http://www.gooood.ru/components/com_virtuemart/shop_image/product/good/14-5624-Kbig.jpg" TargetMode="External"/><Relationship Id="rId1951" Type="http://schemas.openxmlformats.org/officeDocument/2006/relationships/hyperlink" Target="http://www.gooood.ru/components/com_virtuemart/shop_image/product/shark/K-19big.jpg" TargetMode="External"/><Relationship Id="rId36" Type="http://schemas.openxmlformats.org/officeDocument/2006/relationships/image" Target="../media/image19.jpeg"/><Relationship Id="rId1604" Type="http://schemas.openxmlformats.org/officeDocument/2006/relationships/image" Target="../media/image699.jpeg"/><Relationship Id="rId185" Type="http://schemas.openxmlformats.org/officeDocument/2006/relationships/image" Target="../media/image83.jpeg"/><Relationship Id="rId1811" Type="http://schemas.openxmlformats.org/officeDocument/2006/relationships/image" Target="../media/image805.jpeg"/><Relationship Id="rId1909" Type="http://schemas.openxmlformats.org/officeDocument/2006/relationships/image" Target="../media/image844.jpeg"/><Relationship Id="rId392" Type="http://schemas.openxmlformats.org/officeDocument/2006/relationships/hyperlink" Target="http://www.gooood.ru/components/com_virtuemart/shop_image/product/ton/T-TS-044-Lb.jpg" TargetMode="External"/><Relationship Id="rId697" Type="http://schemas.openxmlformats.org/officeDocument/2006/relationships/image" Target="../media/image297.jpeg"/><Relationship Id="rId2073" Type="http://schemas.openxmlformats.org/officeDocument/2006/relationships/image" Target="../media/image906.jpeg"/><Relationship Id="rId252" Type="http://schemas.openxmlformats.org/officeDocument/2006/relationships/image" Target="../media/image116.jpeg"/><Relationship Id="rId1187" Type="http://schemas.openxmlformats.org/officeDocument/2006/relationships/hyperlink" Target="http://www.gooood.ru/components/com_virtuemart/shop_image/product/dodo/D-1302-0108big.jpg" TargetMode="External"/><Relationship Id="rId112" Type="http://schemas.openxmlformats.org/officeDocument/2006/relationships/hyperlink" Target="http://www.gooood.ru/pictures/katalog/05_1/15-918b.jpg" TargetMode="External"/><Relationship Id="rId557" Type="http://schemas.openxmlformats.org/officeDocument/2006/relationships/image" Target="../media/image233.jpeg"/><Relationship Id="rId764" Type="http://schemas.openxmlformats.org/officeDocument/2006/relationships/image" Target="../media/image330.jpeg"/><Relationship Id="rId971" Type="http://schemas.openxmlformats.org/officeDocument/2006/relationships/hyperlink" Target="http://www.gooood.ru/components/com_virtuemart/shop_image/product/good/34-5532big.jpg" TargetMode="External"/><Relationship Id="rId1394" Type="http://schemas.openxmlformats.org/officeDocument/2006/relationships/hyperlink" Target="http://www.gooood.ru/components/com_virtuemart/shop_image/product/dodo/D-1418-02big.jpg" TargetMode="External"/><Relationship Id="rId1699" Type="http://schemas.openxmlformats.org/officeDocument/2006/relationships/image" Target="../media/image747.jpeg"/><Relationship Id="rId2000" Type="http://schemas.openxmlformats.org/officeDocument/2006/relationships/hyperlink" Target="http://www.gooood.ru/components/com_virtuemart/shop_image/product/good/14-2653big.jpg" TargetMode="External"/><Relationship Id="rId417" Type="http://schemas.openxmlformats.org/officeDocument/2006/relationships/image" Target="../media/image168.jpeg"/><Relationship Id="rId624" Type="http://schemas.openxmlformats.org/officeDocument/2006/relationships/hyperlink" Target="http://www.gooood.ru/components/com_virtuemart/shop_image/product/good/41-4531big.jpg" TargetMode="External"/><Relationship Id="rId831" Type="http://schemas.openxmlformats.org/officeDocument/2006/relationships/hyperlink" Target="http://www.gooood.ru/components/com_virtuemart/shop_image/product/good/64-4546big.jpg" TargetMode="External"/><Relationship Id="rId1047" Type="http://schemas.openxmlformats.org/officeDocument/2006/relationships/image" Target="../media/image453.jpeg"/><Relationship Id="rId1254" Type="http://schemas.openxmlformats.org/officeDocument/2006/relationships/image" Target="../media/image547.jpeg"/><Relationship Id="rId1461" Type="http://schemas.openxmlformats.org/officeDocument/2006/relationships/hyperlink" Target="http://www.gooood.ru/components/com_virtuemart/shop_image/product/good/22-1595big.jpg" TargetMode="External"/><Relationship Id="rId929" Type="http://schemas.openxmlformats.org/officeDocument/2006/relationships/image" Target="../media/image403.jpeg"/><Relationship Id="rId1114" Type="http://schemas.openxmlformats.org/officeDocument/2006/relationships/image" Target="../media/image482.jpeg"/><Relationship Id="rId1321" Type="http://schemas.openxmlformats.org/officeDocument/2006/relationships/hyperlink" Target="http://www.gooood.ru/components/com_virtuemart/shop_image/product/good/14-4576big.jpg" TargetMode="External"/><Relationship Id="rId1559" Type="http://schemas.openxmlformats.org/officeDocument/2006/relationships/hyperlink" Target="http://www.gooood.ru/components/com_virtuemart/shop_image/product/good/34-7611big.jpg" TargetMode="External"/><Relationship Id="rId1766" Type="http://schemas.openxmlformats.org/officeDocument/2006/relationships/hyperlink" Target="http://www.gooood.ru/components/com_virtuemart/shop_image/product/good/14-2578big.jpg" TargetMode="External"/><Relationship Id="rId1973" Type="http://schemas.openxmlformats.org/officeDocument/2006/relationships/hyperlink" Target="http://www.gooood.ru/components/com_virtuemart/shop_image/product/good/35-1649big.jpg" TargetMode="External"/><Relationship Id="rId58" Type="http://schemas.openxmlformats.org/officeDocument/2006/relationships/hyperlink" Target="http://www.gooood.ru/pictures/katalog/05_1/30-123b.jpg" TargetMode="External"/><Relationship Id="rId1419" Type="http://schemas.openxmlformats.org/officeDocument/2006/relationships/hyperlink" Target="http://www.gooood.ru/components/com_virtuemart/shop_image/product/dodo/D-580-02big.jpg" TargetMode="External"/><Relationship Id="rId1626" Type="http://schemas.openxmlformats.org/officeDocument/2006/relationships/image" Target="../media/image706.jpeg"/><Relationship Id="rId1833" Type="http://schemas.openxmlformats.org/officeDocument/2006/relationships/image" Target="../media/image816.jpeg"/><Relationship Id="rId1900" Type="http://schemas.openxmlformats.org/officeDocument/2006/relationships/hyperlink" Target="http://www.gooood.ru/components/com_virtuemart/shop_image/product/good/14-7611big.jpg" TargetMode="External"/><Relationship Id="rId2095" Type="http://schemas.openxmlformats.org/officeDocument/2006/relationships/image" Target="../media/image914.jpeg"/><Relationship Id="rId274" Type="http://schemas.openxmlformats.org/officeDocument/2006/relationships/image" Target="../media/image127.jpeg"/><Relationship Id="rId481" Type="http://schemas.openxmlformats.org/officeDocument/2006/relationships/image" Target="../media/image197.jpeg"/><Relationship Id="rId134" Type="http://schemas.openxmlformats.org/officeDocument/2006/relationships/hyperlink" Target="http://www.gooood.ru/components/com_virtuemart/shop_image/product/nmnh/77-wl-013b.jpg" TargetMode="External"/><Relationship Id="rId579" Type="http://schemas.openxmlformats.org/officeDocument/2006/relationships/image" Target="../media/image244.jpeg"/><Relationship Id="rId786" Type="http://schemas.openxmlformats.org/officeDocument/2006/relationships/hyperlink" Target="http://www.gooood.ru/components/com_virtuemart/shop_image/product/dodo/D-593L-02b.jpg" TargetMode="External"/><Relationship Id="rId993" Type="http://schemas.openxmlformats.org/officeDocument/2006/relationships/hyperlink" Target="http://www.gooood.ru/components/com_virtuemart/shop_image/product/good/34-1VEGbig.jpg" TargetMode="External"/><Relationship Id="rId341" Type="http://schemas.openxmlformats.org/officeDocument/2006/relationships/hyperlink" Target="http://www.gooood.ru/components/com_virtuemart/shop_image/product/ton/T-NLS-046-Lb.jpg" TargetMode="External"/><Relationship Id="rId439" Type="http://schemas.openxmlformats.org/officeDocument/2006/relationships/hyperlink" Target="http://www.gooood.ru/pictures/katalog/05_1/14-144b.jpg" TargetMode="External"/><Relationship Id="rId646" Type="http://schemas.openxmlformats.org/officeDocument/2006/relationships/hyperlink" Target="http://www.gooood.ru/components/com_virtuemart/shop_image/product/good/34-5528big.jpg" TargetMode="External"/><Relationship Id="rId1069" Type="http://schemas.openxmlformats.org/officeDocument/2006/relationships/hyperlink" Target="http://www.gooood.ru/components/com_virtuemart/shop_image/product/good/85-1559big.jpg" TargetMode="External"/><Relationship Id="rId1276" Type="http://schemas.openxmlformats.org/officeDocument/2006/relationships/hyperlink" Target="http://www.gooood.ru/components/com_virtuemart/shop_image/product/good/14-9584big.jpg" TargetMode="External"/><Relationship Id="rId1483" Type="http://schemas.openxmlformats.org/officeDocument/2006/relationships/hyperlink" Target="http://www.gooood.ru/components/com_virtuemart/shop_image/product/ton/T-NLS-022-Lbig.jpg" TargetMode="External"/><Relationship Id="rId2022" Type="http://schemas.openxmlformats.org/officeDocument/2006/relationships/image" Target="../media/image891.jpeg"/><Relationship Id="rId201" Type="http://schemas.openxmlformats.org/officeDocument/2006/relationships/image" Target="../media/image91.jpeg"/><Relationship Id="rId506" Type="http://schemas.openxmlformats.org/officeDocument/2006/relationships/image" Target="../media/image209.jpeg"/><Relationship Id="rId853" Type="http://schemas.openxmlformats.org/officeDocument/2006/relationships/image" Target="../media/image370.jpeg"/><Relationship Id="rId1136" Type="http://schemas.openxmlformats.org/officeDocument/2006/relationships/image" Target="../media/image492.jpeg"/><Relationship Id="rId1690" Type="http://schemas.openxmlformats.org/officeDocument/2006/relationships/image" Target="../media/image738.jpeg"/><Relationship Id="rId1788" Type="http://schemas.openxmlformats.org/officeDocument/2006/relationships/hyperlink" Target="http://www.gooood.ru/components/com_virtuemart/shop_image/product/good/34-5625big.jpg" TargetMode="External"/><Relationship Id="rId1995" Type="http://schemas.openxmlformats.org/officeDocument/2006/relationships/hyperlink" Target="http://www.gooood.ru/components/com_virtuemart/shop_image/product/good/14-2654big.jpg" TargetMode="External"/><Relationship Id="rId713" Type="http://schemas.openxmlformats.org/officeDocument/2006/relationships/image" Target="../media/image305.jpeg"/><Relationship Id="rId920" Type="http://schemas.openxmlformats.org/officeDocument/2006/relationships/hyperlink" Target="http://www.gooood.ru/components/com_virtuemart/shop_image/product/good/14-207big.jpg" TargetMode="External"/><Relationship Id="rId1343" Type="http://schemas.openxmlformats.org/officeDocument/2006/relationships/hyperlink" Target="http://www.gooood.ru/components/com_virtuemart/shop_image/product/good/81-1589big.jpg" TargetMode="External"/><Relationship Id="rId1550" Type="http://schemas.openxmlformats.org/officeDocument/2006/relationships/image" Target="../media/image671.jpeg"/><Relationship Id="rId1648" Type="http://schemas.openxmlformats.org/officeDocument/2006/relationships/hyperlink" Target="http://www.gooood.ru/components/com_virtuemart/shop_image/product/x/A-36-801big.jpg" TargetMode="External"/><Relationship Id="rId1203" Type="http://schemas.openxmlformats.org/officeDocument/2006/relationships/hyperlink" Target="http://www.gooood.ru/components/com_virtuemart/shop_image/product/dodo/D-415-02b.jpg" TargetMode="External"/><Relationship Id="rId1410" Type="http://schemas.openxmlformats.org/officeDocument/2006/relationships/image" Target="../media/image612.jpeg"/><Relationship Id="rId1508" Type="http://schemas.openxmlformats.org/officeDocument/2006/relationships/hyperlink" Target="http://www.gooood.ru/components/com_virtuemart/shop_image/product/good/38-449big.jpg" TargetMode="External"/><Relationship Id="rId1855" Type="http://schemas.openxmlformats.org/officeDocument/2006/relationships/image" Target="../media/image825.jpeg"/><Relationship Id="rId1715" Type="http://schemas.openxmlformats.org/officeDocument/2006/relationships/image" Target="../media/image763.jpeg"/><Relationship Id="rId1922" Type="http://schemas.openxmlformats.org/officeDocument/2006/relationships/hyperlink" Target="http://www.gooood.ru/components/com_virtuemart/shop_image/product/good/14-1642big.jpg" TargetMode="External"/><Relationship Id="rId296" Type="http://schemas.openxmlformats.org/officeDocument/2006/relationships/hyperlink" Target="http://www.gooood.ru/components/com_virtuemart/shop_image/product/ton/T-LS-038b.jpg" TargetMode="External"/><Relationship Id="rId156" Type="http://schemas.openxmlformats.org/officeDocument/2006/relationships/hyperlink" Target="http://www.gooood.ru/components/com_virtuemart/shop_image/product/nmnh/77-vm-101-ob.jpg" TargetMode="External"/><Relationship Id="rId363" Type="http://schemas.openxmlformats.org/officeDocument/2006/relationships/hyperlink" Target="http://www.gooood.ru/components/com_virtuemart/shop_image/product/ton/T-TS-027b.jpg" TargetMode="External"/><Relationship Id="rId570" Type="http://schemas.openxmlformats.org/officeDocument/2006/relationships/hyperlink" Target="http://www.gooood.ru/components/com_virtuemart/shop_image/product/nmnh/77-171big.jpg" TargetMode="External"/><Relationship Id="rId2044" Type="http://schemas.openxmlformats.org/officeDocument/2006/relationships/image" Target="../media/image897.jpeg"/><Relationship Id="rId223" Type="http://schemas.openxmlformats.org/officeDocument/2006/relationships/image" Target="../media/image102.jpeg"/><Relationship Id="rId430" Type="http://schemas.openxmlformats.org/officeDocument/2006/relationships/hyperlink" Target="http://www.gooood.ru/pictures/katalog/05_1/22-136b.jpg" TargetMode="External"/><Relationship Id="rId668" Type="http://schemas.openxmlformats.org/officeDocument/2006/relationships/hyperlink" Target="http://www.gooood.ru/components/com_virtuemart/shop_image/product/good/83-207b.jpg" TargetMode="External"/><Relationship Id="rId875" Type="http://schemas.openxmlformats.org/officeDocument/2006/relationships/image" Target="../media/image378.jpeg"/><Relationship Id="rId1060" Type="http://schemas.openxmlformats.org/officeDocument/2006/relationships/image" Target="../media/image458.jpeg"/><Relationship Id="rId1298" Type="http://schemas.openxmlformats.org/officeDocument/2006/relationships/hyperlink" Target="http://www.gooood.ru/components/com_virtuemart/shop_image/product/ton/T-JH-065big.jpg" TargetMode="External"/><Relationship Id="rId2111" Type="http://schemas.openxmlformats.org/officeDocument/2006/relationships/hyperlink" Target="http://www.gooood.ru/components/com_virtuemart/shop_image/product/good/35-6672big.jpg" TargetMode="External"/><Relationship Id="rId528" Type="http://schemas.openxmlformats.org/officeDocument/2006/relationships/hyperlink" Target="http://www.gooood.ru/components/com_virtuemart/shop_image/product/good/28-599big.jpg" TargetMode="External"/><Relationship Id="rId735" Type="http://schemas.openxmlformats.org/officeDocument/2006/relationships/hyperlink" Target="http://www.gooood.ru/components/com_virtuemart/shop_image/product/handmade/sg-026big.jpg" TargetMode="External"/><Relationship Id="rId942" Type="http://schemas.openxmlformats.org/officeDocument/2006/relationships/hyperlink" Target="http://www.gooood.ru/components/com_virtuemart/shop_image/product/good/14-1569big.jpg" TargetMode="External"/><Relationship Id="rId1158" Type="http://schemas.openxmlformats.org/officeDocument/2006/relationships/image" Target="../media/image503.jpeg"/><Relationship Id="rId1365" Type="http://schemas.openxmlformats.org/officeDocument/2006/relationships/hyperlink" Target="http://www.gooood.ru/components/com_virtuemart/shop_image/product/good/36-119b.jpg" TargetMode="External"/><Relationship Id="rId1572" Type="http://schemas.openxmlformats.org/officeDocument/2006/relationships/image" Target="../media/image682.jpeg"/><Relationship Id="rId1018" Type="http://schemas.openxmlformats.org/officeDocument/2006/relationships/hyperlink" Target="http://www.gooood.ru/components/com_virtuemart/shop_image/product/ton/T-TS-061b.jpg" TargetMode="External"/><Relationship Id="rId1225" Type="http://schemas.openxmlformats.org/officeDocument/2006/relationships/hyperlink" Target="http://www.gooood.ru/components/com_virtuemart/shop_image/product/good/14-1504big.jpg" TargetMode="External"/><Relationship Id="rId1432" Type="http://schemas.openxmlformats.org/officeDocument/2006/relationships/image" Target="../media/image622.jpeg"/><Relationship Id="rId1877" Type="http://schemas.openxmlformats.org/officeDocument/2006/relationships/hyperlink" Target="http://www.gooood.ru/components/com_virtuemart/shop_image/product/good/14-536-Kbig.jpg" TargetMode="External"/><Relationship Id="rId71" Type="http://schemas.openxmlformats.org/officeDocument/2006/relationships/hyperlink" Target="http://www.gooood.ru/pictures/katalog/05_1/34-141b.jpg" TargetMode="External"/><Relationship Id="rId802" Type="http://schemas.openxmlformats.org/officeDocument/2006/relationships/hyperlink" Target="http://www.gooood.ru/components/com_virtuemart/shop_image/product/good/28-3545big.jpg" TargetMode="External"/><Relationship Id="rId1737" Type="http://schemas.openxmlformats.org/officeDocument/2006/relationships/image" Target="../media/image784.jpeg"/><Relationship Id="rId1944" Type="http://schemas.openxmlformats.org/officeDocument/2006/relationships/hyperlink" Target="http://www.gooood.ru/components/com_virtuemart/shop_image/product/good/35-6643big.jpg" TargetMode="External"/><Relationship Id="rId29" Type="http://schemas.openxmlformats.org/officeDocument/2006/relationships/hyperlink" Target="http://www.gooood.ru/pictures/katalog/05_1/14-170b.jpg" TargetMode="External"/><Relationship Id="rId178" Type="http://schemas.openxmlformats.org/officeDocument/2006/relationships/hyperlink" Target="http://www.gooood.ru/components/com_virtuemart/shop_image/product/nmnh/77-en-154b.jpg" TargetMode="External"/><Relationship Id="rId1804" Type="http://schemas.openxmlformats.org/officeDocument/2006/relationships/hyperlink" Target="http://www.gooood.ru/components/com_virtuemart/shop_image/product/cap/C-2605Hbig.jpg" TargetMode="External"/><Relationship Id="rId385" Type="http://schemas.openxmlformats.org/officeDocument/2006/relationships/hyperlink" Target="http://www.gooood.ru/components/com_virtuemart/shop_image/product/ton/T-TS-042b.jpg" TargetMode="External"/><Relationship Id="rId592" Type="http://schemas.openxmlformats.org/officeDocument/2006/relationships/hyperlink" Target="http://www.gooood.ru/components/com_virtuemart/shop_image/product/nmnh/77-Pc43Wbig.jpg" TargetMode="External"/><Relationship Id="rId2066" Type="http://schemas.openxmlformats.org/officeDocument/2006/relationships/hyperlink" Target="http://www.gooood.ru/components/com_virtuemart/shop_image/product/good/14-4662big.jpg" TargetMode="External"/><Relationship Id="rId245" Type="http://schemas.openxmlformats.org/officeDocument/2006/relationships/hyperlink" Target="http://www.gooood.ru/pictures/katalog/05_1/50-1510b.jpg" TargetMode="External"/><Relationship Id="rId452" Type="http://schemas.openxmlformats.org/officeDocument/2006/relationships/hyperlink" Target="http://www.gooood.ru/pictures/katalog/05_1/16-5512b.jpg" TargetMode="External"/><Relationship Id="rId897" Type="http://schemas.openxmlformats.org/officeDocument/2006/relationships/hyperlink" Target="http://www.gooood.ru/components/com_virtuemart/shop_image/product/good/84-9558big.jpg" TargetMode="External"/><Relationship Id="rId1082" Type="http://schemas.openxmlformats.org/officeDocument/2006/relationships/hyperlink" Target="http://www.gooood.ru/components/com_virtuemart/shop_image/product/good/34-901SGbig.jpg" TargetMode="External"/><Relationship Id="rId105" Type="http://schemas.openxmlformats.org/officeDocument/2006/relationships/image" Target="../media/image43.jpeg"/><Relationship Id="rId312" Type="http://schemas.openxmlformats.org/officeDocument/2006/relationships/image" Target="../media/image143.jpeg"/><Relationship Id="rId757" Type="http://schemas.openxmlformats.org/officeDocument/2006/relationships/hyperlink" Target="http://www.gooood.ru/components/com_virtuemart/shop_image/product/good/46-900big.jpg" TargetMode="External"/><Relationship Id="rId964" Type="http://schemas.openxmlformats.org/officeDocument/2006/relationships/image" Target="../media/image416.jpeg"/><Relationship Id="rId1387" Type="http://schemas.openxmlformats.org/officeDocument/2006/relationships/image" Target="../media/image600.jpeg"/><Relationship Id="rId1594" Type="http://schemas.openxmlformats.org/officeDocument/2006/relationships/image" Target="../media/image694.jpeg"/><Relationship Id="rId93" Type="http://schemas.openxmlformats.org/officeDocument/2006/relationships/image" Target="../media/image37.jpeg"/><Relationship Id="rId617" Type="http://schemas.openxmlformats.org/officeDocument/2006/relationships/hyperlink" Target="http://www.gooood.ru/components/com_virtuemart/shop_image/product/good/38-8531big.jpg" TargetMode="External"/><Relationship Id="rId824" Type="http://schemas.openxmlformats.org/officeDocument/2006/relationships/hyperlink" Target="http://www.gooood.ru/components/com_virtuemart/shop_image/product/good/46-9544big.jpg" TargetMode="External"/><Relationship Id="rId1247" Type="http://schemas.openxmlformats.org/officeDocument/2006/relationships/hyperlink" Target="http://www.gooood.ru/components/com_virtuemart/shop_image/product/dodo/D-426-3001b.jpg" TargetMode="External"/><Relationship Id="rId1454" Type="http://schemas.openxmlformats.org/officeDocument/2006/relationships/image" Target="../media/image632.jpeg"/><Relationship Id="rId1661" Type="http://schemas.openxmlformats.org/officeDocument/2006/relationships/image" Target="../media/image721.jpeg"/><Relationship Id="rId1899" Type="http://schemas.openxmlformats.org/officeDocument/2006/relationships/image" Target="../media/image840.jpeg"/><Relationship Id="rId1107" Type="http://schemas.openxmlformats.org/officeDocument/2006/relationships/hyperlink" Target="http://www.gooood.ru/components/com_virtuemart/shop_image/product/good/44-1581big.jpg" TargetMode="External"/><Relationship Id="rId1314" Type="http://schemas.openxmlformats.org/officeDocument/2006/relationships/hyperlink" Target="http://www.gooood.ru/components/com_virtuemart/shop_image/product/good/36-1581big.jpg" TargetMode="External"/><Relationship Id="rId1521" Type="http://schemas.openxmlformats.org/officeDocument/2006/relationships/hyperlink" Target="http://www.gooood.ru/components/com_virtuemart/shop_image/product/good/34-1610big.jpg" TargetMode="External"/><Relationship Id="rId1759" Type="http://schemas.openxmlformats.org/officeDocument/2006/relationships/image" Target="../media/image788.jpeg"/><Relationship Id="rId1966" Type="http://schemas.openxmlformats.org/officeDocument/2006/relationships/hyperlink" Target="http://www.gooood.ru/components/com_virtuemart/shop_image/product/good/14-2640big.jpg" TargetMode="External"/><Relationship Id="rId1619" Type="http://schemas.openxmlformats.org/officeDocument/2006/relationships/image" Target="../media/image703.jpeg"/><Relationship Id="rId1826" Type="http://schemas.openxmlformats.org/officeDocument/2006/relationships/hyperlink" Target="http://www.gooood.ru/components/com_virtuemart/shop_image/product/cap/C-614big.jpg" TargetMode="External"/><Relationship Id="rId20" Type="http://schemas.openxmlformats.org/officeDocument/2006/relationships/image" Target="../media/image11.jpeg"/><Relationship Id="rId2088" Type="http://schemas.openxmlformats.org/officeDocument/2006/relationships/hyperlink" Target="http://www.gooood.ru/components/com_virtuemart/shop_image/product/good/20-8584big.jpg" TargetMode="External"/><Relationship Id="rId267" Type="http://schemas.openxmlformats.org/officeDocument/2006/relationships/hyperlink" Target="http://www.gooood.ru/pictures/katalog/05_1/36-9506b.jpg" TargetMode="External"/><Relationship Id="rId474" Type="http://schemas.openxmlformats.org/officeDocument/2006/relationships/hyperlink" Target="http://www.gooood.ru/pictures/katalog/05_1/30-5521b.jpg" TargetMode="External"/><Relationship Id="rId127" Type="http://schemas.openxmlformats.org/officeDocument/2006/relationships/image" Target="../media/image54.jpeg"/><Relationship Id="rId681" Type="http://schemas.openxmlformats.org/officeDocument/2006/relationships/hyperlink" Target="http://www.gooood.ru/components/com_virtuemart/shop_image/product/good/83-259b.jpg" TargetMode="External"/><Relationship Id="rId779" Type="http://schemas.openxmlformats.org/officeDocument/2006/relationships/image" Target="../media/image337.jpeg"/><Relationship Id="rId986" Type="http://schemas.openxmlformats.org/officeDocument/2006/relationships/image" Target="../media/image426.jpeg"/><Relationship Id="rId334" Type="http://schemas.openxmlformats.org/officeDocument/2006/relationships/hyperlink" Target="http://www.gooood.ru/components/com_virtuemart/shop_image/product/ton/T-NLS-040-Lb.jpg" TargetMode="External"/><Relationship Id="rId541" Type="http://schemas.openxmlformats.org/officeDocument/2006/relationships/image" Target="../media/image226.jpeg"/><Relationship Id="rId639" Type="http://schemas.openxmlformats.org/officeDocument/2006/relationships/image" Target="../media/image270.jpeg"/><Relationship Id="rId1171" Type="http://schemas.openxmlformats.org/officeDocument/2006/relationships/image" Target="../media/image509.jpeg"/><Relationship Id="rId1269" Type="http://schemas.openxmlformats.org/officeDocument/2006/relationships/image" Target="../media/image553.jpeg"/><Relationship Id="rId1476" Type="http://schemas.openxmlformats.org/officeDocument/2006/relationships/hyperlink" Target="http://www.gooood.ru/components/com_virtuemart/shop_image/product/ton/T-JH-022-01big.jpg" TargetMode="External"/><Relationship Id="rId2015" Type="http://schemas.openxmlformats.org/officeDocument/2006/relationships/hyperlink" Target="http://www.gooood.ru/pictures/katalog/05_1/35-518b.jpg" TargetMode="External"/><Relationship Id="rId401" Type="http://schemas.openxmlformats.org/officeDocument/2006/relationships/hyperlink" Target="http://www.gooood.ru/components/com_virtuemart/shop_image/product/ton/T-NLS-013-Lb.jpg" TargetMode="External"/><Relationship Id="rId846" Type="http://schemas.openxmlformats.org/officeDocument/2006/relationships/hyperlink" Target="http://www.gooood.ru/components/com_virtuemart/shop_image/product/good/34-1542big.jpg" TargetMode="External"/><Relationship Id="rId1031" Type="http://schemas.openxmlformats.org/officeDocument/2006/relationships/hyperlink" Target="http://www.gooood.ru/components/com_virtuemart/shop_image/product/good/22-1574big.jpg" TargetMode="External"/><Relationship Id="rId1129" Type="http://schemas.openxmlformats.org/officeDocument/2006/relationships/hyperlink" Target="http://www.gooood.ru/components/com_virtuemart/shop_image/product/sexylife/SL-NI-M-1.jpg" TargetMode="External"/><Relationship Id="rId1683" Type="http://schemas.openxmlformats.org/officeDocument/2006/relationships/image" Target="../media/image731.jpeg"/><Relationship Id="rId1890" Type="http://schemas.openxmlformats.org/officeDocument/2006/relationships/hyperlink" Target="http://www.gooood.ru/components/com_virtuemart/shop_image/product/good/34-2DSbig.jpg" TargetMode="External"/><Relationship Id="rId1988" Type="http://schemas.openxmlformats.org/officeDocument/2006/relationships/hyperlink" Target="http://www.gooood.ru/components/com_virtuemart/shop_image/product/good/14-1646big.jpg" TargetMode="External"/><Relationship Id="rId706" Type="http://schemas.openxmlformats.org/officeDocument/2006/relationships/hyperlink" Target="http://www.gooood.ru/components/com_virtuemart/shop_image/product/good/44-1540big.jpg" TargetMode="External"/><Relationship Id="rId913" Type="http://schemas.openxmlformats.org/officeDocument/2006/relationships/image" Target="../media/image396.jpeg"/><Relationship Id="rId1336" Type="http://schemas.openxmlformats.org/officeDocument/2006/relationships/hyperlink" Target="http://www.gooood.ru/components/com_virtuemart/shop_image/product/good/36-1582big.jpg" TargetMode="External"/><Relationship Id="rId1543" Type="http://schemas.openxmlformats.org/officeDocument/2006/relationships/hyperlink" Target="http://www.gooood.ru/components/com_virtuemart/shop_image/product/shark/K-01big.jpg" TargetMode="External"/><Relationship Id="rId1750" Type="http://schemas.openxmlformats.org/officeDocument/2006/relationships/hyperlink" Target="http://www.gooood.ru/components/com_virtuemart/shop_image/product/good/22-938big.jpg" TargetMode="External"/><Relationship Id="rId42" Type="http://schemas.openxmlformats.org/officeDocument/2006/relationships/image" Target="../media/image22.jpeg"/><Relationship Id="rId1403" Type="http://schemas.openxmlformats.org/officeDocument/2006/relationships/hyperlink" Target="http://www.gooood.ru/components/com_virtuemart/shop_image/product/dodo/D-1439-01big.jpg" TargetMode="External"/><Relationship Id="rId1610" Type="http://schemas.openxmlformats.org/officeDocument/2006/relationships/image" Target="../media/image701.jpeg"/><Relationship Id="rId1848" Type="http://schemas.openxmlformats.org/officeDocument/2006/relationships/hyperlink" Target="http://www.gooood.ru/components/com_virtuemart/shop_image/product/good/14-1632big.jpg" TargetMode="External"/><Relationship Id="rId191" Type="http://schemas.openxmlformats.org/officeDocument/2006/relationships/image" Target="../media/image86.jpeg"/><Relationship Id="rId1708" Type="http://schemas.openxmlformats.org/officeDocument/2006/relationships/image" Target="../media/image756.jpeg"/><Relationship Id="rId1915" Type="http://schemas.openxmlformats.org/officeDocument/2006/relationships/image" Target="../media/image847.jpeg"/><Relationship Id="rId289" Type="http://schemas.openxmlformats.org/officeDocument/2006/relationships/hyperlink" Target="http://www.gooood.ru/pictures/katalog/05_1/34-143b.jpg" TargetMode="External"/><Relationship Id="rId496" Type="http://schemas.openxmlformats.org/officeDocument/2006/relationships/hyperlink" Target="http://www.gooood.ru/components/com_virtuemart/shop_image/product/dodo/D-471-01b.jpg" TargetMode="External"/><Relationship Id="rId149" Type="http://schemas.openxmlformats.org/officeDocument/2006/relationships/image" Target="../media/image65.jpeg"/><Relationship Id="rId356" Type="http://schemas.openxmlformats.org/officeDocument/2006/relationships/hyperlink" Target="http://www.gooood.ru/components/com_virtuemart/shop_image/product/ton/T-TS-015-Bb.jpg" TargetMode="External"/><Relationship Id="rId563" Type="http://schemas.openxmlformats.org/officeDocument/2006/relationships/image" Target="../media/image236.jpeg"/><Relationship Id="rId770" Type="http://schemas.openxmlformats.org/officeDocument/2006/relationships/image" Target="../media/image333.jpeg"/><Relationship Id="rId1193" Type="http://schemas.openxmlformats.org/officeDocument/2006/relationships/hyperlink" Target="http://www.gooood.ru/components/com_virtuemart/shop_image/product/dodo/D-1416-01big.jpg" TargetMode="External"/><Relationship Id="rId2037" Type="http://schemas.openxmlformats.org/officeDocument/2006/relationships/hyperlink" Target="http://www.gooood.ru/pictures/katalog/05_1/35-1519b.jpg" TargetMode="External"/><Relationship Id="rId216" Type="http://schemas.openxmlformats.org/officeDocument/2006/relationships/hyperlink" Target="http://www.gooood.ru/pictures/katalog/05_1/28-6504b.jpg" TargetMode="External"/><Relationship Id="rId423" Type="http://schemas.openxmlformats.org/officeDocument/2006/relationships/hyperlink" Target="http://www.gooood.ru/pictures/katalog/05_1/30-190b.jpg" TargetMode="External"/><Relationship Id="rId868" Type="http://schemas.openxmlformats.org/officeDocument/2006/relationships/image" Target="../media/image375.jpeg"/><Relationship Id="rId1053" Type="http://schemas.openxmlformats.org/officeDocument/2006/relationships/hyperlink" Target="http://www.gooood.ru/components/com_virtuemart/shop_image/product/good/14-1577big.jpg" TargetMode="External"/><Relationship Id="rId1260" Type="http://schemas.openxmlformats.org/officeDocument/2006/relationships/image" Target="../media/image550.jpeg"/><Relationship Id="rId1498" Type="http://schemas.openxmlformats.org/officeDocument/2006/relationships/image" Target="../media/image650.jpeg"/><Relationship Id="rId2104" Type="http://schemas.openxmlformats.org/officeDocument/2006/relationships/hyperlink" Target="http://www.gooood.ru/components/com_virtuemart/shop_image/product/good/14-9660-kbig.jpg" TargetMode="External"/><Relationship Id="rId630" Type="http://schemas.openxmlformats.org/officeDocument/2006/relationships/image" Target="../media/image266.jpeg"/><Relationship Id="rId728" Type="http://schemas.openxmlformats.org/officeDocument/2006/relationships/image" Target="../media/image312.jpeg"/><Relationship Id="rId935" Type="http://schemas.openxmlformats.org/officeDocument/2006/relationships/hyperlink" Target="http://www.gooood.ru/components/com_virtuemart/shop_image/product/good/14-5564big.jpg" TargetMode="External"/><Relationship Id="rId1358" Type="http://schemas.openxmlformats.org/officeDocument/2006/relationships/image" Target="../media/image588.jpeg"/><Relationship Id="rId1565" Type="http://schemas.openxmlformats.org/officeDocument/2006/relationships/hyperlink" Target="http://www.gooood.ru/components/com_virtuemart/shop_image/product/good/14-8584big.jpg" TargetMode="External"/><Relationship Id="rId1772" Type="http://schemas.openxmlformats.org/officeDocument/2006/relationships/image" Target="../media/image790.jpeg"/><Relationship Id="rId64" Type="http://schemas.openxmlformats.org/officeDocument/2006/relationships/hyperlink" Target="http://www.gooood.ru/pictures/katalog/05_1/30-427b.jpg" TargetMode="External"/><Relationship Id="rId1120" Type="http://schemas.openxmlformats.org/officeDocument/2006/relationships/image" Target="../media/image485.jpeg"/><Relationship Id="rId1218" Type="http://schemas.openxmlformats.org/officeDocument/2006/relationships/image" Target="../media/image529.jpeg"/><Relationship Id="rId1425" Type="http://schemas.openxmlformats.org/officeDocument/2006/relationships/hyperlink" Target="http://www.gooood.ru/components/com_virtuemart/shop_image/product/ton/T-JHWS-037big.jpg" TargetMode="External"/><Relationship Id="rId1632" Type="http://schemas.openxmlformats.org/officeDocument/2006/relationships/hyperlink" Target="http://www.gooood.ru/components/com_virtuemart/shop_image/product/good/44-3620big.jpg" TargetMode="External"/><Relationship Id="rId1937" Type="http://schemas.openxmlformats.org/officeDocument/2006/relationships/image" Target="../media/image856.jpeg"/><Relationship Id="rId280" Type="http://schemas.openxmlformats.org/officeDocument/2006/relationships/image" Target="../media/image130.jpeg"/><Relationship Id="rId140" Type="http://schemas.openxmlformats.org/officeDocument/2006/relationships/hyperlink" Target="http://www.gooood.ru/pictures/katalog/05_1/34-262b.jpg" TargetMode="External"/><Relationship Id="rId378" Type="http://schemas.openxmlformats.org/officeDocument/2006/relationships/hyperlink" Target="http://www.gooood.ru/components/com_virtuemart/shop_image/product/ton/T-TS-037-Lb.jpg" TargetMode="External"/><Relationship Id="rId585" Type="http://schemas.openxmlformats.org/officeDocument/2006/relationships/image" Target="../media/image247.jpeg"/><Relationship Id="rId792" Type="http://schemas.openxmlformats.org/officeDocument/2006/relationships/image" Target="../media/image344.jpeg"/><Relationship Id="rId2059" Type="http://schemas.openxmlformats.org/officeDocument/2006/relationships/image" Target="../media/image899.jpeg"/><Relationship Id="rId6" Type="http://schemas.openxmlformats.org/officeDocument/2006/relationships/image" Target="../media/image4.jpeg"/><Relationship Id="rId238" Type="http://schemas.openxmlformats.org/officeDocument/2006/relationships/hyperlink" Target="http://www.gooood.ru/pictures/katalog/05_1/14-4504b.jpg" TargetMode="External"/><Relationship Id="rId445" Type="http://schemas.openxmlformats.org/officeDocument/2006/relationships/image" Target="../media/image180.jpeg"/><Relationship Id="rId652" Type="http://schemas.openxmlformats.org/officeDocument/2006/relationships/hyperlink" Target="http://www.gooood.ru/components/com_virtuemart/shop_image/product/good/22-922big.jpg" TargetMode="External"/><Relationship Id="rId1075" Type="http://schemas.openxmlformats.org/officeDocument/2006/relationships/image" Target="../media/image464.jpeg"/><Relationship Id="rId1282" Type="http://schemas.openxmlformats.org/officeDocument/2006/relationships/image" Target="../media/image559.jpeg"/><Relationship Id="rId2126" Type="http://schemas.openxmlformats.org/officeDocument/2006/relationships/image" Target="../media/image928.jpeg"/><Relationship Id="rId305" Type="http://schemas.openxmlformats.org/officeDocument/2006/relationships/hyperlink" Target="http://www.gooood.ru/components/com_virtuemart/shop_image/product/ton/T-NLS-002b.jpg" TargetMode="External"/><Relationship Id="rId512" Type="http://schemas.openxmlformats.org/officeDocument/2006/relationships/hyperlink" Target="http://www.gooood.ru/components/com_virtuemart/shop_image/product/good/34-843big.jpg" TargetMode="External"/><Relationship Id="rId957" Type="http://schemas.openxmlformats.org/officeDocument/2006/relationships/hyperlink" Target="http://www.gooood.ru/components/com_virtuemart/shop_image/product/yantra/80-14-108big.jpg" TargetMode="External"/><Relationship Id="rId1142" Type="http://schemas.openxmlformats.org/officeDocument/2006/relationships/image" Target="../media/image495.jpeg"/><Relationship Id="rId1587" Type="http://schemas.openxmlformats.org/officeDocument/2006/relationships/image" Target="../media/image689.png"/><Relationship Id="rId1794" Type="http://schemas.openxmlformats.org/officeDocument/2006/relationships/hyperlink" Target="http://www.gooood.ru/components/com_virtuemart/shop_image/product/good/14-2627big.jpg" TargetMode="External"/><Relationship Id="rId86" Type="http://schemas.openxmlformats.org/officeDocument/2006/relationships/hyperlink" Target="http://www.gooood.ru/pictures/katalog/05_1/36-160b.jpg" TargetMode="External"/><Relationship Id="rId817" Type="http://schemas.openxmlformats.org/officeDocument/2006/relationships/image" Target="../media/image356.jpeg"/><Relationship Id="rId1002" Type="http://schemas.openxmlformats.org/officeDocument/2006/relationships/hyperlink" Target="http://www.gooood.ru/components/com_virtuemart/shop_image/product/good/53-5565big.jpg" TargetMode="External"/><Relationship Id="rId1447" Type="http://schemas.openxmlformats.org/officeDocument/2006/relationships/image" Target="../media/image629.jpeg"/><Relationship Id="rId1654" Type="http://schemas.openxmlformats.org/officeDocument/2006/relationships/hyperlink" Target="http://www.gooood.ru/components/com_virtuemart/shop_image/product/glookoraund/G-12-703big.jpg" TargetMode="External"/><Relationship Id="rId1861" Type="http://schemas.openxmlformats.org/officeDocument/2006/relationships/hyperlink" Target="http://www.gooood.ru/components/com_virtuemart/shop_image/product/good/34-204big.jpg" TargetMode="External"/><Relationship Id="rId1307" Type="http://schemas.openxmlformats.org/officeDocument/2006/relationships/image" Target="../media/image571.jpeg"/><Relationship Id="rId1514" Type="http://schemas.openxmlformats.org/officeDocument/2006/relationships/hyperlink" Target="http://www.gooood.ru/components/com_virtuemart/shop_image/product/good/14-7506b.jpg" TargetMode="External"/><Relationship Id="rId1721" Type="http://schemas.openxmlformats.org/officeDocument/2006/relationships/image" Target="../media/image769.jpeg"/><Relationship Id="rId1959" Type="http://schemas.openxmlformats.org/officeDocument/2006/relationships/image" Target="../media/image866.jpeg"/><Relationship Id="rId13" Type="http://schemas.openxmlformats.org/officeDocument/2006/relationships/hyperlink" Target="http://www.gooood.ru/pictures/katalog/05_1/14-123b.jpg" TargetMode="External"/><Relationship Id="rId1819" Type="http://schemas.openxmlformats.org/officeDocument/2006/relationships/image" Target="../media/image809.jpeg"/><Relationship Id="rId162" Type="http://schemas.openxmlformats.org/officeDocument/2006/relationships/hyperlink" Target="http://www.gooood.ru/components/com_virtuemart/shop_image/product/nmnh/77-vw-098-pb.jpg" TargetMode="External"/><Relationship Id="rId467" Type="http://schemas.openxmlformats.org/officeDocument/2006/relationships/image" Target="../media/image190.jpeg"/><Relationship Id="rId1097" Type="http://schemas.openxmlformats.org/officeDocument/2006/relationships/hyperlink" Target="http://www.gooood.ru/components/com_virtuemart/shop_image/product/good/34-749big.jpg" TargetMode="External"/><Relationship Id="rId2050" Type="http://schemas.openxmlformats.org/officeDocument/2006/relationships/hyperlink" Target="http://www.gooood.ru/components/com_virtuemart/shop_image/product/good/35-6660big.jpg" TargetMode="External"/><Relationship Id="rId674" Type="http://schemas.openxmlformats.org/officeDocument/2006/relationships/hyperlink" Target="http://www.gooood.ru/components/com_virtuemart/shop_image/product/good/83-7524b.jpg" TargetMode="External"/><Relationship Id="rId881" Type="http://schemas.openxmlformats.org/officeDocument/2006/relationships/image" Target="../media/image380.jpeg"/><Relationship Id="rId979" Type="http://schemas.openxmlformats.org/officeDocument/2006/relationships/hyperlink" Target="http://www.gooood.ru/components/com_virtuemart/shop_image/product/good/28-4568big.jpg" TargetMode="External"/><Relationship Id="rId327" Type="http://schemas.openxmlformats.org/officeDocument/2006/relationships/hyperlink" Target="http://www.gooood.ru/components/com_virtuemart/shop_image/product/ton/T-NLS-023-Lb.jpg" TargetMode="External"/><Relationship Id="rId534" Type="http://schemas.openxmlformats.org/officeDocument/2006/relationships/hyperlink" Target="http://www.gooood.ru/components/com_virtuemart/shop_image/product/good/34-943big.jpg" TargetMode="External"/><Relationship Id="rId741" Type="http://schemas.openxmlformats.org/officeDocument/2006/relationships/hyperlink" Target="http://www.gooood.ru/components/com_virtuemart/shop_image/product/handmade/sg-029big.jpg" TargetMode="External"/><Relationship Id="rId839" Type="http://schemas.openxmlformats.org/officeDocument/2006/relationships/hyperlink" Target="http://www.gooood.ru/components/com_virtuemart/shop_image/product/ton/T-LS-044-Lb.jpg" TargetMode="External"/><Relationship Id="rId1164" Type="http://schemas.openxmlformats.org/officeDocument/2006/relationships/hyperlink" Target="http://www.gooood.ru/components/com_virtuemart/shop_image/product/good/28-3584big.jpg" TargetMode="External"/><Relationship Id="rId1371" Type="http://schemas.openxmlformats.org/officeDocument/2006/relationships/hyperlink" Target="http://www.gooood.ru/components/com_virtuemart/shop_image/product/good/14-2531big.jpg" TargetMode="External"/><Relationship Id="rId1469" Type="http://schemas.openxmlformats.org/officeDocument/2006/relationships/hyperlink" Target="http://www.gooood.ru/components/com_virtuemart/shop_image/product/ton/T-LS-022b.jpg" TargetMode="External"/><Relationship Id="rId2008" Type="http://schemas.openxmlformats.org/officeDocument/2006/relationships/hyperlink" Target="http://www.gooood.ru/components/com_virtuemart/shop_image/product/good/14-788big.jpg" TargetMode="External"/><Relationship Id="rId601" Type="http://schemas.openxmlformats.org/officeDocument/2006/relationships/image" Target="../media/image255.jpeg"/><Relationship Id="rId1024" Type="http://schemas.openxmlformats.org/officeDocument/2006/relationships/image" Target="../media/image444.jpeg"/><Relationship Id="rId1231" Type="http://schemas.openxmlformats.org/officeDocument/2006/relationships/hyperlink" Target="http://www.gooood.ru/components/com_virtuemart/shop_image/product/good/14-7512big.jpg" TargetMode="External"/><Relationship Id="rId1676" Type="http://schemas.openxmlformats.org/officeDocument/2006/relationships/image" Target="../media/image726.jpeg"/><Relationship Id="rId1883" Type="http://schemas.openxmlformats.org/officeDocument/2006/relationships/hyperlink" Target="http://www.gooood.ru/components/com_virtuemart/shop_image/product/good/34-1623big.jpg" TargetMode="External"/><Relationship Id="rId906" Type="http://schemas.openxmlformats.org/officeDocument/2006/relationships/image" Target="../media/image393.jpeg"/><Relationship Id="rId1329" Type="http://schemas.openxmlformats.org/officeDocument/2006/relationships/hyperlink" Target="http://www.gooood.ru/components/com_virtuemart/shop_image/product/good/14-1593big.jpg" TargetMode="External"/><Relationship Id="rId1536" Type="http://schemas.openxmlformats.org/officeDocument/2006/relationships/image" Target="../media/image667.jpeg"/><Relationship Id="rId1743" Type="http://schemas.openxmlformats.org/officeDocument/2006/relationships/image" Target="../media/image785.jpeg"/><Relationship Id="rId1950" Type="http://schemas.openxmlformats.org/officeDocument/2006/relationships/hyperlink" Target="http://www.gooood.ru/components/com_virtuemart/shop_image/product/ton/T-TS-080-Lb.jpg" TargetMode="External"/><Relationship Id="rId35" Type="http://schemas.openxmlformats.org/officeDocument/2006/relationships/hyperlink" Target="http://www.gooood.ru/pictures/katalog/05_1/14-182b.jpg" TargetMode="External"/><Relationship Id="rId1603" Type="http://schemas.openxmlformats.org/officeDocument/2006/relationships/hyperlink" Target="http://www.gooood.ru/components/com_virtuemart/shop_image/product/good/28-396big.jpg" TargetMode="External"/><Relationship Id="rId1810" Type="http://schemas.openxmlformats.org/officeDocument/2006/relationships/hyperlink" Target="http://www.gooood.ru/components/com_virtuemart/shop_image/product/cap/C-4576big.jpg" TargetMode="External"/><Relationship Id="rId184" Type="http://schemas.openxmlformats.org/officeDocument/2006/relationships/hyperlink" Target="http://www.gooood.ru/pictures/katalog/05_1/34-3502b.jpg" TargetMode="External"/><Relationship Id="rId391" Type="http://schemas.openxmlformats.org/officeDocument/2006/relationships/image" Target="../media/image159.jpeg"/><Relationship Id="rId1908" Type="http://schemas.openxmlformats.org/officeDocument/2006/relationships/hyperlink" Target="http://www.gooood.ru/components/com_virtuemart/shop_image/product/good/14-7641-1big.jpg" TargetMode="External"/><Relationship Id="rId2072" Type="http://schemas.openxmlformats.org/officeDocument/2006/relationships/hyperlink" Target="http://www.gooood.ru/components/com_virtuemart/shop_image/product/good/36-3662big.jpg" TargetMode="External"/><Relationship Id="rId251" Type="http://schemas.openxmlformats.org/officeDocument/2006/relationships/hyperlink" Target="http://www.gooood.ru/components/com_virtuemart/shop_image/product/mospheric/M-14-401b.jpg" TargetMode="External"/><Relationship Id="rId489" Type="http://schemas.openxmlformats.org/officeDocument/2006/relationships/image" Target="../media/image201.jpeg"/><Relationship Id="rId696" Type="http://schemas.openxmlformats.org/officeDocument/2006/relationships/hyperlink" Target="http://www.gooood.ru/components/com_virtuemart/shop_image/product/good/32-1534big.jpg" TargetMode="External"/><Relationship Id="rId349" Type="http://schemas.openxmlformats.org/officeDocument/2006/relationships/hyperlink" Target="http://www.gooood.ru/components/com_virtuemart/shop_image/product/ton/T-TS-002-Lb.jpg" TargetMode="External"/><Relationship Id="rId556" Type="http://schemas.openxmlformats.org/officeDocument/2006/relationships/hyperlink" Target="http://www.gooood.ru/components/com_virtuemart/shop_image/product/good/14-1529-1big.jpg" TargetMode="External"/><Relationship Id="rId763" Type="http://schemas.openxmlformats.org/officeDocument/2006/relationships/hyperlink" Target="http://www.gooood.ru/components/com_virtuemart/shop_image/product/good/83-7539b.jpg" TargetMode="External"/><Relationship Id="rId1186" Type="http://schemas.openxmlformats.org/officeDocument/2006/relationships/hyperlink" Target="http://www.gooood.ru/components/com_virtuemart/shop_image/product/good/36-5564big.jpg" TargetMode="External"/><Relationship Id="rId1393" Type="http://schemas.openxmlformats.org/officeDocument/2006/relationships/image" Target="../media/image603.jpeg"/><Relationship Id="rId111" Type="http://schemas.openxmlformats.org/officeDocument/2006/relationships/image" Target="../media/image46.jpeg"/><Relationship Id="rId209" Type="http://schemas.openxmlformats.org/officeDocument/2006/relationships/image" Target="../media/image95.jpeg"/><Relationship Id="rId416" Type="http://schemas.openxmlformats.org/officeDocument/2006/relationships/hyperlink" Target="http://www.gooood.ru/pictures/katalog/05_1/36-8505b.jpg" TargetMode="External"/><Relationship Id="rId970" Type="http://schemas.openxmlformats.org/officeDocument/2006/relationships/image" Target="../media/image419.jpeg"/><Relationship Id="rId1046" Type="http://schemas.openxmlformats.org/officeDocument/2006/relationships/hyperlink" Target="http://www.gooood.ru/components/com_virtuemart/shop_image/product/good/41-4576big.jpg" TargetMode="External"/><Relationship Id="rId1253" Type="http://schemas.openxmlformats.org/officeDocument/2006/relationships/hyperlink" Target="http://www.gooood.ru/components/com_virtuemart/shop_image/product/dodo/D-530-01b.jpg" TargetMode="External"/><Relationship Id="rId1698" Type="http://schemas.openxmlformats.org/officeDocument/2006/relationships/image" Target="../media/image746.jpeg"/><Relationship Id="rId623" Type="http://schemas.openxmlformats.org/officeDocument/2006/relationships/hyperlink" Target="http://www.gooood.ru/components/com_virtuemart/shop_image/product/ton/T-NLS-051-Lb.jpg" TargetMode="External"/><Relationship Id="rId830" Type="http://schemas.openxmlformats.org/officeDocument/2006/relationships/hyperlink" Target="http://www.gooood.ru/components/com_virtuemart/shop_image/product/good/30-1535big.jpg" TargetMode="External"/><Relationship Id="rId928" Type="http://schemas.openxmlformats.org/officeDocument/2006/relationships/hyperlink" Target="http://www.gooood.ru/components/com_virtuemart/shop_image/product/ton/T-TS-058-Lb.jpg" TargetMode="External"/><Relationship Id="rId1460" Type="http://schemas.openxmlformats.org/officeDocument/2006/relationships/image" Target="../media/image635.jpeg"/><Relationship Id="rId1558" Type="http://schemas.openxmlformats.org/officeDocument/2006/relationships/image" Target="../media/image675.jpeg"/><Relationship Id="rId1765" Type="http://schemas.openxmlformats.org/officeDocument/2006/relationships/hyperlink" Target="http://www.gooood.ru/components/com_virtuemart/shop_image/product/good/20-5621big.jpg" TargetMode="External"/><Relationship Id="rId57" Type="http://schemas.openxmlformats.org/officeDocument/2006/relationships/image" Target="../media/image29.jpeg"/><Relationship Id="rId1113" Type="http://schemas.openxmlformats.org/officeDocument/2006/relationships/hyperlink" Target="http://www.gooood.ru/components/com_virtuemart/shop_image/product/ton/T-TS-065big.jpg" TargetMode="External"/><Relationship Id="rId1320" Type="http://schemas.openxmlformats.org/officeDocument/2006/relationships/hyperlink" Target="http://www.gooood.ru/components/com_virtuemart/shop_image/product/good/36-1535big.jpg" TargetMode="External"/><Relationship Id="rId1418" Type="http://schemas.openxmlformats.org/officeDocument/2006/relationships/image" Target="../media/image616.jpeg"/><Relationship Id="rId1972" Type="http://schemas.openxmlformats.org/officeDocument/2006/relationships/image" Target="../media/image872.jpeg"/><Relationship Id="rId1625" Type="http://schemas.openxmlformats.org/officeDocument/2006/relationships/hyperlink" Target="http://www.gooood.ru/components/com_virtuemart/shop_image/product/good/28-5620big.jpg" TargetMode="External"/><Relationship Id="rId1832" Type="http://schemas.openxmlformats.org/officeDocument/2006/relationships/hyperlink" Target="http://www.gooood.ru/components/com_virtuemart/shop_image/product/good/14-1629big.jpg" TargetMode="External"/><Relationship Id="rId2094" Type="http://schemas.openxmlformats.org/officeDocument/2006/relationships/hyperlink" Target="http://www.gooood.ru/components/com_virtuemart/shop_image/product/good/14-1668big.jpg" TargetMode="External"/><Relationship Id="rId273" Type="http://schemas.openxmlformats.org/officeDocument/2006/relationships/hyperlink" Target="http://www.gooood.ru/pictures/katalog/05_1/54-136b.jpg" TargetMode="External"/><Relationship Id="rId480" Type="http://schemas.openxmlformats.org/officeDocument/2006/relationships/hyperlink" Target="http://www.gooood.ru/components/com_virtuemart/shop_image/product/good/36-1525big.jpg" TargetMode="External"/><Relationship Id="rId133" Type="http://schemas.openxmlformats.org/officeDocument/2006/relationships/image" Target="../media/image57.jpeg"/><Relationship Id="rId340" Type="http://schemas.openxmlformats.org/officeDocument/2006/relationships/image" Target="../media/image152.jpeg"/><Relationship Id="rId578" Type="http://schemas.openxmlformats.org/officeDocument/2006/relationships/hyperlink" Target="http://www.gooood.ru/components/com_virtuemart/shop_image/product/nmnh/77-213big.jpg" TargetMode="External"/><Relationship Id="rId785" Type="http://schemas.openxmlformats.org/officeDocument/2006/relationships/image" Target="../media/image340.jpeg"/><Relationship Id="rId992" Type="http://schemas.openxmlformats.org/officeDocument/2006/relationships/image" Target="../media/image429.jpeg"/><Relationship Id="rId2021" Type="http://schemas.openxmlformats.org/officeDocument/2006/relationships/hyperlink" Target="http://www.gooood.ru/components/com_virtuemart/shop_image/product/good/14-1656big.jpg" TargetMode="External"/><Relationship Id="rId200" Type="http://schemas.openxmlformats.org/officeDocument/2006/relationships/hyperlink" Target="http://www.gooood.ru/pictures/katalog/05_1/14-1505b.jpg" TargetMode="External"/><Relationship Id="rId438" Type="http://schemas.openxmlformats.org/officeDocument/2006/relationships/image" Target="../media/image177.jpeg"/><Relationship Id="rId645" Type="http://schemas.openxmlformats.org/officeDocument/2006/relationships/image" Target="../media/image273.jpeg"/><Relationship Id="rId852" Type="http://schemas.openxmlformats.org/officeDocument/2006/relationships/hyperlink" Target="http://www.gooood.ru/components/com_virtuemart/shop_image/product/good/14-1544big.jpg" TargetMode="External"/><Relationship Id="rId1068" Type="http://schemas.openxmlformats.org/officeDocument/2006/relationships/hyperlink" Target="http://www.gooood.ru/components/com_virtuemart/shop_image/product/good/85-1532big.jpg" TargetMode="External"/><Relationship Id="rId1275" Type="http://schemas.openxmlformats.org/officeDocument/2006/relationships/image" Target="../media/image556.jpeg"/><Relationship Id="rId1482" Type="http://schemas.openxmlformats.org/officeDocument/2006/relationships/image" Target="../media/image643.jpeg"/><Relationship Id="rId2119" Type="http://schemas.openxmlformats.org/officeDocument/2006/relationships/hyperlink" Target="http://www.gooood.ru/components/com_virtuemart/shop_image/product/ton/t-ts-084big.jpg" TargetMode="External"/><Relationship Id="rId505" Type="http://schemas.openxmlformats.org/officeDocument/2006/relationships/hyperlink" Target="http://www.gooood.ru/components/com_virtuemart/shop_image/product/dodo/D-474-01b.jpg" TargetMode="External"/><Relationship Id="rId712" Type="http://schemas.openxmlformats.org/officeDocument/2006/relationships/hyperlink" Target="http://www.gooood.ru/components/com_virtuemart/shop_image/product/ton/T-NLS-056-Lb.jpg" TargetMode="External"/><Relationship Id="rId1135" Type="http://schemas.openxmlformats.org/officeDocument/2006/relationships/hyperlink" Target="http://www.gooood.ru/components/com_virtuemart/shop_image/product/sexylife/SL-NI-M-4.jpg" TargetMode="External"/><Relationship Id="rId1342" Type="http://schemas.openxmlformats.org/officeDocument/2006/relationships/image" Target="../media/image581.jpeg"/><Relationship Id="rId1787" Type="http://schemas.openxmlformats.org/officeDocument/2006/relationships/hyperlink" Target="http://www.gooood.ru/components/com_virtuemart/shop_image/product/good/20-9625big.jpg" TargetMode="External"/><Relationship Id="rId1994" Type="http://schemas.openxmlformats.org/officeDocument/2006/relationships/image" Target="../media/image880.jpeg"/><Relationship Id="rId79" Type="http://schemas.openxmlformats.org/officeDocument/2006/relationships/image" Target="../media/image33.jpeg"/><Relationship Id="rId1202" Type="http://schemas.openxmlformats.org/officeDocument/2006/relationships/image" Target="../media/image521.jpeg"/><Relationship Id="rId1647" Type="http://schemas.openxmlformats.org/officeDocument/2006/relationships/image" Target="../media/image715.jpeg"/><Relationship Id="rId1854" Type="http://schemas.openxmlformats.org/officeDocument/2006/relationships/hyperlink" Target="http://www.gooood.ru/components/com_virtuemart/shop_image/product/shark/K-14big.jpg" TargetMode="External"/><Relationship Id="rId1507" Type="http://schemas.openxmlformats.org/officeDocument/2006/relationships/image" Target="../media/image654.jpeg"/><Relationship Id="rId1714" Type="http://schemas.openxmlformats.org/officeDocument/2006/relationships/image" Target="../media/image762.jpeg"/><Relationship Id="rId295" Type="http://schemas.openxmlformats.org/officeDocument/2006/relationships/image" Target="../media/image136.jpeg"/><Relationship Id="rId1921" Type="http://schemas.openxmlformats.org/officeDocument/2006/relationships/image" Target="../media/image850.jpeg"/><Relationship Id="rId155" Type="http://schemas.openxmlformats.org/officeDocument/2006/relationships/image" Target="../media/image68.jpeg"/><Relationship Id="rId362" Type="http://schemas.openxmlformats.org/officeDocument/2006/relationships/hyperlink" Target="http://www.gooood.ru/components/com_virtuemart/shop_image/product/ton/T-TS-023-Lb.jpg" TargetMode="External"/><Relationship Id="rId1297" Type="http://schemas.openxmlformats.org/officeDocument/2006/relationships/image" Target="../media/image566.jpeg"/><Relationship Id="rId2043" Type="http://schemas.openxmlformats.org/officeDocument/2006/relationships/hyperlink" Target="http://www.gooood.ru/components/com_virtuemart/shop_image/product/good/14-1660big.jpg" TargetMode="External"/><Relationship Id="rId222" Type="http://schemas.openxmlformats.org/officeDocument/2006/relationships/hyperlink" Target="http://www.gooood.ru/pictures/katalog/05_1/34-6504b.jpg" TargetMode="External"/><Relationship Id="rId667" Type="http://schemas.openxmlformats.org/officeDocument/2006/relationships/hyperlink" Target="http://www.gooood.ru/components/com_virtuemart/shop_image/product/ton/T-TS-053-Lb.jpg" TargetMode="External"/><Relationship Id="rId874" Type="http://schemas.openxmlformats.org/officeDocument/2006/relationships/hyperlink" Target="http://www.gooood.ru/components/com_virtuemart/shop_image/product/good/14-5561big.jpg" TargetMode="External"/><Relationship Id="rId2110" Type="http://schemas.openxmlformats.org/officeDocument/2006/relationships/image" Target="../media/image921.jpeg"/><Relationship Id="rId527" Type="http://schemas.openxmlformats.org/officeDocument/2006/relationships/image" Target="../media/image219.jpeg"/><Relationship Id="rId734" Type="http://schemas.openxmlformats.org/officeDocument/2006/relationships/image" Target="../media/image315.jpeg"/><Relationship Id="rId941" Type="http://schemas.openxmlformats.org/officeDocument/2006/relationships/hyperlink" Target="http://www.gooood.ru/components/com_virtuemart/shop_image/product/good/34-130b.jpg" TargetMode="External"/><Relationship Id="rId1157" Type="http://schemas.openxmlformats.org/officeDocument/2006/relationships/hyperlink" Target="http://www.gooood.ru/components/com_virtuemart/shop_image/product/good/14-1582big.jpg" TargetMode="External"/><Relationship Id="rId1364" Type="http://schemas.openxmlformats.org/officeDocument/2006/relationships/hyperlink" Target="http://www.gooood.ru/components/com_virtuemart/shop_image/product/good/36-1587big.jpg" TargetMode="External"/><Relationship Id="rId1571" Type="http://schemas.openxmlformats.org/officeDocument/2006/relationships/hyperlink" Target="http://www.gooood.ru/components/com_virtuemart/shop_image/product/good/14-3614big.jpg" TargetMode="External"/><Relationship Id="rId70" Type="http://schemas.openxmlformats.org/officeDocument/2006/relationships/hyperlink" Target="http://www.gooood.ru/pictures/katalog/05_1/34-136b.jpg" TargetMode="External"/><Relationship Id="rId801" Type="http://schemas.openxmlformats.org/officeDocument/2006/relationships/image" Target="../media/image348.jpeg"/><Relationship Id="rId1017" Type="http://schemas.openxmlformats.org/officeDocument/2006/relationships/image" Target="../media/image441.jpeg"/><Relationship Id="rId1224" Type="http://schemas.openxmlformats.org/officeDocument/2006/relationships/image" Target="../media/image532.jpeg"/><Relationship Id="rId1431" Type="http://schemas.openxmlformats.org/officeDocument/2006/relationships/hyperlink" Target="http://www.gooood.ru/components/com_virtuemart/shop_image/product/good/14-1600big.jpg" TargetMode="External"/><Relationship Id="rId1669" Type="http://schemas.openxmlformats.org/officeDocument/2006/relationships/hyperlink" Target="http://www.gooood.ru/components/com_virtuemart/shop_image/product/good/14-9614-Kbig.jpg" TargetMode="External"/><Relationship Id="rId1876" Type="http://schemas.openxmlformats.org/officeDocument/2006/relationships/image" Target="../media/image833.jpeg"/><Relationship Id="rId1529" Type="http://schemas.openxmlformats.org/officeDocument/2006/relationships/hyperlink" Target="http://www.gooood.ru/components/com_virtuemart/shop_image/product/ton/T-WS-075big.jpg" TargetMode="External"/><Relationship Id="rId1736" Type="http://schemas.openxmlformats.org/officeDocument/2006/relationships/hyperlink" Target="http://www.gooood.ru/components/com_virtuemart/shop_image/product/good/28-3576big.jpg" TargetMode="External"/><Relationship Id="rId1943" Type="http://schemas.openxmlformats.org/officeDocument/2006/relationships/image" Target="../media/image859.jpeg"/><Relationship Id="rId28" Type="http://schemas.openxmlformats.org/officeDocument/2006/relationships/image" Target="../media/image15.jpeg"/><Relationship Id="rId1803" Type="http://schemas.openxmlformats.org/officeDocument/2006/relationships/image" Target="../media/image801.jpeg"/><Relationship Id="rId177" Type="http://schemas.openxmlformats.org/officeDocument/2006/relationships/image" Target="../media/image79.jpeg"/><Relationship Id="rId384" Type="http://schemas.openxmlformats.org/officeDocument/2006/relationships/hyperlink" Target="http://www.gooood.ru/components/com_virtuemart/shop_image/product/ton/T-TS-041-Lb.jpg" TargetMode="External"/><Relationship Id="rId591" Type="http://schemas.openxmlformats.org/officeDocument/2006/relationships/image" Target="../media/image250.jpeg"/><Relationship Id="rId2065" Type="http://schemas.openxmlformats.org/officeDocument/2006/relationships/image" Target="../media/image902.jpeg"/><Relationship Id="rId244" Type="http://schemas.openxmlformats.org/officeDocument/2006/relationships/image" Target="../media/image112.jpeg"/><Relationship Id="rId689" Type="http://schemas.openxmlformats.org/officeDocument/2006/relationships/hyperlink" Target="http://www.gooood.ru/pictures/katalog/05_1/14-173b.jpg" TargetMode="External"/><Relationship Id="rId896" Type="http://schemas.openxmlformats.org/officeDocument/2006/relationships/image" Target="../media/image387.jpeg"/><Relationship Id="rId1081" Type="http://schemas.openxmlformats.org/officeDocument/2006/relationships/image" Target="../media/image467.jpeg"/><Relationship Id="rId451" Type="http://schemas.openxmlformats.org/officeDocument/2006/relationships/image" Target="../media/image182.jpeg"/><Relationship Id="rId549" Type="http://schemas.openxmlformats.org/officeDocument/2006/relationships/hyperlink" Target="http://www.gooood.ru/components/com_virtuemart/shop_image/product/nmnh/77-en-129b.jpg" TargetMode="External"/><Relationship Id="rId756" Type="http://schemas.openxmlformats.org/officeDocument/2006/relationships/image" Target="../media/image326.jpeg"/><Relationship Id="rId1179" Type="http://schemas.openxmlformats.org/officeDocument/2006/relationships/image" Target="../media/image513.jpeg"/><Relationship Id="rId1386" Type="http://schemas.openxmlformats.org/officeDocument/2006/relationships/hyperlink" Target="http://www.gooood.ru/components/com_virtuemart/shop_image/product/good/14-4597big.jpg" TargetMode="External"/><Relationship Id="rId1593" Type="http://schemas.openxmlformats.org/officeDocument/2006/relationships/hyperlink" Target="http://www.gooood.ru/components/com_virtuemart/shop_image/product/good/14-296big.jpg" TargetMode="External"/><Relationship Id="rId2132" Type="http://schemas.openxmlformats.org/officeDocument/2006/relationships/hyperlink" Target="http://www.gooood.ru/components/com_virtuemart/shop_image/product/good/21-1617big.jpg" TargetMode="External"/><Relationship Id="rId104" Type="http://schemas.openxmlformats.org/officeDocument/2006/relationships/hyperlink" Target="http://www.gooood.ru/pictures/katalog/05_1/14-879b.jpg" TargetMode="External"/><Relationship Id="rId311" Type="http://schemas.openxmlformats.org/officeDocument/2006/relationships/hyperlink" Target="http://www.gooood.ru/components/com_virtuemart/shop_image/product/ton/T-NLS-008b.jpg" TargetMode="External"/><Relationship Id="rId409" Type="http://schemas.openxmlformats.org/officeDocument/2006/relationships/hyperlink" Target="http://www.gooood.ru/components/com_virtuemart/shop_image/product/ton/T-LS-048b.jpg" TargetMode="External"/><Relationship Id="rId963" Type="http://schemas.openxmlformats.org/officeDocument/2006/relationships/hyperlink" Target="http://www.gooood.ru/components/com_virtuemart/shop_image/product/good/56-1567b.jpg" TargetMode="External"/><Relationship Id="rId1039" Type="http://schemas.openxmlformats.org/officeDocument/2006/relationships/hyperlink" Target="http://www.gooood.ru/components/com_virtuemart/shop_image/product/ton/T-TS-064-LBbig.jpg" TargetMode="External"/><Relationship Id="rId1246" Type="http://schemas.openxmlformats.org/officeDocument/2006/relationships/image" Target="../media/image543.jpeg"/><Relationship Id="rId1898" Type="http://schemas.openxmlformats.org/officeDocument/2006/relationships/hyperlink" Target="http://www.gooood.ru/components/com_virtuemart/shop_image/product/good/35-7611big.jpg" TargetMode="External"/><Relationship Id="rId92" Type="http://schemas.openxmlformats.org/officeDocument/2006/relationships/hyperlink" Target="http://www.gooood.ru/pictures/katalog/05_1/41-692b.jpg" TargetMode="External"/><Relationship Id="rId616" Type="http://schemas.openxmlformats.org/officeDocument/2006/relationships/image" Target="../media/image261.jpeg"/><Relationship Id="rId823" Type="http://schemas.openxmlformats.org/officeDocument/2006/relationships/image" Target="../media/image359.jpeg"/><Relationship Id="rId1453" Type="http://schemas.openxmlformats.org/officeDocument/2006/relationships/hyperlink" Target="http://www.gooood.ru/components/com_virtuemart/shop_image/product/ton/T-TS-071-Bobig.jpg" TargetMode="External"/><Relationship Id="rId1660" Type="http://schemas.openxmlformats.org/officeDocument/2006/relationships/hyperlink" Target="http://www.gooood.ru/components/com_virtuemart/shop_image/product/glookoraund/G-14-602big.jpg" TargetMode="External"/><Relationship Id="rId1758" Type="http://schemas.openxmlformats.org/officeDocument/2006/relationships/hyperlink" Target="http://www.gooood.ru/components/com_virtuemart/shop_image/product/ton/T-TS-076big.jpg" TargetMode="External"/><Relationship Id="rId1106" Type="http://schemas.openxmlformats.org/officeDocument/2006/relationships/image" Target="../media/image478.jpeg"/><Relationship Id="rId1313" Type="http://schemas.openxmlformats.org/officeDocument/2006/relationships/hyperlink" Target="http://www.gooood.ru/components/com_virtuemart/shop_image/product/good/34-1581big.jpg" TargetMode="External"/><Relationship Id="rId1520" Type="http://schemas.openxmlformats.org/officeDocument/2006/relationships/hyperlink" Target="http://www.gooood.ru/components/com_virtuemart/shop_image/product/good/86-136-1big.jpg" TargetMode="External"/><Relationship Id="rId1965" Type="http://schemas.openxmlformats.org/officeDocument/2006/relationships/image" Target="../media/image869.jpeg"/><Relationship Id="rId1618" Type="http://schemas.openxmlformats.org/officeDocument/2006/relationships/hyperlink" Target="http://www.gooood.ru/components/com_virtuemart/shop_image/product/shark/K-10big.jpg" TargetMode="External"/><Relationship Id="rId1825" Type="http://schemas.openxmlformats.org/officeDocument/2006/relationships/image" Target="../media/image812.jpeg"/><Relationship Id="rId199" Type="http://schemas.openxmlformats.org/officeDocument/2006/relationships/image" Target="../media/image90.jpeg"/><Relationship Id="rId2087" Type="http://schemas.openxmlformats.org/officeDocument/2006/relationships/hyperlink" Target="http://www.gooood.ru/components/com_virtuemart/shop_image/product/good/35-3584big.jpg" TargetMode="External"/><Relationship Id="rId266" Type="http://schemas.openxmlformats.org/officeDocument/2006/relationships/image" Target="../media/image123.jpeg"/><Relationship Id="rId473" Type="http://schemas.openxmlformats.org/officeDocument/2006/relationships/image" Target="../media/image193.jpeg"/><Relationship Id="rId680" Type="http://schemas.openxmlformats.org/officeDocument/2006/relationships/image" Target="../media/image289.jpeg"/><Relationship Id="rId126" Type="http://schemas.openxmlformats.org/officeDocument/2006/relationships/hyperlink" Target="http://www.gooood.ru/components/com_virtuemart/shop_image/product/nmnh/77-fnf-06-pb.jpg" TargetMode="External"/><Relationship Id="rId333" Type="http://schemas.openxmlformats.org/officeDocument/2006/relationships/hyperlink" Target="http://www.gooood.ru/components/com_virtuemart/shop_image/product/ton/T-NLS-031-Lb.jpg" TargetMode="External"/><Relationship Id="rId540" Type="http://schemas.openxmlformats.org/officeDocument/2006/relationships/hyperlink" Target="http://www.gooood.ru/components/com_virtuemart/shop_image/product/good/22-901SGbig.jpg" TargetMode="External"/><Relationship Id="rId778" Type="http://schemas.openxmlformats.org/officeDocument/2006/relationships/hyperlink" Target="http://www.gooood.ru/components/com_virtuemart/shop_image/product/dodo/D-323-02b.jpg" TargetMode="External"/><Relationship Id="rId985" Type="http://schemas.openxmlformats.org/officeDocument/2006/relationships/hyperlink" Target="http://www.gooood.ru/components/com_virtuemart/shop_image/product/good/14-1570big.jpg" TargetMode="External"/><Relationship Id="rId1170" Type="http://schemas.openxmlformats.org/officeDocument/2006/relationships/hyperlink" Target="http://www.gooood.ru/components/com_virtuemart/shop_image/product/good/38-6584big.jpg" TargetMode="External"/><Relationship Id="rId2014" Type="http://schemas.openxmlformats.org/officeDocument/2006/relationships/hyperlink" Target="http://www.gooood.ru/components/com_virtuemart/shop_image/product/good/51-1642big.jpg" TargetMode="External"/><Relationship Id="rId638" Type="http://schemas.openxmlformats.org/officeDocument/2006/relationships/hyperlink" Target="http://www.gooood.ru/components/com_virtuemart/shop_image/product/good/34-1530big.jpg" TargetMode="External"/><Relationship Id="rId845" Type="http://schemas.openxmlformats.org/officeDocument/2006/relationships/image" Target="../media/image368.jpeg"/><Relationship Id="rId1030" Type="http://schemas.openxmlformats.org/officeDocument/2006/relationships/hyperlink" Target="http://www.gooood.ru/components/com_virtuemart/shop_image/product/good/34-1574big.jpg" TargetMode="External"/><Relationship Id="rId1268" Type="http://schemas.openxmlformats.org/officeDocument/2006/relationships/hyperlink" Target="http://www.gooood.ru/components/com_virtuemart/shop_image/product/good/14-1586big.jpg" TargetMode="External"/><Relationship Id="rId1475" Type="http://schemas.openxmlformats.org/officeDocument/2006/relationships/hyperlink" Target="http://www.gooood.ru/components/com_virtuemart/shop_image/product/good/36-5504big.jpg" TargetMode="External"/><Relationship Id="rId1682" Type="http://schemas.openxmlformats.org/officeDocument/2006/relationships/image" Target="../media/image730.jpeg"/><Relationship Id="rId400" Type="http://schemas.openxmlformats.org/officeDocument/2006/relationships/image" Target="../media/image161.jpeg"/><Relationship Id="rId705" Type="http://schemas.openxmlformats.org/officeDocument/2006/relationships/image" Target="../media/image301.jpeg"/><Relationship Id="rId1128" Type="http://schemas.openxmlformats.org/officeDocument/2006/relationships/image" Target="../media/image488.jpeg"/><Relationship Id="rId1335" Type="http://schemas.openxmlformats.org/officeDocument/2006/relationships/hyperlink" Target="http://www.gooood.ru/components/com_virtuemart/shop_image/product/good/34-1582big.jpg" TargetMode="External"/><Relationship Id="rId1542" Type="http://schemas.openxmlformats.org/officeDocument/2006/relationships/hyperlink" Target="http://www.gooood.ru/components/com_virtuemart/shop_image/product/good/14-525big.jpg" TargetMode="External"/><Relationship Id="rId1987" Type="http://schemas.openxmlformats.org/officeDocument/2006/relationships/image" Target="../media/image878.jpeg"/><Relationship Id="rId912" Type="http://schemas.openxmlformats.org/officeDocument/2006/relationships/hyperlink" Target="http://www.gooood.ru/components/com_virtuemart/shop_image/product/good/36-9504big.jpg" TargetMode="External"/><Relationship Id="rId1847" Type="http://schemas.openxmlformats.org/officeDocument/2006/relationships/image" Target="../media/image821.jpeg"/><Relationship Id="rId41" Type="http://schemas.openxmlformats.org/officeDocument/2006/relationships/hyperlink" Target="http://www.gooood.ru/pictures/katalog/05_1/14-249b.jpg" TargetMode="External"/><Relationship Id="rId1402" Type="http://schemas.openxmlformats.org/officeDocument/2006/relationships/image" Target="../media/image608.jpeg"/><Relationship Id="rId1707" Type="http://schemas.openxmlformats.org/officeDocument/2006/relationships/image" Target="../media/image755.jpeg"/><Relationship Id="rId190" Type="http://schemas.openxmlformats.org/officeDocument/2006/relationships/hyperlink" Target="http://www.gooood.ru/pictures/katalog/05_1/34-657b.jpg" TargetMode="External"/><Relationship Id="rId288" Type="http://schemas.openxmlformats.org/officeDocument/2006/relationships/image" Target="../media/image133.jpeg"/><Relationship Id="rId1914" Type="http://schemas.openxmlformats.org/officeDocument/2006/relationships/hyperlink" Target="http://www.gooood.ru/components/com_virtuemart/shop_image/product/good/35-5641b.jpg" TargetMode="External"/><Relationship Id="rId495" Type="http://schemas.openxmlformats.org/officeDocument/2006/relationships/image" Target="../media/image204.jpeg"/><Relationship Id="rId148" Type="http://schemas.openxmlformats.org/officeDocument/2006/relationships/hyperlink" Target="http://www.gooood.ru/components/com_virtuemart/shop_image/product/nmnh/77-wl-034b.jpg" TargetMode="External"/><Relationship Id="rId355" Type="http://schemas.openxmlformats.org/officeDocument/2006/relationships/hyperlink" Target="http://www.gooood.ru/components/com_virtuemart/shop_image/product/ton/T-TS-015b.jpg" TargetMode="External"/><Relationship Id="rId562" Type="http://schemas.openxmlformats.org/officeDocument/2006/relationships/hyperlink" Target="http://www.gooood.ru/components/com_virtuemart/shop_image/product/nmnh/77-96big.jpg" TargetMode="External"/><Relationship Id="rId1192" Type="http://schemas.openxmlformats.org/officeDocument/2006/relationships/image" Target="../media/image516.jpeg"/><Relationship Id="rId2036" Type="http://schemas.openxmlformats.org/officeDocument/2006/relationships/image" Target="../media/image895.jpeg"/><Relationship Id="rId215" Type="http://schemas.openxmlformats.org/officeDocument/2006/relationships/image" Target="../media/image98.jpeg"/><Relationship Id="rId422" Type="http://schemas.openxmlformats.org/officeDocument/2006/relationships/image" Target="../media/image170.jpeg"/><Relationship Id="rId867" Type="http://schemas.openxmlformats.org/officeDocument/2006/relationships/hyperlink" Target="http://www.gooood.ru/components/com_virtuemart/shop_image/product/good/42-1559big.jpg" TargetMode="External"/><Relationship Id="rId1052" Type="http://schemas.openxmlformats.org/officeDocument/2006/relationships/image" Target="../media/image455.jpeg"/><Relationship Id="rId1497" Type="http://schemas.openxmlformats.org/officeDocument/2006/relationships/hyperlink" Target="http://www.gooood.ru/components/com_virtuemart/shop_image/product/good/28-249big.jpg" TargetMode="External"/><Relationship Id="rId2103" Type="http://schemas.openxmlformats.org/officeDocument/2006/relationships/hyperlink" Target="http://www.gooood.ru/components/com_virtuemart/shop_image/product/good/14-8664-Kbig.jpg" TargetMode="External"/><Relationship Id="rId727" Type="http://schemas.openxmlformats.org/officeDocument/2006/relationships/hyperlink" Target="http://www.gooood.ru/components/com_virtuemart/shop_image/product/good/32-2543big.jpg" TargetMode="External"/><Relationship Id="rId934" Type="http://schemas.openxmlformats.org/officeDocument/2006/relationships/image" Target="../media/image405.jpeg"/><Relationship Id="rId1357" Type="http://schemas.openxmlformats.org/officeDocument/2006/relationships/hyperlink" Target="http://www.gooood.ru/components/com_virtuemart/shop_image/product/good/81-5588big.jpg" TargetMode="External"/><Relationship Id="rId1564" Type="http://schemas.openxmlformats.org/officeDocument/2006/relationships/image" Target="../media/image678.jpeg"/><Relationship Id="rId1771" Type="http://schemas.openxmlformats.org/officeDocument/2006/relationships/hyperlink" Target="http://www.gooood.ru/components/com_virtuemart/shop_image/product/good/34-5539big.jpg" TargetMode="External"/><Relationship Id="rId63" Type="http://schemas.openxmlformats.org/officeDocument/2006/relationships/hyperlink" Target="http://www.gooood.ru/pictures/katalog/05_1/30-417b.jpg" TargetMode="External"/><Relationship Id="rId1217" Type="http://schemas.openxmlformats.org/officeDocument/2006/relationships/hyperlink" Target="http://www.gooood.ru/components/com_virtuemart/shop_image/product/dodo/D-520-02b.jpg" TargetMode="External"/><Relationship Id="rId1424" Type="http://schemas.openxmlformats.org/officeDocument/2006/relationships/image" Target="../media/image619.jpeg"/><Relationship Id="rId1631" Type="http://schemas.openxmlformats.org/officeDocument/2006/relationships/image" Target="../media/image708.jpeg"/><Relationship Id="rId1869" Type="http://schemas.openxmlformats.org/officeDocument/2006/relationships/hyperlink" Target="http://www.gooood.ru/components/com_virtuemart/shop_image/product/good/34-1635big.jpg" TargetMode="External"/><Relationship Id="rId1729" Type="http://schemas.openxmlformats.org/officeDocument/2006/relationships/image" Target="../media/image777.jpeg"/><Relationship Id="rId1936" Type="http://schemas.openxmlformats.org/officeDocument/2006/relationships/hyperlink" Target="http://www.gooood.ru/components/com_virtuemart/shop_image/product/good/14-1639big.jpg" TargetMode="External"/><Relationship Id="rId377" Type="http://schemas.openxmlformats.org/officeDocument/2006/relationships/image" Target="../media/image157.jpeg"/><Relationship Id="rId584" Type="http://schemas.openxmlformats.org/officeDocument/2006/relationships/hyperlink" Target="http://www.gooood.ru/components/com_virtuemart/shop_image/product/nmnh/77-A-058big.jpg" TargetMode="External"/><Relationship Id="rId2058" Type="http://schemas.openxmlformats.org/officeDocument/2006/relationships/hyperlink" Target="http://www.gooood.ru/components/com_virtuemart/shop_image/product/good/36-1661big.jpg" TargetMode="External"/><Relationship Id="rId5" Type="http://schemas.openxmlformats.org/officeDocument/2006/relationships/hyperlink" Target="http://www.gooood.ru/pictures/katalog/05_1/14-102b.jpg" TargetMode="External"/><Relationship Id="rId237" Type="http://schemas.openxmlformats.org/officeDocument/2006/relationships/image" Target="../media/image109.jpeg"/><Relationship Id="rId791" Type="http://schemas.openxmlformats.org/officeDocument/2006/relationships/image" Target="../media/image343.jpeg"/><Relationship Id="rId889" Type="http://schemas.openxmlformats.org/officeDocument/2006/relationships/hyperlink" Target="http://www.gooood.ru/components/com_virtuemart/shop_image/product/good/42-423big.jpg" TargetMode="External"/><Relationship Id="rId1074" Type="http://schemas.openxmlformats.org/officeDocument/2006/relationships/hyperlink" Target="http://www.gooood.ru/components/com_virtuemart/shop_image/product/dodo/D-562-01b.jpg" TargetMode="External"/><Relationship Id="rId444" Type="http://schemas.openxmlformats.org/officeDocument/2006/relationships/hyperlink" Target="http://www.gooood.ru/pictures/katalog/05_1/14-1519b.jpg" TargetMode="External"/><Relationship Id="rId651" Type="http://schemas.openxmlformats.org/officeDocument/2006/relationships/image" Target="../media/image276.jpeg"/><Relationship Id="rId749" Type="http://schemas.openxmlformats.org/officeDocument/2006/relationships/hyperlink" Target="http://www.gooood.ru/components/com_virtuemart/shop_image/product/handmade/sg-033-2b.jpg" TargetMode="External"/><Relationship Id="rId1281" Type="http://schemas.openxmlformats.org/officeDocument/2006/relationships/hyperlink" Target="http://www.gooood.ru/components/com_virtuemart/shop_image/product/ton/T-TS-069big.jpg" TargetMode="External"/><Relationship Id="rId1379" Type="http://schemas.openxmlformats.org/officeDocument/2006/relationships/hyperlink" Target="http://www.gooood.ru/components/com_virtuemart/shop_image/product/good/K-14-102big.jpg" TargetMode="External"/><Relationship Id="rId1586" Type="http://schemas.openxmlformats.org/officeDocument/2006/relationships/hyperlink" Target="http://www.gooood.ru/components/com_virtuemart/shop_image/product/good/14-119-Kbig.jpg" TargetMode="External"/><Relationship Id="rId2125" Type="http://schemas.openxmlformats.org/officeDocument/2006/relationships/hyperlink" Target="http://www.gooood.ru/components/com_virtuemart/shop_image/product/good/36-2672big.jpg" TargetMode="External"/><Relationship Id="rId304" Type="http://schemas.openxmlformats.org/officeDocument/2006/relationships/hyperlink" Target="http://www.gooood.ru/components/com_virtuemart/shop_image/product/ton/T-NLS-001-Lb.jpg" TargetMode="External"/><Relationship Id="rId511" Type="http://schemas.openxmlformats.org/officeDocument/2006/relationships/hyperlink" Target="http://www.gooood.ru/components/com_virtuemart/shop_image/product/ton/T-TS-049-Lbig.jpg" TargetMode="External"/><Relationship Id="rId609" Type="http://schemas.openxmlformats.org/officeDocument/2006/relationships/hyperlink" Target="http://www.gooood.ru/components/com_virtuemart/shop_image/product/good/34-1529-1big.jpg" TargetMode="External"/><Relationship Id="rId956" Type="http://schemas.openxmlformats.org/officeDocument/2006/relationships/image" Target="../media/image412.jpeg"/><Relationship Id="rId1141" Type="http://schemas.openxmlformats.org/officeDocument/2006/relationships/hyperlink" Target="http://www.gooood.ru/components/com_virtuemart/shop_image/product/sexylife/SL-NI-M-7.jpg" TargetMode="External"/><Relationship Id="rId1239" Type="http://schemas.openxmlformats.org/officeDocument/2006/relationships/hyperlink" Target="http://www.gooood.ru/components/com_virtuemart/shop_image/product/good/52-5564big.jpg" TargetMode="External"/><Relationship Id="rId1793" Type="http://schemas.openxmlformats.org/officeDocument/2006/relationships/hyperlink" Target="http://www.gooood.ru/components/com_virtuemart/shop_image/product/good/34-2628big.jpg" TargetMode="External"/><Relationship Id="rId85" Type="http://schemas.openxmlformats.org/officeDocument/2006/relationships/hyperlink" Target="http://www.gooood.ru/pictures/katalog/05_1/36-136b.jpg" TargetMode="External"/><Relationship Id="rId816" Type="http://schemas.openxmlformats.org/officeDocument/2006/relationships/hyperlink" Target="http://www.gooood.ru/components/com_virtuemart/shop_image/product/good/34-265big.jpg" TargetMode="External"/><Relationship Id="rId1001" Type="http://schemas.openxmlformats.org/officeDocument/2006/relationships/image" Target="../media/image433.jpeg"/><Relationship Id="rId1446" Type="http://schemas.openxmlformats.org/officeDocument/2006/relationships/hyperlink" Target="http://www.gooood.ru/components/com_virtuemart/shop_image/product/good/36-1539big.jpg" TargetMode="External"/><Relationship Id="rId1653" Type="http://schemas.openxmlformats.org/officeDocument/2006/relationships/hyperlink" Target="http://www.gooood.ru/components/com_virtuemart/shop_image/product/good/20-8615big.jpg" TargetMode="External"/><Relationship Id="rId1860" Type="http://schemas.openxmlformats.org/officeDocument/2006/relationships/image" Target="../media/image827.jpeg"/><Relationship Id="rId1306" Type="http://schemas.openxmlformats.org/officeDocument/2006/relationships/hyperlink" Target="http://www.gooood.ru/components/com_virtuemart/shop_image/product/ton/T-TS-013-Bbig.jpg" TargetMode="External"/><Relationship Id="rId1513" Type="http://schemas.openxmlformats.org/officeDocument/2006/relationships/image" Target="../media/image657.jpeg"/><Relationship Id="rId1720" Type="http://schemas.openxmlformats.org/officeDocument/2006/relationships/image" Target="../media/image768.jpeg"/><Relationship Id="rId1958" Type="http://schemas.openxmlformats.org/officeDocument/2006/relationships/hyperlink" Target="http://www.gooood.ru/pictures/katalog/05_1/28-527big.jpg" TargetMode="External"/><Relationship Id="rId12" Type="http://schemas.openxmlformats.org/officeDocument/2006/relationships/image" Target="../media/image7.jpeg"/><Relationship Id="rId1818" Type="http://schemas.openxmlformats.org/officeDocument/2006/relationships/hyperlink" Target="http://www.gooood.ru/components/com_virtuemart/shop_image/product/cap/C-528big.jpg" TargetMode="External"/><Relationship Id="rId161" Type="http://schemas.openxmlformats.org/officeDocument/2006/relationships/image" Target="../media/image71.jpeg"/><Relationship Id="rId399" Type="http://schemas.openxmlformats.org/officeDocument/2006/relationships/hyperlink" Target="http://www.gooood.ru/components/com_virtuemart/shop_image/product/ton/T-NLS-013b.jpg" TargetMode="External"/><Relationship Id="rId259" Type="http://schemas.openxmlformats.org/officeDocument/2006/relationships/hyperlink" Target="http://www.gooood.ru/components/com_virtuemart/shop_image/product/mospheric/M-44-403b.jpg" TargetMode="External"/><Relationship Id="rId466" Type="http://schemas.openxmlformats.org/officeDocument/2006/relationships/hyperlink" Target="http://www.gooood.ru/pictures/katalog/05_1/34-5522b.jpg" TargetMode="External"/><Relationship Id="rId673" Type="http://schemas.openxmlformats.org/officeDocument/2006/relationships/image" Target="../media/image286.jpeg"/><Relationship Id="rId880" Type="http://schemas.openxmlformats.org/officeDocument/2006/relationships/hyperlink" Target="http://www.gooood.ru/components/com_virtuemart/shop_image/product/good/36-1530big.jpg" TargetMode="External"/><Relationship Id="rId1096" Type="http://schemas.openxmlformats.org/officeDocument/2006/relationships/image" Target="../media/image473.jpeg"/><Relationship Id="rId119" Type="http://schemas.openxmlformats.org/officeDocument/2006/relationships/image" Target="../media/image50.jpeg"/><Relationship Id="rId326" Type="http://schemas.openxmlformats.org/officeDocument/2006/relationships/image" Target="../media/image148.jpeg"/><Relationship Id="rId533" Type="http://schemas.openxmlformats.org/officeDocument/2006/relationships/image" Target="../media/image222.jpeg"/><Relationship Id="rId978" Type="http://schemas.openxmlformats.org/officeDocument/2006/relationships/image" Target="../media/image423.jpeg"/><Relationship Id="rId1163" Type="http://schemas.openxmlformats.org/officeDocument/2006/relationships/image" Target="../media/image505.jpeg"/><Relationship Id="rId1370" Type="http://schemas.openxmlformats.org/officeDocument/2006/relationships/image" Target="../media/image592.jpeg"/><Relationship Id="rId2007" Type="http://schemas.openxmlformats.org/officeDocument/2006/relationships/hyperlink" Target="http://www.gooood.ru/components/com_virtuemart/shop_image/product/shark/K-30big.jpg" TargetMode="External"/><Relationship Id="rId740" Type="http://schemas.openxmlformats.org/officeDocument/2006/relationships/image" Target="../media/image318.jpeg"/><Relationship Id="rId838" Type="http://schemas.openxmlformats.org/officeDocument/2006/relationships/image" Target="../media/image365.jpeg"/><Relationship Id="rId1023" Type="http://schemas.openxmlformats.org/officeDocument/2006/relationships/hyperlink" Target="http://www.gooood.ru/components/com_virtuemart/shop_image/product/good/14-1572big.jpg" TargetMode="External"/><Relationship Id="rId1468" Type="http://schemas.openxmlformats.org/officeDocument/2006/relationships/image" Target="../media/image638.jpeg"/><Relationship Id="rId1675" Type="http://schemas.openxmlformats.org/officeDocument/2006/relationships/hyperlink" Target="http://www.gooood.ru/components/com_virtuemart/shop_image/product/good/14-5623big.jpg" TargetMode="External"/><Relationship Id="rId1882" Type="http://schemas.openxmlformats.org/officeDocument/2006/relationships/hyperlink" Target="http://www.gooood.ru/components/com_virtuemart/shop_image/product/good/14-5576big.jpg" TargetMode="External"/><Relationship Id="rId600" Type="http://schemas.openxmlformats.org/officeDocument/2006/relationships/hyperlink" Target="http://www.gooood.ru/components/com_virtuemart/shop_image/product/good/14-285big.jpg" TargetMode="External"/><Relationship Id="rId1230" Type="http://schemas.openxmlformats.org/officeDocument/2006/relationships/image" Target="../media/image535.jpeg"/><Relationship Id="rId1328" Type="http://schemas.openxmlformats.org/officeDocument/2006/relationships/image" Target="../media/image576.jpeg"/><Relationship Id="rId1535" Type="http://schemas.openxmlformats.org/officeDocument/2006/relationships/hyperlink" Target="http://www.gooood.ru/components/com_virtuemart/shop_image/product/ton/T-LS-042big.jpg" TargetMode="External"/><Relationship Id="rId905" Type="http://schemas.openxmlformats.org/officeDocument/2006/relationships/hyperlink" Target="http://www.gooood.ru/components/com_virtuemart/shop_image/product/good/14-939big.jpg" TargetMode="External"/><Relationship Id="rId1742" Type="http://schemas.openxmlformats.org/officeDocument/2006/relationships/hyperlink" Target="http://www.gooood.ru/components/com_virtuemart/shop_image/product/good/14-1624big.jpg" TargetMode="External"/><Relationship Id="rId34" Type="http://schemas.openxmlformats.org/officeDocument/2006/relationships/image" Target="../media/image18.jpeg"/><Relationship Id="rId1602" Type="http://schemas.openxmlformats.org/officeDocument/2006/relationships/image" Target="../media/image698.jpeg"/><Relationship Id="rId183" Type="http://schemas.openxmlformats.org/officeDocument/2006/relationships/image" Target="../media/image82.jpeg"/><Relationship Id="rId390" Type="http://schemas.openxmlformats.org/officeDocument/2006/relationships/hyperlink" Target="http://www.gooood.ru/components/com_virtuemart/shop_image/product/ton/T-TS-044b.jpg" TargetMode="External"/><Relationship Id="rId1907" Type="http://schemas.openxmlformats.org/officeDocument/2006/relationships/image" Target="../media/image843.jpeg"/><Relationship Id="rId2071" Type="http://schemas.openxmlformats.org/officeDocument/2006/relationships/image" Target="../media/image905.jpeg"/><Relationship Id="rId250" Type="http://schemas.openxmlformats.org/officeDocument/2006/relationships/image" Target="../media/image115.jpeg"/><Relationship Id="rId488" Type="http://schemas.openxmlformats.org/officeDocument/2006/relationships/hyperlink" Target="http://www.gooood.ru/components/com_virtuemart/shop_image/product/dodo/D-470-02b.jpg" TargetMode="External"/><Relationship Id="rId695" Type="http://schemas.openxmlformats.org/officeDocument/2006/relationships/image" Target="../media/image296.jpeg"/><Relationship Id="rId110" Type="http://schemas.openxmlformats.org/officeDocument/2006/relationships/hyperlink" Target="http://www.gooood.ru/pictures/katalog/05_1/14-374b.jpg" TargetMode="External"/><Relationship Id="rId348" Type="http://schemas.openxmlformats.org/officeDocument/2006/relationships/hyperlink" Target="http://www.gooood.ru/components/com_virtuemart/shop_image/product/ton/T-TS-002b.jpg" TargetMode="External"/><Relationship Id="rId555" Type="http://schemas.openxmlformats.org/officeDocument/2006/relationships/image" Target="../media/image232.jpeg"/><Relationship Id="rId762" Type="http://schemas.openxmlformats.org/officeDocument/2006/relationships/image" Target="../media/image329.jpeg"/><Relationship Id="rId1185" Type="http://schemas.openxmlformats.org/officeDocument/2006/relationships/hyperlink" Target="http://www.gooood.ru/components/com_virtuemart/shop_image/product/good/36-1570big.jpg" TargetMode="External"/><Relationship Id="rId1392" Type="http://schemas.openxmlformats.org/officeDocument/2006/relationships/hyperlink" Target="http://www.gooood.ru/components/com_virtuemart/shop_image/product/dodo/D-1116-01big.jpg" TargetMode="External"/><Relationship Id="rId2029" Type="http://schemas.openxmlformats.org/officeDocument/2006/relationships/image" Target="../media/image893.jpeg"/><Relationship Id="rId208" Type="http://schemas.openxmlformats.org/officeDocument/2006/relationships/hyperlink" Target="http://www.gooood.ru/components/com_virtuemart/shop_image/product/good/14-2508big.jpg" TargetMode="External"/><Relationship Id="rId415" Type="http://schemas.openxmlformats.org/officeDocument/2006/relationships/image" Target="../media/image167.jpeg"/><Relationship Id="rId622" Type="http://schemas.openxmlformats.org/officeDocument/2006/relationships/hyperlink" Target="http://www.gooood.ru/components/com_virtuemart/shop_image/product/ton/T-NLS-051b.jpg" TargetMode="External"/><Relationship Id="rId1045" Type="http://schemas.openxmlformats.org/officeDocument/2006/relationships/hyperlink" Target="http://www.gooood.ru/components/com_virtuemart/shop_image/product/good/30-1530big.jpg" TargetMode="External"/><Relationship Id="rId1252" Type="http://schemas.openxmlformats.org/officeDocument/2006/relationships/image" Target="../media/image546.jpeg"/><Relationship Id="rId1697" Type="http://schemas.openxmlformats.org/officeDocument/2006/relationships/image" Target="../media/image745.jpeg"/><Relationship Id="rId927" Type="http://schemas.openxmlformats.org/officeDocument/2006/relationships/image" Target="../media/image402.jpeg"/><Relationship Id="rId1112" Type="http://schemas.openxmlformats.org/officeDocument/2006/relationships/image" Target="../media/image481.jpeg"/><Relationship Id="rId1557" Type="http://schemas.openxmlformats.org/officeDocument/2006/relationships/hyperlink" Target="http://www.gooood.ru/components/com_virtuemart/shop_image/product/good/86-285big.jpg" TargetMode="External"/><Relationship Id="rId1764" Type="http://schemas.openxmlformats.org/officeDocument/2006/relationships/hyperlink" Target="http://www.gooood.ru/components/com_virtuemart/shop_image/product/good/36-1621big.jpg" TargetMode="External"/><Relationship Id="rId1971" Type="http://schemas.openxmlformats.org/officeDocument/2006/relationships/hyperlink" Target="http://www.gooood.ru/components/com_virtuemart/shop_image/product/good/14-1649big.jpg" TargetMode="External"/><Relationship Id="rId56" Type="http://schemas.openxmlformats.org/officeDocument/2006/relationships/hyperlink" Target="http://www.gooood.ru/pictures/katalog/05_1/28-585b.jpg" TargetMode="External"/><Relationship Id="rId1417" Type="http://schemas.openxmlformats.org/officeDocument/2006/relationships/hyperlink" Target="http://www.gooood.ru/components/com_virtuemart/shop_image/product/dodo/D-557-01big.jpg" TargetMode="External"/><Relationship Id="rId1624" Type="http://schemas.openxmlformats.org/officeDocument/2006/relationships/image" Target="../media/image705.jpeg"/><Relationship Id="rId1831" Type="http://schemas.openxmlformats.org/officeDocument/2006/relationships/image" Target="../media/image815.jpeg"/><Relationship Id="rId1929" Type="http://schemas.openxmlformats.org/officeDocument/2006/relationships/image" Target="../media/image853.jpeg"/><Relationship Id="rId2093" Type="http://schemas.openxmlformats.org/officeDocument/2006/relationships/image" Target="../media/image913.jpeg"/><Relationship Id="rId272" Type="http://schemas.openxmlformats.org/officeDocument/2006/relationships/image" Target="../media/image126.jpeg"/><Relationship Id="rId577" Type="http://schemas.openxmlformats.org/officeDocument/2006/relationships/image" Target="../media/image243.jpeg"/><Relationship Id="rId132" Type="http://schemas.openxmlformats.org/officeDocument/2006/relationships/hyperlink" Target="http://www.gooood.ru/components/com_virtuemart/shop_image/product/nmnh/77-rm-008b.jpg" TargetMode="External"/><Relationship Id="rId784" Type="http://schemas.openxmlformats.org/officeDocument/2006/relationships/hyperlink" Target="http://www.gooood.ru/components/com_virtuemart/shop_image/product/dodo/D-323-30b.jpg" TargetMode="External"/><Relationship Id="rId991" Type="http://schemas.openxmlformats.org/officeDocument/2006/relationships/hyperlink" Target="http://www.gooood.ru/components/com_virtuemart/shop_image/product/good/14-2VEGbig.jpg" TargetMode="External"/><Relationship Id="rId1067" Type="http://schemas.openxmlformats.org/officeDocument/2006/relationships/hyperlink" Target="http://www.gooood.ru/components/com_virtuemart/shop_image/product/good/85-1530big.jpg" TargetMode="External"/><Relationship Id="rId2020" Type="http://schemas.openxmlformats.org/officeDocument/2006/relationships/image" Target="../media/image890.jpeg"/><Relationship Id="rId437" Type="http://schemas.openxmlformats.org/officeDocument/2006/relationships/hyperlink" Target="http://www.gooood.ru/pictures/katalog/05_1/52-1518b.jpg" TargetMode="External"/><Relationship Id="rId644" Type="http://schemas.openxmlformats.org/officeDocument/2006/relationships/hyperlink" Target="http://www.gooood.ru/components/com_virtuemart/shop_image/product/good/54-4531big.jpg" TargetMode="External"/><Relationship Id="rId851" Type="http://schemas.openxmlformats.org/officeDocument/2006/relationships/image" Target="../media/image369.jpeg"/><Relationship Id="rId1274" Type="http://schemas.openxmlformats.org/officeDocument/2006/relationships/hyperlink" Target="http://www.gooood.ru/components/com_virtuemart/shop_image/product/good/14-7584big.jpg" TargetMode="External"/><Relationship Id="rId1481" Type="http://schemas.openxmlformats.org/officeDocument/2006/relationships/hyperlink" Target="http://www.gooood.ru/components/com_virtuemart/shop_image/product/ton/T-NLS-022big.jpg" TargetMode="External"/><Relationship Id="rId1579" Type="http://schemas.openxmlformats.org/officeDocument/2006/relationships/hyperlink" Target="http://www.gooood.ru/components/com_virtuemart/shop_image/product/good/14-8615big.jpg" TargetMode="External"/><Relationship Id="rId2118" Type="http://schemas.openxmlformats.org/officeDocument/2006/relationships/hyperlink" Target="http://www.gooood.ru/components/com_virtuemart/shop_image/product/good/14-8580big.jpg" TargetMode="External"/><Relationship Id="rId504" Type="http://schemas.openxmlformats.org/officeDocument/2006/relationships/image" Target="../media/image208.jpeg"/><Relationship Id="rId711" Type="http://schemas.openxmlformats.org/officeDocument/2006/relationships/image" Target="../media/image304.jpeg"/><Relationship Id="rId949" Type="http://schemas.openxmlformats.org/officeDocument/2006/relationships/hyperlink" Target="http://www.gooood.ru/components/com_virtuemart/shop_image/product/good/36-1514big.jpg" TargetMode="External"/><Relationship Id="rId1134" Type="http://schemas.openxmlformats.org/officeDocument/2006/relationships/image" Target="../media/image491.jpeg"/><Relationship Id="rId1341" Type="http://schemas.openxmlformats.org/officeDocument/2006/relationships/hyperlink" Target="http://www.gooood.ru/components/com_virtuemart/shop_image/product/good/14-1596big.jpg" TargetMode="External"/><Relationship Id="rId1786" Type="http://schemas.openxmlformats.org/officeDocument/2006/relationships/image" Target="../media/image794.jpeg"/><Relationship Id="rId1993" Type="http://schemas.openxmlformats.org/officeDocument/2006/relationships/hyperlink" Target="http://www.gooood.ru/components/com_virtuemart/shop_image/product/good/35-1638big.jpg" TargetMode="External"/><Relationship Id="rId78" Type="http://schemas.openxmlformats.org/officeDocument/2006/relationships/hyperlink" Target="http://www.gooood.ru/pictures/katalog/05_1/34-284b.jpg" TargetMode="External"/><Relationship Id="rId809" Type="http://schemas.openxmlformats.org/officeDocument/2006/relationships/image" Target="../media/image352.jpeg"/><Relationship Id="rId1201" Type="http://schemas.openxmlformats.org/officeDocument/2006/relationships/hyperlink" Target="http://www.gooood.ru/components/com_virtuemart/shop_image/product/dodo/D-291-01b.jpg" TargetMode="External"/><Relationship Id="rId1439" Type="http://schemas.openxmlformats.org/officeDocument/2006/relationships/hyperlink" Target="http://www.gooood.ru/components/com_virtuemart/shop_image/product/good/14-3580big.jpg" TargetMode="External"/><Relationship Id="rId1646" Type="http://schemas.openxmlformats.org/officeDocument/2006/relationships/hyperlink" Target="http://www.gooood.ru/components/com_virtuemart/shop_image/product/x/A-14-701big.jpg" TargetMode="External"/><Relationship Id="rId1853" Type="http://schemas.openxmlformats.org/officeDocument/2006/relationships/image" Target="../media/image824.jpeg"/><Relationship Id="rId1506" Type="http://schemas.openxmlformats.org/officeDocument/2006/relationships/hyperlink" Target="http://www.gooood.ru/components/com_virtuemart/shop_image/product/good/34-7524big.jpg" TargetMode="External"/><Relationship Id="rId1713" Type="http://schemas.openxmlformats.org/officeDocument/2006/relationships/image" Target="../media/image761.jpeg"/><Relationship Id="rId1920" Type="http://schemas.openxmlformats.org/officeDocument/2006/relationships/hyperlink" Target="http://www.gooood.ru/components/com_virtuemart/shop_image/product/good/34-3508b.jpg" TargetMode="External"/><Relationship Id="rId294" Type="http://schemas.openxmlformats.org/officeDocument/2006/relationships/hyperlink" Target="http://www.gooood.ru/components/com_virtuemart/shop_image/product/rw/rw-42-01b.jpg" TargetMode="External"/><Relationship Id="rId154" Type="http://schemas.openxmlformats.org/officeDocument/2006/relationships/hyperlink" Target="http://www.gooood.ru/components/com_virtuemart/shop_image/product/nmnh/77-vm-101-bb.jpg" TargetMode="External"/><Relationship Id="rId361" Type="http://schemas.openxmlformats.org/officeDocument/2006/relationships/hyperlink" Target="http://www.gooood.ru/components/com_virtuemart/shop_image/product/ton/T-TS-021-Lb.jpg" TargetMode="External"/><Relationship Id="rId599" Type="http://schemas.openxmlformats.org/officeDocument/2006/relationships/image" Target="../media/image254.jpeg"/><Relationship Id="rId2042" Type="http://schemas.openxmlformats.org/officeDocument/2006/relationships/hyperlink" Target="http://www.gooood.ru/components/com_virtuemart/shop_image/product/good/16-1610big.jpg" TargetMode="External"/><Relationship Id="rId459" Type="http://schemas.openxmlformats.org/officeDocument/2006/relationships/image" Target="../media/image186.jpeg"/><Relationship Id="rId666" Type="http://schemas.openxmlformats.org/officeDocument/2006/relationships/hyperlink" Target="http://www.gooood.ru/components/com_virtuemart/shop_image/product/ton/T-TS-053-Gb.jpg" TargetMode="External"/><Relationship Id="rId873" Type="http://schemas.openxmlformats.org/officeDocument/2006/relationships/image" Target="../media/image377.jpeg"/><Relationship Id="rId1089" Type="http://schemas.openxmlformats.org/officeDocument/2006/relationships/hyperlink" Target="http://www.gooood.ru/components/com_virtuemart/shop_image/product/good/85-136big.jpg" TargetMode="External"/><Relationship Id="rId1296" Type="http://schemas.openxmlformats.org/officeDocument/2006/relationships/hyperlink" Target="http://www.gooood.ru/components/com_virtuemart/shop_image/product/ton/T-JH-058big.jpg" TargetMode="External"/><Relationship Id="rId221" Type="http://schemas.openxmlformats.org/officeDocument/2006/relationships/image" Target="../media/image101.jpeg"/><Relationship Id="rId319" Type="http://schemas.openxmlformats.org/officeDocument/2006/relationships/hyperlink" Target="http://www.gooood.ru/components/com_virtuemart/shop_image/product/ton/T-NLS-015-Lb.jpg" TargetMode="External"/><Relationship Id="rId526" Type="http://schemas.openxmlformats.org/officeDocument/2006/relationships/hyperlink" Target="http://www.gooood.ru/components/com_virtuemart/shop_image/product/good/14-972big.jpg" TargetMode="External"/><Relationship Id="rId1156" Type="http://schemas.openxmlformats.org/officeDocument/2006/relationships/image" Target="../media/image502.jpeg"/><Relationship Id="rId1363" Type="http://schemas.openxmlformats.org/officeDocument/2006/relationships/hyperlink" Target="http://www.gooood.ru/components/com_virtuemart/shop_image/product/good/34-1539big.jpg" TargetMode="External"/><Relationship Id="rId733" Type="http://schemas.openxmlformats.org/officeDocument/2006/relationships/hyperlink" Target="http://www.gooood.ru/components/com_virtuemart/shop_image/product/handmade/sg-025big.jpg" TargetMode="External"/><Relationship Id="rId940" Type="http://schemas.openxmlformats.org/officeDocument/2006/relationships/hyperlink" Target="http://www.gooood.ru/components/com_virtuemart/shop_image/product/good/16-1566big.jpg" TargetMode="External"/><Relationship Id="rId1016" Type="http://schemas.openxmlformats.org/officeDocument/2006/relationships/hyperlink" Target="http://www.gooood.ru/components/com_virtuemart/shop_image/product/ton/T-LS-061b.jpg" TargetMode="External"/><Relationship Id="rId1570" Type="http://schemas.openxmlformats.org/officeDocument/2006/relationships/image" Target="../media/image681.jpeg"/><Relationship Id="rId1668" Type="http://schemas.openxmlformats.org/officeDocument/2006/relationships/hyperlink" Target="http://www.gooood.ru/components/com_virtuemart/shop_image/product/good/34-7622big.jpg" TargetMode="External"/><Relationship Id="rId1875" Type="http://schemas.openxmlformats.org/officeDocument/2006/relationships/hyperlink" Target="http://www.gooood.ru/components/com_virtuemart/shop_image/product/good/57-1544big.jpg" TargetMode="External"/><Relationship Id="rId800" Type="http://schemas.openxmlformats.org/officeDocument/2006/relationships/hyperlink" Target="http://www.gooood.ru/components/com_virtuemart/shop_image/product/good/14-9508big.jpg" TargetMode="External"/><Relationship Id="rId1223" Type="http://schemas.openxmlformats.org/officeDocument/2006/relationships/hyperlink" Target="http://www.gooood.ru/components/com_virtuemart/shop_image/product/dodo/D-592-01b.jpg" TargetMode="External"/><Relationship Id="rId1430" Type="http://schemas.openxmlformats.org/officeDocument/2006/relationships/hyperlink" Target="http://www.gooood.ru/components/com_virtuemart/shop_image/product/ton/T-JH-005big.jpg" TargetMode="External"/><Relationship Id="rId1528" Type="http://schemas.openxmlformats.org/officeDocument/2006/relationships/image" Target="../media/image664.jpeg"/><Relationship Id="rId1735" Type="http://schemas.openxmlformats.org/officeDocument/2006/relationships/image" Target="../media/image783.jpeg"/><Relationship Id="rId1942" Type="http://schemas.openxmlformats.org/officeDocument/2006/relationships/hyperlink" Target="http://www.gooood.ru/components/com_virtuemart/shop_image/product/good/14-3643-1big.jpg" TargetMode="External"/><Relationship Id="rId27" Type="http://schemas.openxmlformats.org/officeDocument/2006/relationships/hyperlink" Target="http://www.gooood.ru/pictures/katalog/05_1/14-169b.jpg" TargetMode="External"/><Relationship Id="rId1802" Type="http://schemas.openxmlformats.org/officeDocument/2006/relationships/hyperlink" Target="http://www.gooood.ru/components/com_virtuemart/shop_image/product/cap/C-2579big.jpg" TargetMode="External"/><Relationship Id="rId176" Type="http://schemas.openxmlformats.org/officeDocument/2006/relationships/hyperlink" Target="http://www.gooood.ru/components/com_virtuemart/shop_image/product/nmnh/77-wl-017b.jpg" TargetMode="External"/><Relationship Id="rId383" Type="http://schemas.openxmlformats.org/officeDocument/2006/relationships/hyperlink" Target="http://www.gooood.ru/components/com_virtuemart/shop_image/product/ton/T-TS-041b.jpg" TargetMode="External"/><Relationship Id="rId590" Type="http://schemas.openxmlformats.org/officeDocument/2006/relationships/hyperlink" Target="http://www.gooood.ru/components/com_virtuemart/shop_image/product/nmnh/77-Pc43Bbig.jpg" TargetMode="External"/><Relationship Id="rId2064" Type="http://schemas.openxmlformats.org/officeDocument/2006/relationships/hyperlink" Target="http://www.gooood.ru/components/com_virtuemart/shop_image/product/good/14-3662big.jpg" TargetMode="External"/><Relationship Id="rId243" Type="http://schemas.openxmlformats.org/officeDocument/2006/relationships/hyperlink" Target="http://www.gooood.ru/pictures/katalog/05_1/52-1510b.jpg" TargetMode="External"/><Relationship Id="rId450" Type="http://schemas.openxmlformats.org/officeDocument/2006/relationships/hyperlink" Target="http://www.gooood.ru/pictures/katalog/05_1/14-9506b.jpg" TargetMode="External"/><Relationship Id="rId688" Type="http://schemas.openxmlformats.org/officeDocument/2006/relationships/image" Target="../media/image293.jpeg"/><Relationship Id="rId895" Type="http://schemas.openxmlformats.org/officeDocument/2006/relationships/hyperlink" Target="http://www.gooood.ru/components/com_virtuemart/shop_image/product/good/84-6563big.jpg" TargetMode="External"/><Relationship Id="rId1080" Type="http://schemas.openxmlformats.org/officeDocument/2006/relationships/hyperlink" Target="http://www.gooood.ru/components/com_virtuemart/shop_image/product/good/14-901SGbig.jpg" TargetMode="External"/><Relationship Id="rId2131" Type="http://schemas.openxmlformats.org/officeDocument/2006/relationships/hyperlink" Target="http://www.gooood.ru/components/com_virtuemart/shop_image/product/good/21-1662big.jpg" TargetMode="External"/><Relationship Id="rId103" Type="http://schemas.openxmlformats.org/officeDocument/2006/relationships/image" Target="../media/image42.jpeg"/><Relationship Id="rId310" Type="http://schemas.openxmlformats.org/officeDocument/2006/relationships/hyperlink" Target="http://www.gooood.ru/components/com_virtuemart/shop_image/product/ton/T-NLS-004-Lb.jpg" TargetMode="External"/><Relationship Id="rId548" Type="http://schemas.openxmlformats.org/officeDocument/2006/relationships/hyperlink" Target="http://www.gooood.ru/components/com_virtuemart/shop_image/product/ton/T-TS-050-Lb.jpg" TargetMode="External"/><Relationship Id="rId755" Type="http://schemas.openxmlformats.org/officeDocument/2006/relationships/hyperlink" Target="http://www.gooood.ru/components/com_virtuemart/shop_image/product/good/46-400big.jpg" TargetMode="External"/><Relationship Id="rId962" Type="http://schemas.openxmlformats.org/officeDocument/2006/relationships/image" Target="../media/image415.jpeg"/><Relationship Id="rId1178" Type="http://schemas.openxmlformats.org/officeDocument/2006/relationships/hyperlink" Target="http://www.gooood.ru/components/com_virtuemart/shop_image/product/good/38-6541big.jpg" TargetMode="External"/><Relationship Id="rId1385" Type="http://schemas.openxmlformats.org/officeDocument/2006/relationships/hyperlink" Target="http://www.gooood.ru/components/com_virtuemart/shop_image/product/good/16-1587big.jpg" TargetMode="External"/><Relationship Id="rId1592" Type="http://schemas.openxmlformats.org/officeDocument/2006/relationships/image" Target="../media/image693.jpeg"/><Relationship Id="rId91" Type="http://schemas.openxmlformats.org/officeDocument/2006/relationships/image" Target="../media/image36.jpeg"/><Relationship Id="rId408" Type="http://schemas.openxmlformats.org/officeDocument/2006/relationships/image" Target="../media/image165.jpeg"/><Relationship Id="rId615" Type="http://schemas.openxmlformats.org/officeDocument/2006/relationships/hyperlink" Target="http://www.gooood.ru/components/com_virtuemart/shop_image/product/good/42-4531big.jpg" TargetMode="External"/><Relationship Id="rId822" Type="http://schemas.openxmlformats.org/officeDocument/2006/relationships/hyperlink" Target="http://www.gooood.ru/components/com_virtuemart/shop_image/product/good/46-1544big.jpg" TargetMode="External"/><Relationship Id="rId1038" Type="http://schemas.openxmlformats.org/officeDocument/2006/relationships/image" Target="../media/image449.jpeg"/><Relationship Id="rId1245" Type="http://schemas.openxmlformats.org/officeDocument/2006/relationships/hyperlink" Target="http://www.gooood.ru/components/com_virtuemart/shop_image/product/dodo/D-426-0901b.jpg" TargetMode="External"/><Relationship Id="rId1452" Type="http://schemas.openxmlformats.org/officeDocument/2006/relationships/image" Target="../media/image631.jpeg"/><Relationship Id="rId1897" Type="http://schemas.openxmlformats.org/officeDocument/2006/relationships/image" Target="../media/image839.jpeg"/><Relationship Id="rId1105" Type="http://schemas.openxmlformats.org/officeDocument/2006/relationships/hyperlink" Target="http://www.gooood.ru/components/com_virtuemart/shop_image/product/good/14-1581big.jpg" TargetMode="External"/><Relationship Id="rId1312" Type="http://schemas.openxmlformats.org/officeDocument/2006/relationships/hyperlink" Target="http://www.gooood.ru/components/com_virtuemart/shop_image/product/good/36-151b.jpg" TargetMode="External"/><Relationship Id="rId1757" Type="http://schemas.openxmlformats.org/officeDocument/2006/relationships/hyperlink" Target="http://www.gooood.ru/components/com_virtuemart/shop_image/product/good/14-136-Kbig.jpg" TargetMode="External"/><Relationship Id="rId1964" Type="http://schemas.openxmlformats.org/officeDocument/2006/relationships/hyperlink" Target="http://www.gooood.ru/components/com_virtuemart/shop_image/product/good/35-7506b.jpg" TargetMode="External"/><Relationship Id="rId49" Type="http://schemas.openxmlformats.org/officeDocument/2006/relationships/hyperlink" Target="http://www.gooood.ru/pictures/katalog/05_1/28-417b.jpg" TargetMode="External"/><Relationship Id="rId1617" Type="http://schemas.openxmlformats.org/officeDocument/2006/relationships/hyperlink" Target="http://www.gooood.ru/components/com_virtuemart/shop_image/product/good/36-289big.jpg" TargetMode="External"/><Relationship Id="rId1824" Type="http://schemas.openxmlformats.org/officeDocument/2006/relationships/hyperlink" Target="http://www.gooood.ru/components/com_virtuemart/shop_image/product/cap/C-584big.jpg" TargetMode="External"/><Relationship Id="rId198" Type="http://schemas.openxmlformats.org/officeDocument/2006/relationships/hyperlink" Target="http://www.gooood.ru/pictures/katalog/05_1/14-1505-1b.jpg" TargetMode="External"/><Relationship Id="rId2086" Type="http://schemas.openxmlformats.org/officeDocument/2006/relationships/image" Target="../media/image911.jpeg"/><Relationship Id="rId265" Type="http://schemas.openxmlformats.org/officeDocument/2006/relationships/hyperlink" Target="http://www.gooood.ru/pictures/katalog/05_1/41-3513b.jpg" TargetMode="External"/><Relationship Id="rId472" Type="http://schemas.openxmlformats.org/officeDocument/2006/relationships/hyperlink" Target="http://www.gooood.ru/pictures/katalog/05_1/14-116-1b.jpg" TargetMode="External"/><Relationship Id="rId125" Type="http://schemas.openxmlformats.org/officeDocument/2006/relationships/image" Target="../media/image53.jpeg"/><Relationship Id="rId332" Type="http://schemas.openxmlformats.org/officeDocument/2006/relationships/image" Target="../media/image150.jpeg"/><Relationship Id="rId777" Type="http://schemas.openxmlformats.org/officeDocument/2006/relationships/image" Target="../media/image336.jpeg"/><Relationship Id="rId984" Type="http://schemas.openxmlformats.org/officeDocument/2006/relationships/image" Target="../media/image425.jpeg"/><Relationship Id="rId2013" Type="http://schemas.openxmlformats.org/officeDocument/2006/relationships/image" Target="../media/image888.jpeg"/><Relationship Id="rId637" Type="http://schemas.openxmlformats.org/officeDocument/2006/relationships/image" Target="../media/image269.jpeg"/><Relationship Id="rId844" Type="http://schemas.openxmlformats.org/officeDocument/2006/relationships/hyperlink" Target="http://www.gooood.ru/components/com_virtuemart/shop_image/product/good/14-1545big.jpg" TargetMode="External"/><Relationship Id="rId1267" Type="http://schemas.openxmlformats.org/officeDocument/2006/relationships/image" Target="../media/image552.jpeg"/><Relationship Id="rId1474" Type="http://schemas.openxmlformats.org/officeDocument/2006/relationships/hyperlink" Target="http://www.gooood.ru/components/com_virtuemart/shop_image/product/good/34-5504big.jpg" TargetMode="External"/><Relationship Id="rId1681" Type="http://schemas.openxmlformats.org/officeDocument/2006/relationships/image" Target="../media/image729.jpeg"/><Relationship Id="rId704" Type="http://schemas.openxmlformats.org/officeDocument/2006/relationships/hyperlink" Target="http://www.gooood.ru/components/com_virtuemart/shop_image/product/good/34-5541big.jpg" TargetMode="External"/><Relationship Id="rId911" Type="http://schemas.openxmlformats.org/officeDocument/2006/relationships/image" Target="../media/image395.jpeg"/><Relationship Id="rId1127" Type="http://schemas.openxmlformats.org/officeDocument/2006/relationships/hyperlink" Target="http://www.gooood.ru/product/SL-NI.php" TargetMode="External"/><Relationship Id="rId1334" Type="http://schemas.openxmlformats.org/officeDocument/2006/relationships/image" Target="../media/image579.jpeg"/><Relationship Id="rId1541" Type="http://schemas.openxmlformats.org/officeDocument/2006/relationships/hyperlink" Target="http://www.gooood.ru/components/com_virtuemart/shop_image/product/good/14-125-1big.jpg" TargetMode="External"/><Relationship Id="rId1779" Type="http://schemas.openxmlformats.org/officeDocument/2006/relationships/hyperlink" Target="http://www.gooood.ru/components/com_virtuemart/shop_image/product/good/20-1505-1big.jpg" TargetMode="External"/><Relationship Id="rId1986" Type="http://schemas.openxmlformats.org/officeDocument/2006/relationships/hyperlink" Target="http://www.gooood.ru/components/com_virtuemart/shop_image/product/good/35-8648big.jpg" TargetMode="External"/><Relationship Id="rId40" Type="http://schemas.openxmlformats.org/officeDocument/2006/relationships/image" Target="../media/image21.jpeg"/><Relationship Id="rId1401" Type="http://schemas.openxmlformats.org/officeDocument/2006/relationships/hyperlink" Target="http://www.gooood.ru/components/com_virtuemart/shop_image/product/dodo/D-1433-01big.jpg" TargetMode="External"/><Relationship Id="rId1639" Type="http://schemas.openxmlformats.org/officeDocument/2006/relationships/image" Target="../media/image711.jpeg"/><Relationship Id="rId1846" Type="http://schemas.openxmlformats.org/officeDocument/2006/relationships/hyperlink" Target="http://www.gooood.ru/components/com_virtuemart/shop_image/product/accessories/MK-004big.jpg" TargetMode="External"/><Relationship Id="rId1706" Type="http://schemas.openxmlformats.org/officeDocument/2006/relationships/image" Target="../media/image754.jpeg"/><Relationship Id="rId1913" Type="http://schemas.openxmlformats.org/officeDocument/2006/relationships/image" Target="../media/image846.jpeg"/><Relationship Id="rId287" Type="http://schemas.openxmlformats.org/officeDocument/2006/relationships/hyperlink" Target="http://www.gooood.ru/pictures/katalog/05_1/42-943b.jpg" TargetMode="External"/><Relationship Id="rId494" Type="http://schemas.openxmlformats.org/officeDocument/2006/relationships/hyperlink" Target="http://www.gooood.ru/components/com_virtuemart/shop_image/product/dodo/D-470-30b.jpg" TargetMode="External"/><Relationship Id="rId147" Type="http://schemas.openxmlformats.org/officeDocument/2006/relationships/image" Target="../media/image64.jpeg"/><Relationship Id="rId354" Type="http://schemas.openxmlformats.org/officeDocument/2006/relationships/hyperlink" Target="http://www.gooood.ru/components/com_virtuemart/shop_image/product/ton/T-TS-011b.jpg" TargetMode="External"/><Relationship Id="rId799" Type="http://schemas.openxmlformats.org/officeDocument/2006/relationships/image" Target="../media/image347.jpeg"/><Relationship Id="rId1191" Type="http://schemas.openxmlformats.org/officeDocument/2006/relationships/hyperlink" Target="http://www.gooood.ru/components/com_virtuemart/shop_image/product/dodo/D-1402-01big.jpg" TargetMode="External"/><Relationship Id="rId2035" Type="http://schemas.openxmlformats.org/officeDocument/2006/relationships/hyperlink" Target="http://www.gooood.ru/components/com_virtuemart/shop_image/product/good/42-923b.jpg" TargetMode="External"/><Relationship Id="rId561" Type="http://schemas.openxmlformats.org/officeDocument/2006/relationships/image" Target="../media/image235.jpeg"/><Relationship Id="rId659" Type="http://schemas.openxmlformats.org/officeDocument/2006/relationships/image" Target="../media/image280.jpeg"/><Relationship Id="rId866" Type="http://schemas.openxmlformats.org/officeDocument/2006/relationships/hyperlink" Target="http://www.gooood.ru/components/com_virtuemart/shop_image/product/good/50-1544big.jpg" TargetMode="External"/><Relationship Id="rId1289" Type="http://schemas.openxmlformats.org/officeDocument/2006/relationships/hyperlink" Target="http://www.gooood.ru/components/com_virtuemart/shop_image/product/ton/T-LS-068big.jpg" TargetMode="External"/><Relationship Id="rId1496" Type="http://schemas.openxmlformats.org/officeDocument/2006/relationships/image" Target="../media/image649.jpeg"/><Relationship Id="rId214" Type="http://schemas.openxmlformats.org/officeDocument/2006/relationships/hyperlink" Target="http://www.gooood.ru/pictures/katalog/05_1/28-6503b.jpg" TargetMode="External"/><Relationship Id="rId421" Type="http://schemas.openxmlformats.org/officeDocument/2006/relationships/hyperlink" Target="http://www.gooood.ru/pictures/katalog/05_1/42-190b.jpg" TargetMode="External"/><Relationship Id="rId519" Type="http://schemas.openxmlformats.org/officeDocument/2006/relationships/image" Target="../media/image215.jpeg"/><Relationship Id="rId1051" Type="http://schemas.openxmlformats.org/officeDocument/2006/relationships/hyperlink" Target="http://www.gooood.ru/components/com_virtuemart/shop_image/product/good/34-379big.jpg" TargetMode="External"/><Relationship Id="rId1149" Type="http://schemas.openxmlformats.org/officeDocument/2006/relationships/hyperlink" Target="http://www.gooood.ru/product/SL-K-M.php" TargetMode="External"/><Relationship Id="rId1356" Type="http://schemas.openxmlformats.org/officeDocument/2006/relationships/image" Target="../media/image587.jpeg"/><Relationship Id="rId2102" Type="http://schemas.openxmlformats.org/officeDocument/2006/relationships/image" Target="../media/image918.jpeg"/><Relationship Id="rId726" Type="http://schemas.openxmlformats.org/officeDocument/2006/relationships/image" Target="../media/image311.jpeg"/><Relationship Id="rId933" Type="http://schemas.openxmlformats.org/officeDocument/2006/relationships/hyperlink" Target="http://www.gooood.ru/components/com_virtuemart/shop_image/product/good/30-1514big.jpg" TargetMode="External"/><Relationship Id="rId1009" Type="http://schemas.openxmlformats.org/officeDocument/2006/relationships/image" Target="../media/image437.jpeg"/><Relationship Id="rId1563" Type="http://schemas.openxmlformats.org/officeDocument/2006/relationships/hyperlink" Target="http://www.gooood.ru/components/com_virtuemart/shop_image/product/good/14-3584big.jpg" TargetMode="External"/><Relationship Id="rId1770" Type="http://schemas.openxmlformats.org/officeDocument/2006/relationships/hyperlink" Target="http://www.gooood.ru/components/com_virtuemart/shop_image/product/good/20-119big.jpg" TargetMode="External"/><Relationship Id="rId1868" Type="http://schemas.openxmlformats.org/officeDocument/2006/relationships/image" Target="../media/image830.jpeg"/><Relationship Id="rId62" Type="http://schemas.openxmlformats.org/officeDocument/2006/relationships/hyperlink" Target="http://www.gooood.ru/pictures/katalog/05_1/30-186-1b.jpg" TargetMode="External"/><Relationship Id="rId1216" Type="http://schemas.openxmlformats.org/officeDocument/2006/relationships/image" Target="../media/image528.jpeg"/><Relationship Id="rId1423" Type="http://schemas.openxmlformats.org/officeDocument/2006/relationships/hyperlink" Target="http://www.gooood.ru/components/com_virtuemart/shop_image/product/ton/T-JHWS-023big.jpg" TargetMode="External"/><Relationship Id="rId1630" Type="http://schemas.openxmlformats.org/officeDocument/2006/relationships/hyperlink" Target="http://www.gooood.ru/components/com_virtuemart/shop_image/product/good/38-3620big.jpg" TargetMode="External"/><Relationship Id="rId1728" Type="http://schemas.openxmlformats.org/officeDocument/2006/relationships/image" Target="../media/image776.jpeg"/><Relationship Id="rId1935" Type="http://schemas.openxmlformats.org/officeDocument/2006/relationships/image" Target="../media/image855.jpeg"/><Relationship Id="rId169" Type="http://schemas.openxmlformats.org/officeDocument/2006/relationships/image" Target="../media/image75.jpeg"/><Relationship Id="rId376" Type="http://schemas.openxmlformats.org/officeDocument/2006/relationships/hyperlink" Target="http://www.gooood.ru/components/com_virtuemart/shop_image/product/ton/T-TS-037b.jpg" TargetMode="External"/><Relationship Id="rId583" Type="http://schemas.openxmlformats.org/officeDocument/2006/relationships/image" Target="../media/image246.jpeg"/><Relationship Id="rId790" Type="http://schemas.openxmlformats.org/officeDocument/2006/relationships/hyperlink" Target="http://www.gooood.ru/components/com_virtuemart/shop_image/product/dodo/D-415-01b.jpg" TargetMode="External"/><Relationship Id="rId2057" Type="http://schemas.openxmlformats.org/officeDocument/2006/relationships/hyperlink" Target="http://www.gooood.ru/components/com_virtuemart/shop_image/product/good/35-1655big.jpg" TargetMode="External"/><Relationship Id="rId4" Type="http://schemas.openxmlformats.org/officeDocument/2006/relationships/image" Target="../media/image3.jpeg"/><Relationship Id="rId236" Type="http://schemas.openxmlformats.org/officeDocument/2006/relationships/hyperlink" Target="http://www.gooood.ru/pictures/katalog/05_1/14-1510-1b.jpg" TargetMode="External"/><Relationship Id="rId443" Type="http://schemas.openxmlformats.org/officeDocument/2006/relationships/hyperlink" Target="http://www.gooood.ru/pictures/katalog/05_1/24-1520b.jpg" TargetMode="External"/><Relationship Id="rId650" Type="http://schemas.openxmlformats.org/officeDocument/2006/relationships/hyperlink" Target="http://www.gooood.ru/components/com_virtuemart/shop_image/product/good/14-792big.jpg" TargetMode="External"/><Relationship Id="rId888" Type="http://schemas.openxmlformats.org/officeDocument/2006/relationships/image" Target="../media/image383.jpeg"/><Relationship Id="rId1073" Type="http://schemas.openxmlformats.org/officeDocument/2006/relationships/image" Target="../media/image463.jpeg"/><Relationship Id="rId1280" Type="http://schemas.openxmlformats.org/officeDocument/2006/relationships/image" Target="../media/image558.jpeg"/><Relationship Id="rId2124" Type="http://schemas.openxmlformats.org/officeDocument/2006/relationships/image" Target="../media/image927.jpeg"/><Relationship Id="rId303" Type="http://schemas.openxmlformats.org/officeDocument/2006/relationships/image" Target="../media/image140.jpeg"/><Relationship Id="rId748" Type="http://schemas.openxmlformats.org/officeDocument/2006/relationships/image" Target="../media/image322.jpeg"/><Relationship Id="rId955" Type="http://schemas.openxmlformats.org/officeDocument/2006/relationships/hyperlink" Target="http://www.gooood.ru/components/com_virtuemart/shop_image/product/good/34-101SGbig.jpg" TargetMode="External"/><Relationship Id="rId1140" Type="http://schemas.openxmlformats.org/officeDocument/2006/relationships/image" Target="../media/image494.jpeg"/><Relationship Id="rId1378" Type="http://schemas.openxmlformats.org/officeDocument/2006/relationships/image" Target="../media/image596.jpeg"/><Relationship Id="rId1585" Type="http://schemas.openxmlformats.org/officeDocument/2006/relationships/image" Target="../media/image688.png"/><Relationship Id="rId1792" Type="http://schemas.openxmlformats.org/officeDocument/2006/relationships/image" Target="../media/image796.jpeg"/><Relationship Id="rId84" Type="http://schemas.openxmlformats.org/officeDocument/2006/relationships/hyperlink" Target="http://www.gooood.ru/pictures/katalog/05_1/36-128b.jpg" TargetMode="External"/><Relationship Id="rId510" Type="http://schemas.openxmlformats.org/officeDocument/2006/relationships/image" Target="../media/image211.jpeg"/><Relationship Id="rId608" Type="http://schemas.openxmlformats.org/officeDocument/2006/relationships/hyperlink" Target="http://www.gooood.ru/components/com_virtuemart/shop_image/product/good/34-1529big.jpg" TargetMode="External"/><Relationship Id="rId815" Type="http://schemas.openxmlformats.org/officeDocument/2006/relationships/image" Target="../media/image355.jpeg"/><Relationship Id="rId1238" Type="http://schemas.openxmlformats.org/officeDocument/2006/relationships/image" Target="../media/image539.jpeg"/><Relationship Id="rId1445" Type="http://schemas.openxmlformats.org/officeDocument/2006/relationships/image" Target="../media/image628.jpeg"/><Relationship Id="rId1652" Type="http://schemas.openxmlformats.org/officeDocument/2006/relationships/image" Target="../media/image717.jpeg"/><Relationship Id="rId1000" Type="http://schemas.openxmlformats.org/officeDocument/2006/relationships/hyperlink" Target="http://www.gooood.ru/components/com_virtuemart/shop_image/product/good/38-427big.jpg" TargetMode="External"/><Relationship Id="rId1305" Type="http://schemas.openxmlformats.org/officeDocument/2006/relationships/image" Target="../media/image570.jpeg"/><Relationship Id="rId1957" Type="http://schemas.openxmlformats.org/officeDocument/2006/relationships/image" Target="../media/image865.jpeg"/><Relationship Id="rId1512" Type="http://schemas.openxmlformats.org/officeDocument/2006/relationships/hyperlink" Target="http://www.gooood.ru/components/com_virtuemart/shop_image/product/good/11-258b.jpg" TargetMode="External"/><Relationship Id="rId1817" Type="http://schemas.openxmlformats.org/officeDocument/2006/relationships/image" Target="../media/image808.jpeg"/><Relationship Id="rId11" Type="http://schemas.openxmlformats.org/officeDocument/2006/relationships/hyperlink" Target="http://www.gooood.ru/pictures/katalog/05_1/14-121b.jpg" TargetMode="External"/><Relationship Id="rId398" Type="http://schemas.openxmlformats.org/officeDocument/2006/relationships/hyperlink" Target="http://www.gooood.ru/components/com_virtuemart/shop_image/product/ton/T-WSH-011-Lb.jpg" TargetMode="External"/><Relationship Id="rId2079" Type="http://schemas.openxmlformats.org/officeDocument/2006/relationships/hyperlink" Target="http://www.gooood.ru/components/com_virtuemart/shop_image/product/good/22-9662big.jpg" TargetMode="External"/><Relationship Id="rId160" Type="http://schemas.openxmlformats.org/officeDocument/2006/relationships/hyperlink" Target="http://www.gooood.ru/components/com_virtuemart/shop_image/product/nmnh/77-vm-215-gb.jpg" TargetMode="External"/><Relationship Id="rId258" Type="http://schemas.openxmlformats.org/officeDocument/2006/relationships/image" Target="../media/image119.jpeg"/><Relationship Id="rId465" Type="http://schemas.openxmlformats.org/officeDocument/2006/relationships/image" Target="../media/image189.jpeg"/><Relationship Id="rId672" Type="http://schemas.openxmlformats.org/officeDocument/2006/relationships/hyperlink" Target="http://www.gooood.ru/components/com_virtuemart/shop_image/product/good/83-2533b.jpg" TargetMode="External"/><Relationship Id="rId1095" Type="http://schemas.openxmlformats.org/officeDocument/2006/relationships/hyperlink" Target="http://www.gooood.ru/components/com_virtuemart/shop_image/product/good/34-349big.jpg" TargetMode="External"/><Relationship Id="rId118" Type="http://schemas.openxmlformats.org/officeDocument/2006/relationships/hyperlink" Target="http://www.gooood.ru/components/com_virtuemart/shop_image/product/rw/rw-033-gb.jpg" TargetMode="External"/><Relationship Id="rId325" Type="http://schemas.openxmlformats.org/officeDocument/2006/relationships/hyperlink" Target="http://www.gooood.ru/components/com_virtuemart/shop_image/product/ton/T-NLS-023b.jpg" TargetMode="External"/><Relationship Id="rId532" Type="http://schemas.openxmlformats.org/officeDocument/2006/relationships/hyperlink" Target="http://www.gooood.ru/components/com_virtuemart/shop_image/product/good/34-972big.jpg" TargetMode="External"/><Relationship Id="rId977" Type="http://schemas.openxmlformats.org/officeDocument/2006/relationships/hyperlink" Target="http://www.gooood.ru/components/com_virtuemart/shop_image/product/good/14-6508big.jpg" TargetMode="External"/><Relationship Id="rId1162" Type="http://schemas.openxmlformats.org/officeDocument/2006/relationships/hyperlink" Target="http://www.gooood.ru/components/com_virtuemart/shop_image/product/good/14-1584big.jpg" TargetMode="External"/><Relationship Id="rId2006" Type="http://schemas.openxmlformats.org/officeDocument/2006/relationships/image" Target="../media/image885.jpeg"/><Relationship Id="rId837" Type="http://schemas.openxmlformats.org/officeDocument/2006/relationships/hyperlink" Target="http://www.gooood.ru/components/com_virtuemart/shop_image/product/ton/T-LS-044b.jpg" TargetMode="External"/><Relationship Id="rId1022" Type="http://schemas.openxmlformats.org/officeDocument/2006/relationships/image" Target="../media/image443.jpeg"/><Relationship Id="rId1467" Type="http://schemas.openxmlformats.org/officeDocument/2006/relationships/hyperlink" Target="http://www.gooood.ru/components/com_virtuemart/shop_image/product/ton/T-LS-008b.jpg" TargetMode="External"/><Relationship Id="rId1674" Type="http://schemas.openxmlformats.org/officeDocument/2006/relationships/image" Target="../media/image725.jpeg"/><Relationship Id="rId1881" Type="http://schemas.openxmlformats.org/officeDocument/2006/relationships/hyperlink" Target="http://www.gooood.ru/components/com_virtuemart/shop_image/product/good/35-136big.jpg" TargetMode="External"/><Relationship Id="rId904" Type="http://schemas.openxmlformats.org/officeDocument/2006/relationships/image" Target="../media/image392.jpeg"/><Relationship Id="rId1327" Type="http://schemas.openxmlformats.org/officeDocument/2006/relationships/hyperlink" Target="http://www.gooood.ru/components/com_virtuemart/shop_image/product/good/34-1556big.jpg" TargetMode="External"/><Relationship Id="rId1534" Type="http://schemas.openxmlformats.org/officeDocument/2006/relationships/hyperlink" Target="http://www.gooood.ru/components/com_virtuemart/shop_image/product/ton/T-LS-074big.jpg" TargetMode="External"/><Relationship Id="rId1741" Type="http://schemas.openxmlformats.org/officeDocument/2006/relationships/hyperlink" Target="http://www.gooood.ru/components/com_virtuemart/shop_image/product/good/14-1572-Kbig.jpg" TargetMode="External"/><Relationship Id="rId1979" Type="http://schemas.openxmlformats.org/officeDocument/2006/relationships/hyperlink" Target="http://www.gooood.ru/components/com_virtuemart/shop_image/product/good/35-1650big.jpg" TargetMode="External"/><Relationship Id="rId33" Type="http://schemas.openxmlformats.org/officeDocument/2006/relationships/hyperlink" Target="http://www.gooood.ru/pictures/katalog/05_1/14-175b.jpg" TargetMode="External"/><Relationship Id="rId1601" Type="http://schemas.openxmlformats.org/officeDocument/2006/relationships/hyperlink" Target="http://www.gooood.ru/components/com_virtuemart/shop_image/product/good/14-8616big.jpg" TargetMode="External"/><Relationship Id="rId1839" Type="http://schemas.openxmlformats.org/officeDocument/2006/relationships/hyperlink" Target="http://www.gooood.ru/components/com_virtuemart/shop_image/product/good/36-1612big.jpg" TargetMode="External"/><Relationship Id="rId182" Type="http://schemas.openxmlformats.org/officeDocument/2006/relationships/hyperlink" Target="http://www.gooood.ru/pictures/katalog/05_1/34-1502b.jpg" TargetMode="External"/><Relationship Id="rId1906" Type="http://schemas.openxmlformats.org/officeDocument/2006/relationships/hyperlink" Target="http://www.gooood.ru/components/com_virtuemart/shop_image/product/good/14-7641big.jpg" TargetMode="External"/><Relationship Id="rId487" Type="http://schemas.openxmlformats.org/officeDocument/2006/relationships/image" Target="../media/image200.jpeg"/><Relationship Id="rId694" Type="http://schemas.openxmlformats.org/officeDocument/2006/relationships/hyperlink" Target="http://www.gooood.ru/components/com_virtuemart/shop_image/product/ton/T-TS-055b.jpg" TargetMode="External"/><Relationship Id="rId2070" Type="http://schemas.openxmlformats.org/officeDocument/2006/relationships/hyperlink" Target="http://www.gooood.ru/components/com_virtuemart/shop_image/product/good/14-3662-1big.jpg" TargetMode="External"/><Relationship Id="rId347" Type="http://schemas.openxmlformats.org/officeDocument/2006/relationships/hyperlink" Target="http://www.gooood.ru/components/com_virtuemart/shop_image/product/ton/T-TS-001-Lb.jpg" TargetMode="External"/><Relationship Id="rId999" Type="http://schemas.openxmlformats.org/officeDocument/2006/relationships/image" Target="../media/image432.jpeg"/><Relationship Id="rId1184" Type="http://schemas.openxmlformats.org/officeDocument/2006/relationships/hyperlink" Target="http://www.gooood.ru/components/com_virtuemart/shop_image/product/good/36-1505b.jpg" TargetMode="External"/><Relationship Id="rId2028" Type="http://schemas.openxmlformats.org/officeDocument/2006/relationships/hyperlink" Target="http://www.gooood.ru/components/com_virtuemart/shop_image/product/good/14-2658big.jpg" TargetMode="External"/><Relationship Id="rId554" Type="http://schemas.openxmlformats.org/officeDocument/2006/relationships/hyperlink" Target="http://www.gooood.ru/components/com_virtuemart/shop_image/product/good/14-1529big.jpg" TargetMode="External"/><Relationship Id="rId761" Type="http://schemas.openxmlformats.org/officeDocument/2006/relationships/hyperlink" Target="http://www.gooood.ru/components/com_virtuemart/shop_image/product/good/47-900big.jpg" TargetMode="External"/><Relationship Id="rId859" Type="http://schemas.openxmlformats.org/officeDocument/2006/relationships/hyperlink" Target="http://www.gooood.ru/components/com_virtuemart/shop_image/product/good/36-1559big.jpg" TargetMode="External"/><Relationship Id="rId1391" Type="http://schemas.openxmlformats.org/officeDocument/2006/relationships/image" Target="../media/image602.jpeg"/><Relationship Id="rId1489" Type="http://schemas.openxmlformats.org/officeDocument/2006/relationships/hyperlink" Target="http://www.gooood.ru/components/com_virtuemart/shop_image/product/good/14-1608big.jpg" TargetMode="External"/><Relationship Id="rId1696" Type="http://schemas.openxmlformats.org/officeDocument/2006/relationships/image" Target="../media/image744.jpeg"/><Relationship Id="rId207" Type="http://schemas.openxmlformats.org/officeDocument/2006/relationships/image" Target="../media/image94.jpeg"/><Relationship Id="rId414" Type="http://schemas.openxmlformats.org/officeDocument/2006/relationships/hyperlink" Target="http://www.gooood.ru/pictures/katalog/05_1/28-427-1b.jpg" TargetMode="External"/><Relationship Id="rId621" Type="http://schemas.openxmlformats.org/officeDocument/2006/relationships/hyperlink" Target="http://www.gooood.ru/components/com_virtuemart/shop_image/product/ton/T-TS-051-Lb.jpg" TargetMode="External"/><Relationship Id="rId1044" Type="http://schemas.openxmlformats.org/officeDocument/2006/relationships/image" Target="../media/image452.jpeg"/><Relationship Id="rId1251" Type="http://schemas.openxmlformats.org/officeDocument/2006/relationships/hyperlink" Target="http://www.gooood.ru/components/com_virtuemart/shop_image/product/dodo/D-507-01b.jpg" TargetMode="External"/><Relationship Id="rId1349" Type="http://schemas.openxmlformats.org/officeDocument/2006/relationships/hyperlink" Target="http://www.gooood.ru/pictures/katalog/05_1/52-123b.jpg" TargetMode="External"/><Relationship Id="rId719" Type="http://schemas.openxmlformats.org/officeDocument/2006/relationships/hyperlink" Target="http://www.gooood.ru/components/com_virtuemart/shop_image/product/good/34-1526-2big.jpg" TargetMode="External"/><Relationship Id="rId926" Type="http://schemas.openxmlformats.org/officeDocument/2006/relationships/hyperlink" Target="http://www.gooood.ru/components/com_virtuemart/shop_image/product/ton/T-TS-058b.jpg" TargetMode="External"/><Relationship Id="rId1111" Type="http://schemas.openxmlformats.org/officeDocument/2006/relationships/hyperlink" Target="http://www.gooood.ru/components/com_virtuemart/shop_image/product/good/38-4505big.jpg" TargetMode="External"/><Relationship Id="rId1556" Type="http://schemas.openxmlformats.org/officeDocument/2006/relationships/image" Target="../media/image674.jpeg"/><Relationship Id="rId1763" Type="http://schemas.openxmlformats.org/officeDocument/2006/relationships/hyperlink" Target="http://www.gooood.ru/components/com_virtuemart/shop_image/product/good/50-1617big.jpg" TargetMode="External"/><Relationship Id="rId1970" Type="http://schemas.openxmlformats.org/officeDocument/2006/relationships/image" Target="../media/image871.jpeg"/><Relationship Id="rId55" Type="http://schemas.openxmlformats.org/officeDocument/2006/relationships/image" Target="../media/image28.jpeg"/><Relationship Id="rId1209" Type="http://schemas.openxmlformats.org/officeDocument/2006/relationships/hyperlink" Target="http://www.gooood.ru/components/com_virtuemart/shop_image/product/dodo/D-415-30b.jpg" TargetMode="External"/><Relationship Id="rId1416" Type="http://schemas.openxmlformats.org/officeDocument/2006/relationships/image" Target="../media/image615.jpeg"/><Relationship Id="rId1623" Type="http://schemas.openxmlformats.org/officeDocument/2006/relationships/hyperlink" Target="http://www.gooood.ru/components/com_virtuemart/shop_image/product/shark/K-13big.jpg" TargetMode="External"/><Relationship Id="rId1830" Type="http://schemas.openxmlformats.org/officeDocument/2006/relationships/hyperlink" Target="http://www.gooood.ru/components/com_virtuemart/shop_image/product/cap/C-938big.jpg" TargetMode="External"/><Relationship Id="rId1928" Type="http://schemas.openxmlformats.org/officeDocument/2006/relationships/hyperlink" Target="http://www.gooood.ru/components/com_virtuemart/shop_image/product/ton/T-TS-079b.jpg" TargetMode="External"/><Relationship Id="rId2092" Type="http://schemas.openxmlformats.org/officeDocument/2006/relationships/hyperlink" Target="http://www.gooood.ru/components/com_virtuemart/shop_image/product/good/14-6611big.jpg" TargetMode="External"/><Relationship Id="rId271" Type="http://schemas.openxmlformats.org/officeDocument/2006/relationships/hyperlink" Target="http://www.gooood.ru/pictures/katalog/05_1/54-1512b.jpg" TargetMode="External"/><Relationship Id="rId131" Type="http://schemas.openxmlformats.org/officeDocument/2006/relationships/image" Target="../media/image56.jpeg"/><Relationship Id="rId369" Type="http://schemas.openxmlformats.org/officeDocument/2006/relationships/hyperlink" Target="http://www.gooood.ru/components/com_virtuemart/shop_image/product/ton/T-TS-033b.jpg" TargetMode="External"/><Relationship Id="rId576" Type="http://schemas.openxmlformats.org/officeDocument/2006/relationships/hyperlink" Target="http://www.gooood.ru/components/com_virtuemart/shop_image/product/nmnh/77-200big.jpg" TargetMode="External"/><Relationship Id="rId783" Type="http://schemas.openxmlformats.org/officeDocument/2006/relationships/image" Target="../media/image339.jpeg"/><Relationship Id="rId990" Type="http://schemas.openxmlformats.org/officeDocument/2006/relationships/image" Target="../media/image428.jpeg"/><Relationship Id="rId229" Type="http://schemas.openxmlformats.org/officeDocument/2006/relationships/image" Target="../media/image105.jpeg"/><Relationship Id="rId436" Type="http://schemas.openxmlformats.org/officeDocument/2006/relationships/image" Target="../media/image176.jpeg"/><Relationship Id="rId643" Type="http://schemas.openxmlformats.org/officeDocument/2006/relationships/image" Target="../media/image272.jpeg"/><Relationship Id="rId1066" Type="http://schemas.openxmlformats.org/officeDocument/2006/relationships/image" Target="../media/image461.jpeg"/><Relationship Id="rId1273" Type="http://schemas.openxmlformats.org/officeDocument/2006/relationships/image" Target="../media/image555.jpeg"/><Relationship Id="rId1480" Type="http://schemas.openxmlformats.org/officeDocument/2006/relationships/image" Target="../media/image642.jpeg"/><Relationship Id="rId2117" Type="http://schemas.openxmlformats.org/officeDocument/2006/relationships/image" Target="../media/image924.jpeg"/><Relationship Id="rId850" Type="http://schemas.openxmlformats.org/officeDocument/2006/relationships/hyperlink" Target="http://www.gooood.ru/components/com_virtuemart/shop_image/product/ton/T-TS-057b.jpg" TargetMode="External"/><Relationship Id="rId948" Type="http://schemas.openxmlformats.org/officeDocument/2006/relationships/image" Target="../media/image409.jpeg"/><Relationship Id="rId1133" Type="http://schemas.openxmlformats.org/officeDocument/2006/relationships/hyperlink" Target="http://www.gooood.ru/components/com_virtuemart/shop_image/product/sexylife/SL-NI-M-3.jpg" TargetMode="External"/><Relationship Id="rId1578" Type="http://schemas.openxmlformats.org/officeDocument/2006/relationships/image" Target="../media/image685.jpeg"/><Relationship Id="rId1785" Type="http://schemas.openxmlformats.org/officeDocument/2006/relationships/hyperlink" Target="http://www.gooood.ru/components/com_virtuemart/shop_image/product/good/14-3625big.jpg" TargetMode="External"/><Relationship Id="rId1992" Type="http://schemas.openxmlformats.org/officeDocument/2006/relationships/hyperlink" Target="http://www.gooood.ru/components/com_virtuemart/shop_image/product/good/14-392big.jpg" TargetMode="External"/><Relationship Id="rId77" Type="http://schemas.openxmlformats.org/officeDocument/2006/relationships/hyperlink" Target="http://www.gooood.ru/pictures/katalog/05_1/34-248b.jpg" TargetMode="External"/><Relationship Id="rId503" Type="http://schemas.openxmlformats.org/officeDocument/2006/relationships/hyperlink" Target="http://www.gooood.ru/components/com_virtuemart/shop_image/product/dodo/D-472-0501b.jpg" TargetMode="External"/><Relationship Id="rId710" Type="http://schemas.openxmlformats.org/officeDocument/2006/relationships/hyperlink" Target="http://www.gooood.ru/components/com_virtuemart/shop_image/product/ton/T-NLS-056b.jpg" TargetMode="External"/><Relationship Id="rId808" Type="http://schemas.openxmlformats.org/officeDocument/2006/relationships/hyperlink" Target="http://www.gooood.ru/components/com_virtuemart/shop_image/product/good/46-4544big.jpg" TargetMode="External"/><Relationship Id="rId1340" Type="http://schemas.openxmlformats.org/officeDocument/2006/relationships/image" Target="../media/image580.jpeg"/><Relationship Id="rId1438" Type="http://schemas.openxmlformats.org/officeDocument/2006/relationships/image" Target="../media/image625.jpeg"/><Relationship Id="rId1645" Type="http://schemas.openxmlformats.org/officeDocument/2006/relationships/image" Target="../media/image714.png"/><Relationship Id="rId1200" Type="http://schemas.openxmlformats.org/officeDocument/2006/relationships/image" Target="../media/image520.jpeg"/><Relationship Id="rId1852" Type="http://schemas.openxmlformats.org/officeDocument/2006/relationships/hyperlink" Target="http://www.gooood.ru/components/com_virtuemart/shop_image/product/shark/K-17big.jpg" TargetMode="External"/><Relationship Id="rId1505" Type="http://schemas.openxmlformats.org/officeDocument/2006/relationships/image" Target="../media/image653.jpeg"/><Relationship Id="rId1712" Type="http://schemas.openxmlformats.org/officeDocument/2006/relationships/image" Target="../media/image760.jpeg"/><Relationship Id="rId293" Type="http://schemas.openxmlformats.org/officeDocument/2006/relationships/image" Target="../media/image135.jpeg"/><Relationship Id="rId153" Type="http://schemas.openxmlformats.org/officeDocument/2006/relationships/image" Target="../media/image67.jpeg"/><Relationship Id="rId360" Type="http://schemas.openxmlformats.org/officeDocument/2006/relationships/hyperlink" Target="http://www.gooood.ru/components/com_virtuemart/shop_image/product/ton/T-TS-021-Bb.jpg" TargetMode="External"/><Relationship Id="rId598" Type="http://schemas.openxmlformats.org/officeDocument/2006/relationships/hyperlink" Target="http://www.gooood.ru/pictures/katalog/05_1/14-134b.jpg" TargetMode="External"/><Relationship Id="rId2041" Type="http://schemas.openxmlformats.org/officeDocument/2006/relationships/hyperlink" Target="http://www.gooood.ru/components/com_virtuemart/shop_image/product/good/36-1519big.jpg" TargetMode="External"/><Relationship Id="rId220" Type="http://schemas.openxmlformats.org/officeDocument/2006/relationships/hyperlink" Target="http://www.gooood.ru/pictures/katalog/05_1/34-1505-1b.jpg" TargetMode="External"/><Relationship Id="rId458" Type="http://schemas.openxmlformats.org/officeDocument/2006/relationships/hyperlink" Target="http://www.gooood.ru/pictures/katalog/05_1/22-121b.jpg" TargetMode="External"/><Relationship Id="rId665" Type="http://schemas.openxmlformats.org/officeDocument/2006/relationships/image" Target="../media/image283.jpeg"/><Relationship Id="rId872" Type="http://schemas.openxmlformats.org/officeDocument/2006/relationships/hyperlink" Target="http://www.gooood.ru/components/com_virtuemart/shop_image/product/good/14-7561big.jpg" TargetMode="External"/><Relationship Id="rId1088" Type="http://schemas.openxmlformats.org/officeDocument/2006/relationships/image" Target="../media/image470.jpeg"/><Relationship Id="rId1295" Type="http://schemas.openxmlformats.org/officeDocument/2006/relationships/hyperlink" Target="http://www.gooood.ru/components/com_virtuemart/shop_image/product/ton/T-JH-033-Lbig.jpg" TargetMode="External"/><Relationship Id="rId318" Type="http://schemas.openxmlformats.org/officeDocument/2006/relationships/image" Target="../media/image145.jpeg"/><Relationship Id="rId525" Type="http://schemas.openxmlformats.org/officeDocument/2006/relationships/image" Target="../media/image218.jpeg"/><Relationship Id="rId732" Type="http://schemas.openxmlformats.org/officeDocument/2006/relationships/image" Target="../media/image314.jpeg"/><Relationship Id="rId1155" Type="http://schemas.openxmlformats.org/officeDocument/2006/relationships/hyperlink" Target="http://www.gooood.ru/product/SL-M.php" TargetMode="External"/><Relationship Id="rId1362" Type="http://schemas.openxmlformats.org/officeDocument/2006/relationships/image" Target="../media/image590.jpeg"/><Relationship Id="rId99" Type="http://schemas.openxmlformats.org/officeDocument/2006/relationships/image" Target="../media/image40.jpeg"/><Relationship Id="rId1015" Type="http://schemas.openxmlformats.org/officeDocument/2006/relationships/image" Target="../media/image440.jpeg"/><Relationship Id="rId1222" Type="http://schemas.openxmlformats.org/officeDocument/2006/relationships/image" Target="../media/image531.jpeg"/><Relationship Id="rId1667" Type="http://schemas.openxmlformats.org/officeDocument/2006/relationships/image" Target="../media/image723.jpeg"/><Relationship Id="rId1874" Type="http://schemas.openxmlformats.org/officeDocument/2006/relationships/hyperlink" Target="http://www.gooood.ru/components/com_virtuemart/shop_image/product/good/36-197big.jpg" TargetMode="External"/><Relationship Id="rId1527" Type="http://schemas.openxmlformats.org/officeDocument/2006/relationships/hyperlink" Target="http://www.gooood.ru/components/com_virtuemart/shop_image/product/ton/T-LS-075big.jpg" TargetMode="External"/><Relationship Id="rId1734" Type="http://schemas.openxmlformats.org/officeDocument/2006/relationships/image" Target="../media/image782.jpeg"/><Relationship Id="rId1941" Type="http://schemas.openxmlformats.org/officeDocument/2006/relationships/image" Target="../media/image858.jpeg"/><Relationship Id="rId26" Type="http://schemas.openxmlformats.org/officeDocument/2006/relationships/image" Target="../media/image14.jpeg"/><Relationship Id="rId175" Type="http://schemas.openxmlformats.org/officeDocument/2006/relationships/image" Target="../media/image78.jpeg"/><Relationship Id="rId1801" Type="http://schemas.openxmlformats.org/officeDocument/2006/relationships/image" Target="../media/image800.jpeg"/><Relationship Id="rId382" Type="http://schemas.openxmlformats.org/officeDocument/2006/relationships/hyperlink" Target="http://www.gooood.ru/components/com_virtuemart/shop_image/product/ton/T-TS-040-Lb.jpg" TargetMode="External"/><Relationship Id="rId687" Type="http://schemas.openxmlformats.org/officeDocument/2006/relationships/hyperlink" Target="http://www.gooood.ru/components/com_virtuemart/shop_image/product/good/14-5528big.jpg" TargetMode="External"/><Relationship Id="rId2063" Type="http://schemas.openxmlformats.org/officeDocument/2006/relationships/image" Target="../media/image901.jpeg"/><Relationship Id="rId242" Type="http://schemas.openxmlformats.org/officeDocument/2006/relationships/image" Target="../media/image111.jpeg"/><Relationship Id="rId894" Type="http://schemas.openxmlformats.org/officeDocument/2006/relationships/image" Target="../media/image386.jpeg"/><Relationship Id="rId1177" Type="http://schemas.openxmlformats.org/officeDocument/2006/relationships/image" Target="../media/image512.jpeg"/><Relationship Id="rId2130" Type="http://schemas.openxmlformats.org/officeDocument/2006/relationships/image" Target="../media/image930.jpeg"/><Relationship Id="rId102" Type="http://schemas.openxmlformats.org/officeDocument/2006/relationships/hyperlink" Target="http://www.gooood.ru/pictures/katalog/05_1/14-289b.jpg" TargetMode="External"/><Relationship Id="rId547" Type="http://schemas.openxmlformats.org/officeDocument/2006/relationships/image" Target="../media/image229.jpeg"/><Relationship Id="rId754" Type="http://schemas.openxmlformats.org/officeDocument/2006/relationships/image" Target="../media/image325.jpeg"/><Relationship Id="rId961" Type="http://schemas.openxmlformats.org/officeDocument/2006/relationships/hyperlink" Target="http://www.gooood.ru/components/com_virtuemart/shop_image/product/yantra/80-14-109big.jpg" TargetMode="External"/><Relationship Id="rId1384" Type="http://schemas.openxmlformats.org/officeDocument/2006/relationships/image" Target="../media/image599.jpeg"/><Relationship Id="rId1591" Type="http://schemas.openxmlformats.org/officeDocument/2006/relationships/hyperlink" Target="http://www.gooood.ru/components/com_virtuemart/shop_image/product/good/14-1619big.jpg" TargetMode="External"/><Relationship Id="rId1689" Type="http://schemas.openxmlformats.org/officeDocument/2006/relationships/image" Target="../media/image737.jpeg"/><Relationship Id="rId90" Type="http://schemas.openxmlformats.org/officeDocument/2006/relationships/hyperlink" Target="http://www.gooood.ru/pictures/katalog/05_1/41-492b.jpg" TargetMode="External"/><Relationship Id="rId407" Type="http://schemas.openxmlformats.org/officeDocument/2006/relationships/hyperlink" Target="http://www.gooood.ru/components/com_virtuemart/shop_image/product/ton/T-TS-048-Lb.jpg" TargetMode="External"/><Relationship Id="rId614" Type="http://schemas.openxmlformats.org/officeDocument/2006/relationships/image" Target="../media/image260.jpeg"/><Relationship Id="rId821" Type="http://schemas.openxmlformats.org/officeDocument/2006/relationships/image" Target="../media/image358.jpeg"/><Relationship Id="rId1037" Type="http://schemas.openxmlformats.org/officeDocument/2006/relationships/hyperlink" Target="http://www.gooood.ru/components/com_virtuemart/shop_image/product/ton/T-TS-064-Obig.jpg" TargetMode="External"/><Relationship Id="rId1244" Type="http://schemas.openxmlformats.org/officeDocument/2006/relationships/image" Target="../media/image542.jpeg"/><Relationship Id="rId1451" Type="http://schemas.openxmlformats.org/officeDocument/2006/relationships/hyperlink" Target="http://www.gooood.ru/components/com_virtuemart/shop_image/product/ton/T-TS-071-Abig.jpg" TargetMode="External"/><Relationship Id="rId1896" Type="http://schemas.openxmlformats.org/officeDocument/2006/relationships/hyperlink" Target="http://www.gooood.ru/components/com_virtuemart/shop_image/product/good/35-4611big.jpg" TargetMode="External"/><Relationship Id="rId919" Type="http://schemas.openxmlformats.org/officeDocument/2006/relationships/image" Target="../media/image399.jpeg"/><Relationship Id="rId1104" Type="http://schemas.openxmlformats.org/officeDocument/2006/relationships/image" Target="../media/image477.jpeg"/><Relationship Id="rId1311" Type="http://schemas.openxmlformats.org/officeDocument/2006/relationships/image" Target="../media/image573.jpeg"/><Relationship Id="rId1549" Type="http://schemas.openxmlformats.org/officeDocument/2006/relationships/hyperlink" Target="http://www.gooood.ru/components/com_virtuemart/shop_image/product/good/34-3611big.jpg" TargetMode="External"/><Relationship Id="rId1756" Type="http://schemas.openxmlformats.org/officeDocument/2006/relationships/hyperlink" Target="http://www.gooood.ru/components/com_virtuemart/shop_image/product/good/36-1583big.jpg" TargetMode="External"/><Relationship Id="rId1963" Type="http://schemas.openxmlformats.org/officeDocument/2006/relationships/image" Target="../media/image868.jpeg"/><Relationship Id="rId48" Type="http://schemas.openxmlformats.org/officeDocument/2006/relationships/image" Target="../media/image25.jpeg"/><Relationship Id="rId1409" Type="http://schemas.openxmlformats.org/officeDocument/2006/relationships/hyperlink" Target="http://www.gooood.ru/components/com_virtuemart/shop_image/product/dodo/D-1445-37big.jpg" TargetMode="External"/><Relationship Id="rId1616" Type="http://schemas.openxmlformats.org/officeDocument/2006/relationships/hyperlink" Target="http://www.gooood.ru/components/com_virtuemart/shop_image/product/good/81-5591big.jpg" TargetMode="External"/><Relationship Id="rId1823" Type="http://schemas.openxmlformats.org/officeDocument/2006/relationships/image" Target="../media/image811.jpeg"/><Relationship Id="rId197" Type="http://schemas.openxmlformats.org/officeDocument/2006/relationships/image" Target="../media/image89.jpeg"/><Relationship Id="rId2085" Type="http://schemas.openxmlformats.org/officeDocument/2006/relationships/hyperlink" Target="http://www.gooood.ru/components/com_virtuemart/shop_image/product/good/14-2664big.jpg" TargetMode="External"/><Relationship Id="rId264" Type="http://schemas.openxmlformats.org/officeDocument/2006/relationships/image" Target="../media/image122.jpeg"/><Relationship Id="rId471" Type="http://schemas.openxmlformats.org/officeDocument/2006/relationships/image" Target="../media/image192.jpeg"/><Relationship Id="rId124" Type="http://schemas.openxmlformats.org/officeDocument/2006/relationships/hyperlink" Target="http://www.gooood.ru/components/com_virtuemart/shop_image/product/nmnh/77-fnf-04-bb.jpg" TargetMode="External"/><Relationship Id="rId569" Type="http://schemas.openxmlformats.org/officeDocument/2006/relationships/image" Target="../media/image239.jpeg"/><Relationship Id="rId776" Type="http://schemas.openxmlformats.org/officeDocument/2006/relationships/hyperlink" Target="http://www.gooood.ru/components/com_virtuemart/shop_image/product/dodo/D-323-01b.jpg" TargetMode="External"/><Relationship Id="rId983" Type="http://schemas.openxmlformats.org/officeDocument/2006/relationships/hyperlink" Target="http://www.gooood.ru/components/com_virtuemart/shop_image/product/good/64-5541big.jpg" TargetMode="External"/><Relationship Id="rId1199" Type="http://schemas.openxmlformats.org/officeDocument/2006/relationships/hyperlink" Target="http://www.gooood.ru/components/com_virtuemart/shop_image/product/dodo/D-1424-02big.jpg" TargetMode="External"/><Relationship Id="rId331" Type="http://schemas.openxmlformats.org/officeDocument/2006/relationships/hyperlink" Target="http://www.gooood.ru/components/com_virtuemart/shop_image/product/ton/T-NLS-031b.jpg" TargetMode="External"/><Relationship Id="rId429" Type="http://schemas.openxmlformats.org/officeDocument/2006/relationships/image" Target="../media/image173.jpeg"/><Relationship Id="rId636" Type="http://schemas.openxmlformats.org/officeDocument/2006/relationships/hyperlink" Target="http://www.gooood.ru/components/com_virtuemart/shop_image/product/good/14-1530big.jpg" TargetMode="External"/><Relationship Id="rId1059" Type="http://schemas.openxmlformats.org/officeDocument/2006/relationships/hyperlink" Target="http://www.gooood.ru/components/com_virtuemart/shop_image/product/b-rich/BR-711-12b.jpg" TargetMode="External"/><Relationship Id="rId1266" Type="http://schemas.openxmlformats.org/officeDocument/2006/relationships/hyperlink" Target="http://www.gooood.ru/components/com_virtuemart/shop_image/product/good/14-7580big.jpg" TargetMode="External"/><Relationship Id="rId1473" Type="http://schemas.openxmlformats.org/officeDocument/2006/relationships/image" Target="../media/image640.jpeg"/><Relationship Id="rId2012" Type="http://schemas.openxmlformats.org/officeDocument/2006/relationships/hyperlink" Target="http://www.gooood.ru/components/com_virtuemart/shop_image/product/good/35-5538big.jpg" TargetMode="External"/><Relationship Id="rId843" Type="http://schemas.openxmlformats.org/officeDocument/2006/relationships/image" Target="../media/image367.jpeg"/><Relationship Id="rId1126" Type="http://schemas.openxmlformats.org/officeDocument/2006/relationships/hyperlink" Target="http://www.gooood.ru/components/com_virtuemart/shop_image/product/ton/T-TS-060-Lb.jpg" TargetMode="External"/><Relationship Id="rId1680" Type="http://schemas.openxmlformats.org/officeDocument/2006/relationships/image" Target="../media/image728.jpeg"/><Relationship Id="rId1778" Type="http://schemas.openxmlformats.org/officeDocument/2006/relationships/hyperlink" Target="http://www.gooood.ru/components/com_virtuemart/shop_image/product/good/40-9625big.jpg" TargetMode="External"/><Relationship Id="rId1985" Type="http://schemas.openxmlformats.org/officeDocument/2006/relationships/image" Target="../media/image877.jpeg"/><Relationship Id="rId703" Type="http://schemas.openxmlformats.org/officeDocument/2006/relationships/image" Target="../media/image300.jpeg"/><Relationship Id="rId910" Type="http://schemas.openxmlformats.org/officeDocument/2006/relationships/hyperlink" Target="http://www.gooood.ru/components/com_virtuemart/shop_image/product/good/64-539big.jpg" TargetMode="External"/><Relationship Id="rId1333" Type="http://schemas.openxmlformats.org/officeDocument/2006/relationships/hyperlink" Target="http://www.gooood.ru/components/com_virtuemart/shop_image/product/good/K-14-101big.jpg" TargetMode="External"/><Relationship Id="rId1540" Type="http://schemas.openxmlformats.org/officeDocument/2006/relationships/hyperlink" Target="http://www.gooood.ru/components/com_virtuemart/shop_image/product/good/14-5564-1big.jpg" TargetMode="External"/><Relationship Id="rId1638" Type="http://schemas.openxmlformats.org/officeDocument/2006/relationships/hyperlink" Target="http://www.gooood.ru/components/com_virtuemart/shop_image/product/good/14-2615big.jpg" TargetMode="External"/><Relationship Id="rId1400" Type="http://schemas.openxmlformats.org/officeDocument/2006/relationships/image" Target="../media/image607.jpeg"/><Relationship Id="rId1845" Type="http://schemas.openxmlformats.org/officeDocument/2006/relationships/image" Target="../media/image820.jpeg"/><Relationship Id="rId1705" Type="http://schemas.openxmlformats.org/officeDocument/2006/relationships/image" Target="../media/image753.jpeg"/><Relationship Id="rId1912" Type="http://schemas.openxmlformats.org/officeDocument/2006/relationships/hyperlink" Target="http://www.gooood.ru/components/com_virtuemart/shop_image/product/good/35-2640big.jpg" TargetMode="External"/><Relationship Id="rId286" Type="http://schemas.openxmlformats.org/officeDocument/2006/relationships/hyperlink" Target="http://www.gooood.ru/pictures/katalog/05_1/36-8512b.jpg" TargetMode="External"/><Relationship Id="rId493" Type="http://schemas.openxmlformats.org/officeDocument/2006/relationships/image" Target="../media/image203.jpeg"/><Relationship Id="rId146" Type="http://schemas.openxmlformats.org/officeDocument/2006/relationships/hyperlink" Target="http://www.gooood.ru/pictures/katalog/05_1/14-254b.jpg" TargetMode="External"/><Relationship Id="rId353" Type="http://schemas.openxmlformats.org/officeDocument/2006/relationships/hyperlink" Target="http://www.gooood.ru/components/com_virtuemart/shop_image/product/ton/T-TS-008-Lb.jpg" TargetMode="External"/><Relationship Id="rId560" Type="http://schemas.openxmlformats.org/officeDocument/2006/relationships/hyperlink" Target="http://www.gooood.ru/components/com_virtuemart/shop_image/product/nmnh/77-91big.jpg" TargetMode="External"/><Relationship Id="rId798" Type="http://schemas.openxmlformats.org/officeDocument/2006/relationships/hyperlink" Target="http://www.gooood.ru/components/com_virtuemart/shop_image/product/good/36-2545big.jpg" TargetMode="External"/><Relationship Id="rId1190" Type="http://schemas.openxmlformats.org/officeDocument/2006/relationships/image" Target="../media/image515.jpeg"/><Relationship Id="rId2034" Type="http://schemas.openxmlformats.org/officeDocument/2006/relationships/hyperlink" Target="http://www.gooood.ru/components/com_virtuemart/shop_image/product/good/35-1657big.jpg" TargetMode="External"/><Relationship Id="rId213" Type="http://schemas.openxmlformats.org/officeDocument/2006/relationships/image" Target="../media/image97.jpeg"/><Relationship Id="rId420" Type="http://schemas.openxmlformats.org/officeDocument/2006/relationships/hyperlink" Target="http://www.gooood.ru/pictures/katalog/05_1/30-1509b.jpg" TargetMode="External"/><Relationship Id="rId658" Type="http://schemas.openxmlformats.org/officeDocument/2006/relationships/hyperlink" Target="http://www.gooood.ru/components/com_virtuemart/shop_image/product/good/14-1532big.jpg" TargetMode="External"/><Relationship Id="rId865" Type="http://schemas.openxmlformats.org/officeDocument/2006/relationships/image" Target="../media/image374.jpeg"/><Relationship Id="rId1050" Type="http://schemas.openxmlformats.org/officeDocument/2006/relationships/image" Target="../media/image454.jpeg"/><Relationship Id="rId1288" Type="http://schemas.openxmlformats.org/officeDocument/2006/relationships/image" Target="../media/image562.jpeg"/><Relationship Id="rId1495" Type="http://schemas.openxmlformats.org/officeDocument/2006/relationships/hyperlink" Target="http://www.gooood.ru/components/com_virtuemart/shop_image/product/good/14-5508big.jpg" TargetMode="External"/><Relationship Id="rId2101" Type="http://schemas.openxmlformats.org/officeDocument/2006/relationships/hyperlink" Target="http://www.gooood.ru/components/com_virtuemart/shop_image/product/good/14-1670big.jpg" TargetMode="External"/><Relationship Id="rId518" Type="http://schemas.openxmlformats.org/officeDocument/2006/relationships/hyperlink" Target="http://www.gooood.ru/components/com_virtuemart/shop_image/product/good/14-1526-1big.jpg" TargetMode="External"/><Relationship Id="rId725" Type="http://schemas.openxmlformats.org/officeDocument/2006/relationships/hyperlink" Target="http://www.gooood.ru/components/com_virtuemart/shop_image/product/good/64-3543big.jpg" TargetMode="External"/><Relationship Id="rId932" Type="http://schemas.openxmlformats.org/officeDocument/2006/relationships/image" Target="../media/image404.jpeg"/><Relationship Id="rId1148" Type="http://schemas.openxmlformats.org/officeDocument/2006/relationships/image" Target="../media/image498.jpeg"/><Relationship Id="rId1355" Type="http://schemas.openxmlformats.org/officeDocument/2006/relationships/hyperlink" Target="http://www.gooood.ru/components/com_virtuemart/shop_image/product/good/81-1590big.jpg" TargetMode="External"/><Relationship Id="rId1562" Type="http://schemas.openxmlformats.org/officeDocument/2006/relationships/image" Target="../media/image677.jpeg"/><Relationship Id="rId1008" Type="http://schemas.openxmlformats.org/officeDocument/2006/relationships/hyperlink" Target="http://www.gooood.ru/components/com_virtuemart/shop_image/product/good/14-2571big.jpg" TargetMode="External"/><Relationship Id="rId1215" Type="http://schemas.openxmlformats.org/officeDocument/2006/relationships/hyperlink" Target="http://www.gooood.ru/components/com_virtuemart/shop_image/product/dodo/D-520-01b.jpg" TargetMode="External"/><Relationship Id="rId1422" Type="http://schemas.openxmlformats.org/officeDocument/2006/relationships/image" Target="../media/image618.jpeg"/><Relationship Id="rId1867" Type="http://schemas.openxmlformats.org/officeDocument/2006/relationships/hyperlink" Target="http://www.gooood.ru/components/com_virtuemart/shop_image/product/good/14-1635big.jpg" TargetMode="External"/><Relationship Id="rId61" Type="http://schemas.openxmlformats.org/officeDocument/2006/relationships/hyperlink" Target="http://www.gooood.ru/pictures/katalog/05_1/30-172b.jpg" TargetMode="External"/><Relationship Id="rId1727" Type="http://schemas.openxmlformats.org/officeDocument/2006/relationships/image" Target="../media/image775.jpeg"/><Relationship Id="rId1934" Type="http://schemas.openxmlformats.org/officeDocument/2006/relationships/hyperlink" Target="http://www.gooood.ru/components/com_virtuemart/shop_image/product/good/14-1637big.jpg" TargetMode="External"/><Relationship Id="rId19" Type="http://schemas.openxmlformats.org/officeDocument/2006/relationships/hyperlink" Target="http://www.gooood.ru/pictures/katalog/05_1/14-136b.jpg" TargetMode="External"/><Relationship Id="rId168" Type="http://schemas.openxmlformats.org/officeDocument/2006/relationships/hyperlink" Target="http://www.gooood.ru/components/com_virtuemart/shop_image/product/nmnh/77-vw-121-gb.jpg" TargetMode="External"/><Relationship Id="rId375" Type="http://schemas.openxmlformats.org/officeDocument/2006/relationships/image" Target="../media/image156.jpeg"/><Relationship Id="rId582" Type="http://schemas.openxmlformats.org/officeDocument/2006/relationships/hyperlink" Target="http://www.gooood.ru/components/com_virtuemart/shop_image/product/nmnh/77-268big.jpg" TargetMode="External"/><Relationship Id="rId2056" Type="http://schemas.openxmlformats.org/officeDocument/2006/relationships/image" Target="../media/image898.jpeg"/><Relationship Id="rId3" Type="http://schemas.openxmlformats.org/officeDocument/2006/relationships/hyperlink" Target="http://www.gooood.ru/pictures/katalog/05_1/11-417b.jpg" TargetMode="External"/><Relationship Id="rId235" Type="http://schemas.openxmlformats.org/officeDocument/2006/relationships/image" Target="../media/image108.jpeg"/><Relationship Id="rId442" Type="http://schemas.openxmlformats.org/officeDocument/2006/relationships/image" Target="../media/image179.jpeg"/><Relationship Id="rId887" Type="http://schemas.openxmlformats.org/officeDocument/2006/relationships/hyperlink" Target="http://www.gooood.ru/components/com_virtuemart/shop_image/product/good/64-523big.jpg" TargetMode="External"/><Relationship Id="rId1072" Type="http://schemas.openxmlformats.org/officeDocument/2006/relationships/hyperlink" Target="http://www.gooood.ru/components/com_virtuemart/shop_image/product/dodo/D-498-01b.jpg" TargetMode="External"/><Relationship Id="rId2123" Type="http://schemas.openxmlformats.org/officeDocument/2006/relationships/hyperlink" Target="http://www.gooood.ru/components/com_virtuemart/shop_image/product/good/21-1530big.jpg" TargetMode="External"/><Relationship Id="rId302" Type="http://schemas.openxmlformats.org/officeDocument/2006/relationships/hyperlink" Target="http://www.gooood.ru/components/com_virtuemart/shop_image/product/ton/T-NLS-001b.jpg" TargetMode="External"/><Relationship Id="rId747" Type="http://schemas.openxmlformats.org/officeDocument/2006/relationships/hyperlink" Target="http://www.gooood.ru/components/com_virtuemart/shop_image/product/handmade/sg-033-1b.jpg" TargetMode="External"/><Relationship Id="rId954" Type="http://schemas.openxmlformats.org/officeDocument/2006/relationships/hyperlink" Target="http://www.gooood.ru/components/com_virtuemart/shop_image/product/good/50-1566big.jpg" TargetMode="External"/><Relationship Id="rId1377" Type="http://schemas.openxmlformats.org/officeDocument/2006/relationships/hyperlink" Target="http://www.gooood.ru/components/com_virtuemart/shop_image/product/ton/T-TS-070big.jpg" TargetMode="External"/><Relationship Id="rId1584" Type="http://schemas.openxmlformats.org/officeDocument/2006/relationships/hyperlink" Target="http://www.gooood.ru/components/com_virtuemart/shop_image/product/good/20-1530big.jpg" TargetMode="External"/><Relationship Id="rId1791" Type="http://schemas.openxmlformats.org/officeDocument/2006/relationships/hyperlink" Target="http://www.gooood.ru/components/com_virtuemart/shop_image/product/good/14-2628big.jpg" TargetMode="External"/><Relationship Id="rId83" Type="http://schemas.openxmlformats.org/officeDocument/2006/relationships/hyperlink" Target="http://www.gooood.ru/pictures/katalog/05_1/34-938b.jpg" TargetMode="External"/><Relationship Id="rId607" Type="http://schemas.openxmlformats.org/officeDocument/2006/relationships/image" Target="../media/image258.jpeg"/><Relationship Id="rId814" Type="http://schemas.openxmlformats.org/officeDocument/2006/relationships/hyperlink" Target="http://www.gooood.ru/components/com_virtuemart/shop_image/product/good/32-365big.jpg" TargetMode="External"/><Relationship Id="rId1237" Type="http://schemas.openxmlformats.org/officeDocument/2006/relationships/hyperlink" Target="http://www.gooood.ru/components/com_virtuemart/shop_image/product/good/36-9512big.jpg" TargetMode="External"/><Relationship Id="rId1444" Type="http://schemas.openxmlformats.org/officeDocument/2006/relationships/hyperlink" Target="http://www.gooood.ru/components/com_virtuemart/shop_image/product/good/34-7539big.jpg" TargetMode="External"/><Relationship Id="rId1651" Type="http://schemas.openxmlformats.org/officeDocument/2006/relationships/hyperlink" Target="http://www.gooood.ru/components/com_virtuemart/shop_image/product/good/14-5620big.jpg" TargetMode="External"/><Relationship Id="rId1889" Type="http://schemas.openxmlformats.org/officeDocument/2006/relationships/image" Target="../media/image837.jpeg"/><Relationship Id="rId1304" Type="http://schemas.openxmlformats.org/officeDocument/2006/relationships/hyperlink" Target="http://www.gooood.ru/components/com_virtuemart/shop_image/product/ton/T-TS-013big.jpg" TargetMode="External"/><Relationship Id="rId1511" Type="http://schemas.openxmlformats.org/officeDocument/2006/relationships/image" Target="../media/image656.jpeg"/><Relationship Id="rId1749" Type="http://schemas.openxmlformats.org/officeDocument/2006/relationships/hyperlink" Target="http://www.gooood.ru/components/com_virtuemart/shop_image/product/good/20-5572big.jpg" TargetMode="External"/><Relationship Id="rId1956" Type="http://schemas.openxmlformats.org/officeDocument/2006/relationships/hyperlink" Target="http://www.gooood.ru/components/com_virtuemart/shop_image/product/good/14-5615big.jpg" TargetMode="External"/><Relationship Id="rId1609" Type="http://schemas.openxmlformats.org/officeDocument/2006/relationships/hyperlink" Target="http://www.gooood.ru/components/com_virtuemart/shop_image/product/good/44-3618big.jpg" TargetMode="External"/><Relationship Id="rId1816" Type="http://schemas.openxmlformats.org/officeDocument/2006/relationships/hyperlink" Target="http://www.gooood.ru/components/com_virtuemart/shop_image/product/cap/C-508big.jpg" TargetMode="External"/><Relationship Id="rId10" Type="http://schemas.openxmlformats.org/officeDocument/2006/relationships/image" Target="../media/image6.jpeg"/><Relationship Id="rId397" Type="http://schemas.openxmlformats.org/officeDocument/2006/relationships/hyperlink" Target="http://www.gooood.ru/components/com_virtuemart/shop_image/product/ton/T-WSH-011b.jpg" TargetMode="External"/><Relationship Id="rId2078" Type="http://schemas.openxmlformats.org/officeDocument/2006/relationships/hyperlink" Target="http://www.gooood.ru/components/com_virtuemart/shop_image/product/good/14-2662big.jpg" TargetMode="External"/><Relationship Id="rId257" Type="http://schemas.openxmlformats.org/officeDocument/2006/relationships/hyperlink" Target="http://www.gooood.ru/components/com_virtuemart/shop_image/product/mospheric/M-34-804b.jpg" TargetMode="External"/><Relationship Id="rId464" Type="http://schemas.openxmlformats.org/officeDocument/2006/relationships/hyperlink" Target="http://www.gooood.ru/pictures/katalog/05_1/34-9525b.jpg" TargetMode="External"/><Relationship Id="rId1094" Type="http://schemas.openxmlformats.org/officeDocument/2006/relationships/image" Target="../media/image472.jpeg"/><Relationship Id="rId117" Type="http://schemas.openxmlformats.org/officeDocument/2006/relationships/image" Target="../media/image49.jpeg"/><Relationship Id="rId671" Type="http://schemas.openxmlformats.org/officeDocument/2006/relationships/image" Target="../media/image285.jpeg"/><Relationship Id="rId769" Type="http://schemas.openxmlformats.org/officeDocument/2006/relationships/hyperlink" Target="http://www.gooood.ru/components/com_virtuemart/shop_image/product/good/64-5504big.jpg" TargetMode="External"/><Relationship Id="rId976" Type="http://schemas.openxmlformats.org/officeDocument/2006/relationships/image" Target="../media/image422.jpeg"/><Relationship Id="rId1399" Type="http://schemas.openxmlformats.org/officeDocument/2006/relationships/hyperlink" Target="http://www.gooood.ru/components/com_virtuemart/shop_image/product/dodo/D-1418-3001big.jpg" TargetMode="External"/><Relationship Id="rId324" Type="http://schemas.openxmlformats.org/officeDocument/2006/relationships/hyperlink" Target="http://www.gooood.ru/components/com_virtuemart/shop_image/product/ton/T-NLS-021-Lb.jpg" TargetMode="External"/><Relationship Id="rId531" Type="http://schemas.openxmlformats.org/officeDocument/2006/relationships/image" Target="../media/image221.jpeg"/><Relationship Id="rId629" Type="http://schemas.openxmlformats.org/officeDocument/2006/relationships/hyperlink" Target="http://www.gooood.ru/components/com_virtuemart/shop_image/product/good/34-2532big.jpg" TargetMode="External"/><Relationship Id="rId1161" Type="http://schemas.openxmlformats.org/officeDocument/2006/relationships/hyperlink" Target="http://www.gooood.ru/components/com_virtuemart/shop_image/product/good/34-1583big.jpg" TargetMode="External"/><Relationship Id="rId1259" Type="http://schemas.openxmlformats.org/officeDocument/2006/relationships/hyperlink" Target="http://www.gooood.ru/components/com_virtuemart/shop_image/product/dodo/D-822-0639big.jpg" TargetMode="External"/><Relationship Id="rId1466" Type="http://schemas.openxmlformats.org/officeDocument/2006/relationships/image" Target="../media/image637.jpeg"/><Relationship Id="rId2005" Type="http://schemas.openxmlformats.org/officeDocument/2006/relationships/hyperlink" Target="http://www.gooood.ru/components/com_virtuemart/shop_image/product/shark/K-29big.jpg" TargetMode="External"/><Relationship Id="rId836" Type="http://schemas.openxmlformats.org/officeDocument/2006/relationships/image" Target="../media/image364.jpeg"/><Relationship Id="rId1021" Type="http://schemas.openxmlformats.org/officeDocument/2006/relationships/hyperlink" Target="http://www.gooood.ru/components/com_virtuemart/shop_image/product/ton/T-TS-062b.jpg" TargetMode="External"/><Relationship Id="rId1119" Type="http://schemas.openxmlformats.org/officeDocument/2006/relationships/hyperlink" Target="http://www.gooood.ru/components/com_virtuemart/shop_image/product/ton/T-LS-065big.jpg" TargetMode="External"/><Relationship Id="rId1673" Type="http://schemas.openxmlformats.org/officeDocument/2006/relationships/hyperlink" Target="http://www.gooood.ru/components/com_virtuemart/shop_image/product/good/14-1623big.jpg" TargetMode="External"/><Relationship Id="rId1880" Type="http://schemas.openxmlformats.org/officeDocument/2006/relationships/hyperlink" Target="http://www.gooood.ru/components/com_virtuemart/shop_image/product/good/14-1TONbig.jpg" TargetMode="External"/><Relationship Id="rId1978" Type="http://schemas.openxmlformats.org/officeDocument/2006/relationships/image" Target="../media/image874.jpeg"/><Relationship Id="rId903" Type="http://schemas.openxmlformats.org/officeDocument/2006/relationships/image" Target="../media/image391.jpeg"/><Relationship Id="rId1326" Type="http://schemas.openxmlformats.org/officeDocument/2006/relationships/image" Target="../media/image575.jpeg"/><Relationship Id="rId1533" Type="http://schemas.openxmlformats.org/officeDocument/2006/relationships/hyperlink" Target="http://www.gooood.ru/components/com_virtuemart/shop_image/product/ton/T-WS-074big.jpg" TargetMode="External"/><Relationship Id="rId1740" Type="http://schemas.openxmlformats.org/officeDocument/2006/relationships/hyperlink" Target="http://www.gooood.ru/components/com_virtuemart/shop_image/product/good/28-2605big.jpg" TargetMode="External"/><Relationship Id="rId32" Type="http://schemas.openxmlformats.org/officeDocument/2006/relationships/image" Target="../media/image17.jpeg"/><Relationship Id="rId1600" Type="http://schemas.openxmlformats.org/officeDocument/2006/relationships/image" Target="../media/image697.jpeg"/><Relationship Id="rId1838" Type="http://schemas.openxmlformats.org/officeDocument/2006/relationships/hyperlink" Target="http://www.gooood.ru/components/com_virtuemart/shop_image/product/good/20-1569big.jpg" TargetMode="External"/><Relationship Id="rId181" Type="http://schemas.openxmlformats.org/officeDocument/2006/relationships/image" Target="../media/image81.jpeg"/><Relationship Id="rId1905" Type="http://schemas.openxmlformats.org/officeDocument/2006/relationships/image" Target="../media/image842.jpeg"/><Relationship Id="rId279" Type="http://schemas.openxmlformats.org/officeDocument/2006/relationships/hyperlink" Target="http://www.gooood.ru/pictures/katalog/05_1/45-5512b.jpg" TargetMode="External"/><Relationship Id="rId486" Type="http://schemas.openxmlformats.org/officeDocument/2006/relationships/hyperlink" Target="http://www.gooood.ru/components/com_virtuemart/shop_image/product/good/14-9525big.jpg" TargetMode="External"/><Relationship Id="rId693" Type="http://schemas.openxmlformats.org/officeDocument/2006/relationships/image" Target="../media/image295.jpeg"/><Relationship Id="rId139" Type="http://schemas.openxmlformats.org/officeDocument/2006/relationships/image" Target="../media/image60.jpeg"/><Relationship Id="rId346" Type="http://schemas.openxmlformats.org/officeDocument/2006/relationships/hyperlink" Target="http://www.gooood.ru/components/com_virtuemart/shop_image/product/ton/T-TS-001-Bb.jpg" TargetMode="External"/><Relationship Id="rId553" Type="http://schemas.openxmlformats.org/officeDocument/2006/relationships/image" Target="../media/image231.jpeg"/><Relationship Id="rId760" Type="http://schemas.openxmlformats.org/officeDocument/2006/relationships/image" Target="../media/image328.jpeg"/><Relationship Id="rId998" Type="http://schemas.openxmlformats.org/officeDocument/2006/relationships/hyperlink" Target="http://www.gooood.ru/components/com_virtuemart/shop_image/product/ton/T-TS-020b.jpg" TargetMode="External"/><Relationship Id="rId1183" Type="http://schemas.openxmlformats.org/officeDocument/2006/relationships/hyperlink" Target="http://www.gooood.ru/components/com_virtuemart/shop_image/product/good/36-1505-1b.jpg" TargetMode="External"/><Relationship Id="rId1390" Type="http://schemas.openxmlformats.org/officeDocument/2006/relationships/hyperlink" Target="http://www.gooood.ru/components/com_virtuemart/shop_image/product/good/34-5597big.jpg" TargetMode="External"/><Relationship Id="rId2027" Type="http://schemas.openxmlformats.org/officeDocument/2006/relationships/image" Target="../media/image892.jpeg"/><Relationship Id="rId206" Type="http://schemas.openxmlformats.org/officeDocument/2006/relationships/hyperlink" Target="http://www.gooood.ru/pictures/katalog/05_1/14-1509b.jpg" TargetMode="External"/><Relationship Id="rId413" Type="http://schemas.openxmlformats.org/officeDocument/2006/relationships/hyperlink" Target="http://www.gooood.ru/components/com_virtuemart/shop_image/product/ton/T-TS-047-Brb.jpg" TargetMode="External"/><Relationship Id="rId858" Type="http://schemas.openxmlformats.org/officeDocument/2006/relationships/hyperlink" Target="http://www.gooood.ru/components/com_virtuemart/shop_image/product/good/34-1559big.jpg" TargetMode="External"/><Relationship Id="rId1043" Type="http://schemas.openxmlformats.org/officeDocument/2006/relationships/hyperlink" Target="http://www.gooood.ru/components/com_virtuemart/shop_image/product/ton/T-TS-063b.jpg" TargetMode="External"/><Relationship Id="rId1488" Type="http://schemas.openxmlformats.org/officeDocument/2006/relationships/image" Target="../media/image645.jpeg"/><Relationship Id="rId1695" Type="http://schemas.openxmlformats.org/officeDocument/2006/relationships/image" Target="../media/image743.jpeg"/><Relationship Id="rId620" Type="http://schemas.openxmlformats.org/officeDocument/2006/relationships/image" Target="../media/image263.jpeg"/><Relationship Id="rId718" Type="http://schemas.openxmlformats.org/officeDocument/2006/relationships/image" Target="../media/image307.jpeg"/><Relationship Id="rId925" Type="http://schemas.openxmlformats.org/officeDocument/2006/relationships/image" Target="../media/image401.jpeg"/><Relationship Id="rId1250" Type="http://schemas.openxmlformats.org/officeDocument/2006/relationships/image" Target="../media/image545.jpeg"/><Relationship Id="rId1348" Type="http://schemas.openxmlformats.org/officeDocument/2006/relationships/image" Target="../media/image584.jpeg"/><Relationship Id="rId1555" Type="http://schemas.openxmlformats.org/officeDocument/2006/relationships/hyperlink" Target="http://www.gooood.ru/components/com_virtuemart/shop_image/product/good/86-1584big.jpg" TargetMode="External"/><Relationship Id="rId1762" Type="http://schemas.openxmlformats.org/officeDocument/2006/relationships/hyperlink" Target="http://www.gooood.ru/components/com_virtuemart/shop_image/product/good/36-1617big.jpg" TargetMode="External"/><Relationship Id="rId1110" Type="http://schemas.openxmlformats.org/officeDocument/2006/relationships/image" Target="../media/image480.jpeg"/><Relationship Id="rId1208" Type="http://schemas.openxmlformats.org/officeDocument/2006/relationships/image" Target="../media/image524.jpeg"/><Relationship Id="rId1415" Type="http://schemas.openxmlformats.org/officeDocument/2006/relationships/hyperlink" Target="http://www.gooood.ru/components/com_virtuemart/shop_image/product/dodo/D-546-01big.jpg" TargetMode="External"/><Relationship Id="rId54" Type="http://schemas.openxmlformats.org/officeDocument/2006/relationships/hyperlink" Target="http://www.gooood.ru/pictures/katalog/05_1/28-558b.jpg" TargetMode="External"/><Relationship Id="rId1622" Type="http://schemas.openxmlformats.org/officeDocument/2006/relationships/image" Target="../media/image704.jpeg"/><Relationship Id="rId1927" Type="http://schemas.openxmlformats.org/officeDocument/2006/relationships/image" Target="../media/image852.jpeg"/><Relationship Id="rId2091" Type="http://schemas.openxmlformats.org/officeDocument/2006/relationships/image" Target="../media/image912.jpeg"/><Relationship Id="rId270" Type="http://schemas.openxmlformats.org/officeDocument/2006/relationships/image" Target="../media/image125.jpeg"/><Relationship Id="rId130" Type="http://schemas.openxmlformats.org/officeDocument/2006/relationships/hyperlink" Target="http://www.gooood.ru/components/com_virtuemart/shop_image/product/nmnh/77-fnf-10-gb.jpg" TargetMode="External"/><Relationship Id="rId368" Type="http://schemas.openxmlformats.org/officeDocument/2006/relationships/hyperlink" Target="http://www.gooood.ru/components/com_virtuemart/shop_image/product/ton/T-TS-031-Lb.jpg" TargetMode="External"/><Relationship Id="rId575" Type="http://schemas.openxmlformats.org/officeDocument/2006/relationships/image" Target="../media/image242.jpeg"/><Relationship Id="rId782" Type="http://schemas.openxmlformats.org/officeDocument/2006/relationships/hyperlink" Target="http://www.gooood.ru/components/com_virtuemart/shop_image/product/dodo/D-472-0201b.jpg" TargetMode="External"/><Relationship Id="rId2049" Type="http://schemas.openxmlformats.org/officeDocument/2006/relationships/hyperlink" Target="http://www.gooood.ru/components/com_virtuemart/shop_image/product/good/16-1660big.jpg" TargetMode="External"/><Relationship Id="rId228" Type="http://schemas.openxmlformats.org/officeDocument/2006/relationships/hyperlink" Target="http://www.gooood.ru/pictures/katalog/05_1/34-1511b.jpg" TargetMode="External"/><Relationship Id="rId435" Type="http://schemas.openxmlformats.org/officeDocument/2006/relationships/hyperlink" Target="http://www.gooood.ru/pictures/katalog/05_1/34-190b.jpg" TargetMode="External"/><Relationship Id="rId642" Type="http://schemas.openxmlformats.org/officeDocument/2006/relationships/hyperlink" Target="http://www.gooood.ru/components/com_virtuemart/shop_image/product/good/34-684big.jpg" TargetMode="External"/><Relationship Id="rId1065" Type="http://schemas.openxmlformats.org/officeDocument/2006/relationships/hyperlink" Target="http://www.gooood.ru/components/com_virtuemart/shop_image/product/b-rich/BR-720-12b.jpg" TargetMode="External"/><Relationship Id="rId1272" Type="http://schemas.openxmlformats.org/officeDocument/2006/relationships/hyperlink" Target="http://www.gooood.ru/components/com_virtuemart/shop_image/product/good/14-5584big.jpg" TargetMode="External"/><Relationship Id="rId2116" Type="http://schemas.openxmlformats.org/officeDocument/2006/relationships/hyperlink" Target="http://www.gooood.ru/components/com_virtuemart/shop_image/product/good/14-1661big.jpg" TargetMode="External"/><Relationship Id="rId502" Type="http://schemas.openxmlformats.org/officeDocument/2006/relationships/image" Target="../media/image207.jpeg"/><Relationship Id="rId947" Type="http://schemas.openxmlformats.org/officeDocument/2006/relationships/hyperlink" Target="http://www.gooood.ru/components/com_virtuemart/shop_image/product/good/56-1556b.jpg" TargetMode="External"/><Relationship Id="rId1132" Type="http://schemas.openxmlformats.org/officeDocument/2006/relationships/image" Target="../media/image490.jpeg"/><Relationship Id="rId1577" Type="http://schemas.openxmlformats.org/officeDocument/2006/relationships/hyperlink" Target="http://www.gooood.ru/components/com_virtuemart/shop_image/product/good/14-7614big.jpg" TargetMode="External"/><Relationship Id="rId1784" Type="http://schemas.openxmlformats.org/officeDocument/2006/relationships/image" Target="../media/image793.jpeg"/><Relationship Id="rId1991" Type="http://schemas.openxmlformats.org/officeDocument/2006/relationships/hyperlink" Target="http://www.gooood.ru/components/com_virtuemart/shop_image/product/good/35-1621big.jpg" TargetMode="External"/><Relationship Id="rId76" Type="http://schemas.openxmlformats.org/officeDocument/2006/relationships/image" Target="../media/image32.jpeg"/><Relationship Id="rId807" Type="http://schemas.openxmlformats.org/officeDocument/2006/relationships/image" Target="../media/image351.jpeg"/><Relationship Id="rId1437" Type="http://schemas.openxmlformats.org/officeDocument/2006/relationships/hyperlink" Target="http://www.gooood.ru/components/com_virtuemart/shop_image/product/good/14-1603big.jpg" TargetMode="External"/><Relationship Id="rId1644" Type="http://schemas.openxmlformats.org/officeDocument/2006/relationships/hyperlink" Target="http://www.gooood.ru/components/com_virtuemart/shop_image/product/good/14-1530-Kbig.jpg" TargetMode="External"/><Relationship Id="rId1851" Type="http://schemas.openxmlformats.org/officeDocument/2006/relationships/image" Target="../media/image823.jpeg"/><Relationship Id="rId1504" Type="http://schemas.openxmlformats.org/officeDocument/2006/relationships/hyperlink" Target="http://www.gooood.ru/components/com_virtuemart/shop_image/product/good/34-6524big.jpg" TargetMode="External"/><Relationship Id="rId1711" Type="http://schemas.openxmlformats.org/officeDocument/2006/relationships/image" Target="../media/image759.jpeg"/><Relationship Id="rId1949" Type="http://schemas.openxmlformats.org/officeDocument/2006/relationships/image" Target="../media/image862.jpeg"/><Relationship Id="rId292" Type="http://schemas.openxmlformats.org/officeDocument/2006/relationships/hyperlink" Target="http://www.gooood.ru/components/com_virtuemart/shop_image/product/rw/rw-22-01b.jpg" TargetMode="External"/><Relationship Id="rId1809" Type="http://schemas.openxmlformats.org/officeDocument/2006/relationships/image" Target="../media/image804.jpeg"/><Relationship Id="rId597" Type="http://schemas.openxmlformats.org/officeDocument/2006/relationships/image" Target="../media/image253.jpeg"/><Relationship Id="rId152" Type="http://schemas.openxmlformats.org/officeDocument/2006/relationships/hyperlink" Target="http://www.gooood.ru/pictures/katalog/05_1/14-1501b.jpg" TargetMode="External"/><Relationship Id="rId457" Type="http://schemas.openxmlformats.org/officeDocument/2006/relationships/image" Target="../media/image185.jpeg"/><Relationship Id="rId1087" Type="http://schemas.openxmlformats.org/officeDocument/2006/relationships/hyperlink" Target="http://www.gooood.ru/components/com_virtuemart/shop_image/product/good/38-4536big.jpg" TargetMode="External"/><Relationship Id="rId1294" Type="http://schemas.openxmlformats.org/officeDocument/2006/relationships/image" Target="../media/image565.jpeg"/><Relationship Id="rId2040" Type="http://schemas.openxmlformats.org/officeDocument/2006/relationships/hyperlink" Target="http://www.gooood.ru/components/com_virtuemart/shop_image/product/good/35-1519big.jpg" TargetMode="External"/><Relationship Id="rId664" Type="http://schemas.openxmlformats.org/officeDocument/2006/relationships/hyperlink" Target="http://www.gooood.ru/components/com_virtuemart/shop_image/product/ton/T-TS-053b.jpg" TargetMode="External"/><Relationship Id="rId871" Type="http://schemas.openxmlformats.org/officeDocument/2006/relationships/hyperlink" Target="http://www.gooood.ru/components/com_virtuemart/shop_image/product/good/16-136big.jpg" TargetMode="External"/><Relationship Id="rId969" Type="http://schemas.openxmlformats.org/officeDocument/2006/relationships/hyperlink" Target="http://www.gooood.ru/components/com_virtuemart/shop_image/product/good/14-3532big.jpg" TargetMode="External"/><Relationship Id="rId1599" Type="http://schemas.openxmlformats.org/officeDocument/2006/relationships/hyperlink" Target="http://www.gooood.ru/components/com_virtuemart/shop_image/product/good/14-6618big.jpg" TargetMode="External"/><Relationship Id="rId317" Type="http://schemas.openxmlformats.org/officeDocument/2006/relationships/hyperlink" Target="http://www.gooood.ru/components/com_virtuemart/shop_image/product/ton/T-NLS-015b.jpg" TargetMode="External"/><Relationship Id="rId524" Type="http://schemas.openxmlformats.org/officeDocument/2006/relationships/hyperlink" Target="http://www.gooood.ru/components/com_virtuemart/shop_image/product/good/14-988big.jpg" TargetMode="External"/><Relationship Id="rId731" Type="http://schemas.openxmlformats.org/officeDocument/2006/relationships/hyperlink" Target="http://www.gooood.ru/components/com_virtuemart/shop_image/product/handmade/sg-024big.jpg" TargetMode="External"/><Relationship Id="rId1154" Type="http://schemas.openxmlformats.org/officeDocument/2006/relationships/image" Target="../media/image501.jpeg"/><Relationship Id="rId1361" Type="http://schemas.openxmlformats.org/officeDocument/2006/relationships/hyperlink" Target="http://www.gooood.ru/components/com_virtuemart/shop_image/product/good/14-1539big.jpg" TargetMode="External"/><Relationship Id="rId1459" Type="http://schemas.openxmlformats.org/officeDocument/2006/relationships/hyperlink" Target="http://www.gooood.ru/components/com_virtuemart/shop_image/product/ton/T-WS-071big.jpg" TargetMode="External"/><Relationship Id="rId98" Type="http://schemas.openxmlformats.org/officeDocument/2006/relationships/hyperlink" Target="http://www.gooood.ru/components/com_virtuemart/shop_image/product/e-art/a-109b.jpg" TargetMode="External"/><Relationship Id="rId829" Type="http://schemas.openxmlformats.org/officeDocument/2006/relationships/hyperlink" Target="http://www.gooood.ru/components/com_virtuemart/shop_image/product/good/52-136big.jpg" TargetMode="External"/><Relationship Id="rId1014" Type="http://schemas.openxmlformats.org/officeDocument/2006/relationships/hyperlink" Target="http://www.gooood.ru/components/com_virtuemart/shop_image/product/good/34-197b.jpg" TargetMode="External"/><Relationship Id="rId1221" Type="http://schemas.openxmlformats.org/officeDocument/2006/relationships/hyperlink" Target="http://www.gooood.ru/components/com_virtuemart/shop_image/product/dodo/D-563-09b.jpg" TargetMode="External"/><Relationship Id="rId1666" Type="http://schemas.openxmlformats.org/officeDocument/2006/relationships/hyperlink" Target="http://www.gooood.ru/components/com_virtuemart/shop_image/product/good/14-7622-Kbig.jpg" TargetMode="External"/><Relationship Id="rId1873" Type="http://schemas.openxmlformats.org/officeDocument/2006/relationships/image" Target="../media/image832.jpeg"/><Relationship Id="rId1319" Type="http://schemas.openxmlformats.org/officeDocument/2006/relationships/image" Target="../media/image574.jpeg"/><Relationship Id="rId1526" Type="http://schemas.openxmlformats.org/officeDocument/2006/relationships/image" Target="../media/image663.jpeg"/><Relationship Id="rId1733" Type="http://schemas.openxmlformats.org/officeDocument/2006/relationships/image" Target="../media/image781.jpeg"/><Relationship Id="rId1940" Type="http://schemas.openxmlformats.org/officeDocument/2006/relationships/hyperlink" Target="http://www.gooood.ru/components/com_virtuemart/shop_image/product/good/14-3643big.jpg" TargetMode="External"/><Relationship Id="rId25" Type="http://schemas.openxmlformats.org/officeDocument/2006/relationships/hyperlink" Target="http://www.gooood.ru/pictures/katalog/05_1/14-167b.jpg" TargetMode="External"/><Relationship Id="rId1800" Type="http://schemas.openxmlformats.org/officeDocument/2006/relationships/hyperlink" Target="http://www.gooood.ru/components/com_virtuemart/shop_image/product/cap/C-248big.jpg" TargetMode="External"/><Relationship Id="rId174" Type="http://schemas.openxmlformats.org/officeDocument/2006/relationships/hyperlink" Target="http://www.gooood.ru/components/com_virtuemart/shop_image/product/nmnh/77-vw-229-pb.jpg" TargetMode="External"/><Relationship Id="rId381" Type="http://schemas.openxmlformats.org/officeDocument/2006/relationships/hyperlink" Target="http://www.gooood.ru/components/com_virtuemart/shop_image/product/ton/T-TS-040b.jpg" TargetMode="External"/><Relationship Id="rId2062" Type="http://schemas.openxmlformats.org/officeDocument/2006/relationships/hyperlink" Target="http://www.gooood.ru/components/com_virtuemart/shop_image/product/good/14-1662big.jpg" TargetMode="External"/><Relationship Id="rId241" Type="http://schemas.openxmlformats.org/officeDocument/2006/relationships/hyperlink" Target="http://www.gooood.ru/pictures/katalog/05_1/52-1511b.jpg" TargetMode="External"/><Relationship Id="rId479" Type="http://schemas.openxmlformats.org/officeDocument/2006/relationships/image" Target="../media/image196.jpeg"/><Relationship Id="rId686" Type="http://schemas.openxmlformats.org/officeDocument/2006/relationships/image" Target="../media/image292.jpeg"/><Relationship Id="rId893" Type="http://schemas.openxmlformats.org/officeDocument/2006/relationships/hyperlink" Target="http://www.gooood.ru/components/com_virtuemart/shop_image/product/good/81-1562big.jpg" TargetMode="External"/><Relationship Id="rId339" Type="http://schemas.openxmlformats.org/officeDocument/2006/relationships/hyperlink" Target="http://www.gooood.ru/components/com_virtuemart/shop_image/product/ton/T-NLS-046b.jpg" TargetMode="External"/><Relationship Id="rId546" Type="http://schemas.openxmlformats.org/officeDocument/2006/relationships/hyperlink" Target="http://www.gooood.ru/components/com_virtuemart/shop_image/product/ton/T-TS-050b.jpg" TargetMode="External"/><Relationship Id="rId753" Type="http://schemas.openxmlformats.org/officeDocument/2006/relationships/hyperlink" Target="http://www.gooood.ru/components/com_virtuemart/shop_image/product/handmade/sg-005-1big.jpg" TargetMode="External"/><Relationship Id="rId1176" Type="http://schemas.openxmlformats.org/officeDocument/2006/relationships/hyperlink" Target="http://www.gooood.ru/components/com_virtuemart/shop_image/product/good/38-4541big.jpg" TargetMode="External"/><Relationship Id="rId1383" Type="http://schemas.openxmlformats.org/officeDocument/2006/relationships/hyperlink" Target="http://www.gooood.ru/components/com_virtuemart/shop_image/product/good/38-357big.jpg" TargetMode="External"/><Relationship Id="rId101" Type="http://schemas.openxmlformats.org/officeDocument/2006/relationships/image" Target="../media/image41.jpeg"/><Relationship Id="rId406" Type="http://schemas.openxmlformats.org/officeDocument/2006/relationships/image" Target="../media/image164.jpeg"/><Relationship Id="rId960" Type="http://schemas.openxmlformats.org/officeDocument/2006/relationships/image" Target="../media/image414.jpeg"/><Relationship Id="rId1036" Type="http://schemas.openxmlformats.org/officeDocument/2006/relationships/image" Target="../media/image448.jpeg"/><Relationship Id="rId1243" Type="http://schemas.openxmlformats.org/officeDocument/2006/relationships/hyperlink" Target="http://www.gooood.ru/components/com_virtuemart/shop_image/product/dodo/D-426-0501b.jpg" TargetMode="External"/><Relationship Id="rId1590" Type="http://schemas.openxmlformats.org/officeDocument/2006/relationships/image" Target="../media/image692.png"/><Relationship Id="rId1688" Type="http://schemas.openxmlformats.org/officeDocument/2006/relationships/image" Target="../media/image736.jpeg"/><Relationship Id="rId1895" Type="http://schemas.openxmlformats.org/officeDocument/2006/relationships/hyperlink" Target="http://www.gooood.ru/components/com_virtuemart/shop_image/product/good/41-374big.jpg" TargetMode="External"/><Relationship Id="rId613" Type="http://schemas.openxmlformats.org/officeDocument/2006/relationships/hyperlink" Target="http://www.gooood.ru/components/com_virtuemart/shop_image/product/good/36-172big.jpg" TargetMode="External"/><Relationship Id="rId820" Type="http://schemas.openxmlformats.org/officeDocument/2006/relationships/hyperlink" Target="http://www.gooood.ru/components/com_virtuemart/shop_image/product/good/32-165big.jpg" TargetMode="External"/><Relationship Id="rId918" Type="http://schemas.openxmlformats.org/officeDocument/2006/relationships/hyperlink" Target="http://www.gooood.ru/components/com_virtuemart/shop_image/product/good/14-1566big.jpg" TargetMode="External"/><Relationship Id="rId1450" Type="http://schemas.openxmlformats.org/officeDocument/2006/relationships/hyperlink" Target="http://www.gooood.ru/components/com_virtuemart/shop_image/product/good/30-1599big.jpg" TargetMode="External"/><Relationship Id="rId1548" Type="http://schemas.openxmlformats.org/officeDocument/2006/relationships/hyperlink" Target="http://www.gooood.ru/components/com_virtuemart/shop_image/product/shark/K-09big.jpg" TargetMode="External"/><Relationship Id="rId1755" Type="http://schemas.openxmlformats.org/officeDocument/2006/relationships/hyperlink" Target="http://www.gooood.ru/components/com_virtuemart/shop_image/product/good/16-1583big.jpg" TargetMode="External"/><Relationship Id="rId1103" Type="http://schemas.openxmlformats.org/officeDocument/2006/relationships/hyperlink" Target="http://www.gooood.ru/components/com_virtuemart/shop_image/product/good/87-235big.jpg" TargetMode="External"/><Relationship Id="rId1310" Type="http://schemas.openxmlformats.org/officeDocument/2006/relationships/hyperlink" Target="http://www.gooood.ru/components/com_virtuemart/shop_image/product/ton/T-TS-034big.jpg" TargetMode="External"/><Relationship Id="rId1408" Type="http://schemas.openxmlformats.org/officeDocument/2006/relationships/image" Target="../media/image611.jpeg"/><Relationship Id="rId1962" Type="http://schemas.openxmlformats.org/officeDocument/2006/relationships/hyperlink" Target="http://www.gooood.ru/components/com_virtuemart/shop_image/product/good/35-717big.jpg" TargetMode="External"/><Relationship Id="rId47" Type="http://schemas.openxmlformats.org/officeDocument/2006/relationships/hyperlink" Target="http://www.gooood.ru/pictures/katalog/05_1/28-379b.jpg" TargetMode="External"/><Relationship Id="rId1615" Type="http://schemas.openxmlformats.org/officeDocument/2006/relationships/hyperlink" Target="http://www.gooood.ru/components/com_virtuemart/shop_image/product/good/36-1572big.jpg" TargetMode="External"/><Relationship Id="rId1822" Type="http://schemas.openxmlformats.org/officeDocument/2006/relationships/hyperlink" Target="http://www.gooood.ru/components/com_virtuemart/shop_image/product/cap/C-568Hbig.jpg" TargetMode="External"/><Relationship Id="rId196" Type="http://schemas.openxmlformats.org/officeDocument/2006/relationships/hyperlink" Target="http://www.gooood.ru/components/com_virtuemart/shop_image/product/nmnh/77-vw-106-pb.jpg" TargetMode="External"/><Relationship Id="rId2084" Type="http://schemas.openxmlformats.org/officeDocument/2006/relationships/hyperlink" Target="http://www.gooood.ru/components/com_virtuemart/shop_image/product/good/14-1663-Kbig.jpg" TargetMode="External"/><Relationship Id="rId263" Type="http://schemas.openxmlformats.org/officeDocument/2006/relationships/hyperlink" Target="http://www.gooood.ru/pictures/katalog/05_1/14-117b.jpg" TargetMode="External"/><Relationship Id="rId470" Type="http://schemas.openxmlformats.org/officeDocument/2006/relationships/hyperlink" Target="http://www.gooood.ru/pictures/katalog/05_1/28-409b.jpg" TargetMode="External"/><Relationship Id="rId123" Type="http://schemas.openxmlformats.org/officeDocument/2006/relationships/image" Target="../media/image52.jpeg"/><Relationship Id="rId330" Type="http://schemas.openxmlformats.org/officeDocument/2006/relationships/hyperlink" Target="http://www.gooood.ru/components/com_virtuemart/shop_image/product/ton/T-NLS-030-Lb.jpg" TargetMode="External"/><Relationship Id="rId568" Type="http://schemas.openxmlformats.org/officeDocument/2006/relationships/hyperlink" Target="http://www.gooood.ru/components/com_virtuemart/shop_image/product/nmnh/77-170big.jpg" TargetMode="External"/><Relationship Id="rId775" Type="http://schemas.openxmlformats.org/officeDocument/2006/relationships/image" Target="../media/image335.jpeg"/><Relationship Id="rId982" Type="http://schemas.openxmlformats.org/officeDocument/2006/relationships/hyperlink" Target="http://www.gooood.ru/components/com_virtuemart/shop_image/product/good/38-4568big.jpg" TargetMode="External"/><Relationship Id="rId1198" Type="http://schemas.openxmlformats.org/officeDocument/2006/relationships/image" Target="../media/image519.jpeg"/><Relationship Id="rId2011" Type="http://schemas.openxmlformats.org/officeDocument/2006/relationships/image" Target="../media/image887.jpeg"/><Relationship Id="rId428" Type="http://schemas.openxmlformats.org/officeDocument/2006/relationships/hyperlink" Target="http://www.gooood.ru/pictures/katalog/05_1/82-8516b.jpg" TargetMode="External"/><Relationship Id="rId635" Type="http://schemas.openxmlformats.org/officeDocument/2006/relationships/image" Target="../media/image268.jpeg"/><Relationship Id="rId842" Type="http://schemas.openxmlformats.org/officeDocument/2006/relationships/hyperlink" Target="http://www.gooood.ru/components/com_virtuemart/shop_image/product/good/14-1543big.jpg" TargetMode="External"/><Relationship Id="rId1058" Type="http://schemas.openxmlformats.org/officeDocument/2006/relationships/image" Target="../media/image457.jpeg"/><Relationship Id="rId1265" Type="http://schemas.openxmlformats.org/officeDocument/2006/relationships/hyperlink" Target="http://www.gooood.ru/components/com_virtuemart/shop_image/product/good/34-1587big.jpg" TargetMode="External"/><Relationship Id="rId1472" Type="http://schemas.openxmlformats.org/officeDocument/2006/relationships/hyperlink" Target="http://www.gooood.ru/components/com_virtuemart/shop_image/product/ton/T-TS-027-Sb.jpg" TargetMode="External"/><Relationship Id="rId2109" Type="http://schemas.openxmlformats.org/officeDocument/2006/relationships/hyperlink" Target="http://www.gooood.ru/components/com_virtuemart/shop_image/product/good/14-6672big.jpg" TargetMode="External"/><Relationship Id="rId702" Type="http://schemas.openxmlformats.org/officeDocument/2006/relationships/hyperlink" Target="http://www.gooood.ru/components/com_virtuemart/shop_image/product/good/34-5538big.jpg" TargetMode="External"/><Relationship Id="rId1125" Type="http://schemas.openxmlformats.org/officeDocument/2006/relationships/hyperlink" Target="http://www.gooood.ru/components/com_virtuemart/shop_image/product/ton/T-TS-057-Lb.jpg" TargetMode="External"/><Relationship Id="rId1332" Type="http://schemas.openxmlformats.org/officeDocument/2006/relationships/image" Target="../media/image578.jpeg"/><Relationship Id="rId1777" Type="http://schemas.openxmlformats.org/officeDocument/2006/relationships/hyperlink" Target="http://www.gooood.ru/components/com_virtuemart/shop_image/product/good/36-9625big.jpg" TargetMode="External"/><Relationship Id="rId1984" Type="http://schemas.openxmlformats.org/officeDocument/2006/relationships/hyperlink" Target="http://www.gooood.ru/components/com_virtuemart/shop_image/product/good/35-3648big.jpg" TargetMode="External"/><Relationship Id="rId69" Type="http://schemas.openxmlformats.org/officeDocument/2006/relationships/hyperlink" Target="http://www.gooood.ru/pictures/katalog/05_1/34-125b.jpg" TargetMode="External"/><Relationship Id="rId1637" Type="http://schemas.openxmlformats.org/officeDocument/2006/relationships/hyperlink" Target="http://www.gooood.ru/components/com_virtuemart/shop_image/product/good/14-8615-Kbig.jpg" TargetMode="External"/><Relationship Id="rId1844" Type="http://schemas.openxmlformats.org/officeDocument/2006/relationships/hyperlink" Target="http://www.gooood.ru/components/com_virtuemart/shop_image/product/accessories/MK-003big.jpg" TargetMode="External"/><Relationship Id="rId1704" Type="http://schemas.openxmlformats.org/officeDocument/2006/relationships/image" Target="../media/image752.jpeg"/><Relationship Id="rId285" Type="http://schemas.openxmlformats.org/officeDocument/2006/relationships/hyperlink" Target="http://www.gooood.ru/pictures/katalog/05_1/36-1512b.jpg" TargetMode="External"/><Relationship Id="rId1911" Type="http://schemas.openxmlformats.org/officeDocument/2006/relationships/image" Target="../media/image845.jpeg"/><Relationship Id="rId492" Type="http://schemas.openxmlformats.org/officeDocument/2006/relationships/hyperlink" Target="http://www.gooood.ru/components/com_virtuemart/shop_image/product/dodo/D-470-11b.jpg" TargetMode="External"/><Relationship Id="rId797" Type="http://schemas.openxmlformats.org/officeDocument/2006/relationships/image" Target="../media/image346.jpeg"/><Relationship Id="rId145" Type="http://schemas.openxmlformats.org/officeDocument/2006/relationships/image" Target="../media/image63.jpeg"/><Relationship Id="rId352" Type="http://schemas.openxmlformats.org/officeDocument/2006/relationships/hyperlink" Target="http://www.gooood.ru/components/com_virtuemart/shop_image/product/ton/T-TS-008b.jpg" TargetMode="External"/><Relationship Id="rId1287" Type="http://schemas.openxmlformats.org/officeDocument/2006/relationships/hyperlink" Target="http://www.gooood.ru/components/com_virtuemart/shop_image/product/ton/T-TS-068-Lbig.jpg" TargetMode="External"/><Relationship Id="rId2033" Type="http://schemas.openxmlformats.org/officeDocument/2006/relationships/hyperlink" Target="http://www.gooood.ru/components/com_virtuemart/shop_image/product/good/36-2659big.jpg" TargetMode="External"/><Relationship Id="rId212" Type="http://schemas.openxmlformats.org/officeDocument/2006/relationships/hyperlink" Target="http://www.gooood.ru/pictures/katalog/05_1/28-4504b.jpg" TargetMode="External"/><Relationship Id="rId657" Type="http://schemas.openxmlformats.org/officeDocument/2006/relationships/image" Target="../media/image279.jpeg"/><Relationship Id="rId864" Type="http://schemas.openxmlformats.org/officeDocument/2006/relationships/hyperlink" Target="http://www.gooood.ru/components/com_virtuemart/shop_image/product/rw/RW-22-03big.jpg" TargetMode="External"/><Relationship Id="rId1494" Type="http://schemas.openxmlformats.org/officeDocument/2006/relationships/image" Target="../media/image648.jpeg"/><Relationship Id="rId1799" Type="http://schemas.openxmlformats.org/officeDocument/2006/relationships/image" Target="../media/image799.jpeg"/><Relationship Id="rId2100" Type="http://schemas.openxmlformats.org/officeDocument/2006/relationships/image" Target="../media/image917.jpeg"/><Relationship Id="rId517" Type="http://schemas.openxmlformats.org/officeDocument/2006/relationships/image" Target="../media/image214.jpeg"/><Relationship Id="rId724" Type="http://schemas.openxmlformats.org/officeDocument/2006/relationships/image" Target="../media/image310.jpeg"/><Relationship Id="rId931" Type="http://schemas.openxmlformats.org/officeDocument/2006/relationships/hyperlink" Target="http://www.gooood.ru/components/com_virtuemart/shop_image/product/ton/T-NLS-058-Lb.jpg" TargetMode="External"/><Relationship Id="rId1147" Type="http://schemas.openxmlformats.org/officeDocument/2006/relationships/hyperlink" Target="http://www.gooood.ru/components/com_virtuemart/shop_image/product/sexylife/SL-NI-M-10.jpg" TargetMode="External"/><Relationship Id="rId1354" Type="http://schemas.openxmlformats.org/officeDocument/2006/relationships/hyperlink" Target="http://www.gooood.ru/components/com_virtuemart/shop_image/product/good/50-1595big.jpg" TargetMode="External"/><Relationship Id="rId1561" Type="http://schemas.openxmlformats.org/officeDocument/2006/relationships/hyperlink" Target="http://www.gooood.ru/components/com_virtuemart/shop_image/product/good/14-1609big.jpg" TargetMode="External"/><Relationship Id="rId60" Type="http://schemas.openxmlformats.org/officeDocument/2006/relationships/hyperlink" Target="http://www.gooood.ru/pictures/katalog/05_1/30-128b.jpg" TargetMode="External"/><Relationship Id="rId1007" Type="http://schemas.openxmlformats.org/officeDocument/2006/relationships/image" Target="../media/image436.jpeg"/><Relationship Id="rId1214" Type="http://schemas.openxmlformats.org/officeDocument/2006/relationships/image" Target="../media/image527.jpeg"/><Relationship Id="rId1421" Type="http://schemas.openxmlformats.org/officeDocument/2006/relationships/hyperlink" Target="http://www.gooood.ru/components/com_virtuemart/shop_image/product/dodo/D-585-01big.jpg" TargetMode="External"/><Relationship Id="rId1659" Type="http://schemas.openxmlformats.org/officeDocument/2006/relationships/image" Target="../media/image720.jpeg"/><Relationship Id="rId1866" Type="http://schemas.openxmlformats.org/officeDocument/2006/relationships/hyperlink" Target="http://www.gooood.ru/components/com_virtuemart/shop_image/product/good/34-2634big.jpg" TargetMode="External"/><Relationship Id="rId1519" Type="http://schemas.openxmlformats.org/officeDocument/2006/relationships/image" Target="../media/image660.jpeg"/><Relationship Id="rId1726" Type="http://schemas.openxmlformats.org/officeDocument/2006/relationships/image" Target="../media/image774.jpeg"/><Relationship Id="rId1933" Type="http://schemas.openxmlformats.org/officeDocument/2006/relationships/hyperlink" Target="http://www.gooood.ru/components/com_virtuemart/shop_image/product/good/14-7622big.jpg" TargetMode="External"/><Relationship Id="rId18" Type="http://schemas.openxmlformats.org/officeDocument/2006/relationships/image" Target="../media/image10.jpeg"/><Relationship Id="rId167" Type="http://schemas.openxmlformats.org/officeDocument/2006/relationships/image" Target="../media/image74.jpeg"/><Relationship Id="rId374" Type="http://schemas.openxmlformats.org/officeDocument/2006/relationships/hyperlink" Target="http://www.gooood.ru/components/com_virtuemart/shop_image/product/ton/T-TS-036-Sb.jpg" TargetMode="External"/><Relationship Id="rId581" Type="http://schemas.openxmlformats.org/officeDocument/2006/relationships/image" Target="../media/image245.jpeg"/><Relationship Id="rId2055" Type="http://schemas.openxmlformats.org/officeDocument/2006/relationships/hyperlink" Target="http://www.gooood.ru/components/com_virtuemart/shop_image/product/good/14-1655big.jpg" TargetMode="External"/><Relationship Id="rId234" Type="http://schemas.openxmlformats.org/officeDocument/2006/relationships/hyperlink" Target="http://www.gooood.ru/pictures/katalog/05_1/14-1506b.jpg" TargetMode="External"/><Relationship Id="rId679" Type="http://schemas.openxmlformats.org/officeDocument/2006/relationships/hyperlink" Target="http://www.gooood.ru/components/com_virtuemart/shop_image/product/good/45-5524big.jpg" TargetMode="External"/><Relationship Id="rId886" Type="http://schemas.openxmlformats.org/officeDocument/2006/relationships/hyperlink" Target="http://www.gooood.ru/components/com_virtuemart/shop_image/product/good/36-1560big.jpg" TargetMode="External"/><Relationship Id="rId2" Type="http://schemas.openxmlformats.org/officeDocument/2006/relationships/image" Target="../media/image2.png"/><Relationship Id="rId441" Type="http://schemas.openxmlformats.org/officeDocument/2006/relationships/hyperlink" Target="http://www.gooood.ru/pictures/katalog/05_1/14-1520b.jpg" TargetMode="External"/><Relationship Id="rId539" Type="http://schemas.openxmlformats.org/officeDocument/2006/relationships/image" Target="../media/image225.jpeg"/><Relationship Id="rId746" Type="http://schemas.openxmlformats.org/officeDocument/2006/relationships/image" Target="../media/image321.jpeg"/><Relationship Id="rId1071" Type="http://schemas.openxmlformats.org/officeDocument/2006/relationships/image" Target="../media/image462.jpeg"/><Relationship Id="rId1169" Type="http://schemas.openxmlformats.org/officeDocument/2006/relationships/image" Target="../media/image508.jpeg"/><Relationship Id="rId1376" Type="http://schemas.openxmlformats.org/officeDocument/2006/relationships/image" Target="../media/image595.jpeg"/><Relationship Id="rId1583" Type="http://schemas.openxmlformats.org/officeDocument/2006/relationships/hyperlink" Target="http://www.gooood.ru/components/com_virtuemart/shop_image/product/good/34-8615big.jpg" TargetMode="External"/><Relationship Id="rId2122" Type="http://schemas.openxmlformats.org/officeDocument/2006/relationships/image" Target="../media/image926.jpeg"/><Relationship Id="rId301" Type="http://schemas.openxmlformats.org/officeDocument/2006/relationships/image" Target="../media/image139.jpeg"/><Relationship Id="rId953" Type="http://schemas.openxmlformats.org/officeDocument/2006/relationships/image" Target="../media/image411.jpeg"/><Relationship Id="rId1029" Type="http://schemas.openxmlformats.org/officeDocument/2006/relationships/hyperlink" Target="http://www.gooood.ru/components/com_virtuemart/shop_image/product/good/34-1575big.jpg" TargetMode="External"/><Relationship Id="rId1236" Type="http://schemas.openxmlformats.org/officeDocument/2006/relationships/image" Target="../media/image538.jpeg"/><Relationship Id="rId1790" Type="http://schemas.openxmlformats.org/officeDocument/2006/relationships/hyperlink" Target="http://www.gooood.ru/components/com_virtuemart/shop_image/product/good/20-1566big.jpg" TargetMode="External"/><Relationship Id="rId1888" Type="http://schemas.openxmlformats.org/officeDocument/2006/relationships/hyperlink" Target="http://www.gooood.ru/components/com_virtuemart/shop_image/product/good/14-2DSbig.jpg" TargetMode="External"/><Relationship Id="rId82" Type="http://schemas.openxmlformats.org/officeDocument/2006/relationships/hyperlink" Target="http://www.gooood.ru/pictures/katalog/05_1/34-922b.jpg" TargetMode="External"/><Relationship Id="rId606" Type="http://schemas.openxmlformats.org/officeDocument/2006/relationships/hyperlink" Target="http://www.gooood.ru/components/com_virtuemart/shop_image/product/good/79-5528-1big.jpg" TargetMode="External"/><Relationship Id="rId813" Type="http://schemas.openxmlformats.org/officeDocument/2006/relationships/image" Target="../media/image354.jpeg"/><Relationship Id="rId1443" Type="http://schemas.openxmlformats.org/officeDocument/2006/relationships/hyperlink" Target="http://www.gooood.ru/components/com_virtuemart/shop_image/product/ton/T-LS-011b.jpg" TargetMode="External"/><Relationship Id="rId1650" Type="http://schemas.openxmlformats.org/officeDocument/2006/relationships/hyperlink" Target="http://www.gooood.ru/components/com_virtuemart/shop_image/product/good/14-2620big.jpg" TargetMode="External"/><Relationship Id="rId1748" Type="http://schemas.openxmlformats.org/officeDocument/2006/relationships/hyperlink" Target="http://www.gooood.ru/components/com_virtuemart/shop_image/product/good/14-5539-Kbig.jpg" TargetMode="External"/><Relationship Id="rId1303" Type="http://schemas.openxmlformats.org/officeDocument/2006/relationships/image" Target="../media/image569.jpeg"/><Relationship Id="rId1510" Type="http://schemas.openxmlformats.org/officeDocument/2006/relationships/hyperlink" Target="http://www.gooood.ru/components/com_virtuemart/shop_image/product/good/14-2605big.jpg" TargetMode="External"/><Relationship Id="rId1955" Type="http://schemas.openxmlformats.org/officeDocument/2006/relationships/image" Target="../media/image864.jpeg"/><Relationship Id="rId1608" Type="http://schemas.openxmlformats.org/officeDocument/2006/relationships/hyperlink" Target="http://www.gooood.ru/components/com_virtuemart/shop_image/product/good/34-3618big.jpg" TargetMode="External"/><Relationship Id="rId1815" Type="http://schemas.openxmlformats.org/officeDocument/2006/relationships/image" Target="../media/image807.jpeg"/><Relationship Id="rId189" Type="http://schemas.openxmlformats.org/officeDocument/2006/relationships/image" Target="../media/image85.jpeg"/><Relationship Id="rId396" Type="http://schemas.openxmlformats.org/officeDocument/2006/relationships/hyperlink" Target="http://www.gooood.ru/components/com_virtuemart/shop_image/product/ton/T-TS-046-Lb.jpg" TargetMode="External"/><Relationship Id="rId2077" Type="http://schemas.openxmlformats.org/officeDocument/2006/relationships/image" Target="../media/image908.jpeg"/><Relationship Id="rId256" Type="http://schemas.openxmlformats.org/officeDocument/2006/relationships/image" Target="../media/image118.jpeg"/><Relationship Id="rId463" Type="http://schemas.openxmlformats.org/officeDocument/2006/relationships/image" Target="../media/image188.jpeg"/><Relationship Id="rId670" Type="http://schemas.openxmlformats.org/officeDocument/2006/relationships/hyperlink" Target="http://www.gooood.ru/components/com_virtuemart/shop_image/product/good/83-2531b.jpg" TargetMode="External"/><Relationship Id="rId1093" Type="http://schemas.openxmlformats.org/officeDocument/2006/relationships/hyperlink" Target="http://www.gooood.ru/components/com_virtuemart/shop_image/product/good/28-349big.jpg" TargetMode="External"/><Relationship Id="rId116" Type="http://schemas.openxmlformats.org/officeDocument/2006/relationships/hyperlink" Target="http://www.gooood.ru/components/com_virtuemart/shop_image/product/rw/rw-024-bb.jpg" TargetMode="External"/><Relationship Id="rId323" Type="http://schemas.openxmlformats.org/officeDocument/2006/relationships/image" Target="../media/image147.jpeg"/><Relationship Id="rId530" Type="http://schemas.openxmlformats.org/officeDocument/2006/relationships/hyperlink" Target="http://www.gooood.ru/components/com_virtuemart/shop_image/product/good/30-598big.jpg" TargetMode="External"/><Relationship Id="rId768" Type="http://schemas.openxmlformats.org/officeDocument/2006/relationships/image" Target="../media/image332.jpeg"/><Relationship Id="rId975" Type="http://schemas.openxmlformats.org/officeDocument/2006/relationships/hyperlink" Target="http://www.gooood.ru/components/com_virtuemart/shop_image/product/good/14-5568big.jpg" TargetMode="External"/><Relationship Id="rId1160" Type="http://schemas.openxmlformats.org/officeDocument/2006/relationships/image" Target="../media/image504.jpeg"/><Relationship Id="rId1398" Type="http://schemas.openxmlformats.org/officeDocument/2006/relationships/image" Target="../media/image606.jpeg"/><Relationship Id="rId2004" Type="http://schemas.openxmlformats.org/officeDocument/2006/relationships/hyperlink" Target="http://www.gooood.ru/components/com_virtuemart/shop_image/product/shark/K-33big.jpg" TargetMode="External"/><Relationship Id="rId628" Type="http://schemas.openxmlformats.org/officeDocument/2006/relationships/image" Target="../media/image265.jpeg"/><Relationship Id="rId835" Type="http://schemas.openxmlformats.org/officeDocument/2006/relationships/hyperlink" Target="http://www.gooood.ru/components/com_virtuemart/shop_image/product/good/14-1537-1big.jpg" TargetMode="External"/><Relationship Id="rId1258" Type="http://schemas.openxmlformats.org/officeDocument/2006/relationships/image" Target="../media/image549.jpeg"/><Relationship Id="rId1465" Type="http://schemas.openxmlformats.org/officeDocument/2006/relationships/hyperlink" Target="http://www.gooood.ru/components/com_virtuemart/shop_image/product/ton/T-LS-004b.jpg" TargetMode="External"/><Relationship Id="rId1672" Type="http://schemas.openxmlformats.org/officeDocument/2006/relationships/image" Target="../media/image724.jpeg"/><Relationship Id="rId1020" Type="http://schemas.openxmlformats.org/officeDocument/2006/relationships/hyperlink" Target="http://www.gooood.ru/components/com_virtuemart/shop_image/product/ton/T-TS-061-Lb.jpg" TargetMode="External"/><Relationship Id="rId1118" Type="http://schemas.openxmlformats.org/officeDocument/2006/relationships/image" Target="../media/image484.jpeg"/><Relationship Id="rId1325" Type="http://schemas.openxmlformats.org/officeDocument/2006/relationships/hyperlink" Target="http://www.gooood.ru/components/com_virtuemart/shop_image/product/good/14-1556big.jpg" TargetMode="External"/><Relationship Id="rId1532" Type="http://schemas.openxmlformats.org/officeDocument/2006/relationships/image" Target="../media/image666.jpeg"/><Relationship Id="rId1977" Type="http://schemas.openxmlformats.org/officeDocument/2006/relationships/hyperlink" Target="http://www.gooood.ru/components/com_virtuemart/shop_image/product/good/14-1651big.jpg" TargetMode="External"/><Relationship Id="rId902" Type="http://schemas.openxmlformats.org/officeDocument/2006/relationships/image" Target="../media/image390.jpeg"/><Relationship Id="rId1837" Type="http://schemas.openxmlformats.org/officeDocument/2006/relationships/hyperlink" Target="http://www.gooood.ru/components/com_virtuemart/shop_image/product/good/36-1569big.jpg" TargetMode="External"/><Relationship Id="rId31" Type="http://schemas.openxmlformats.org/officeDocument/2006/relationships/hyperlink" Target="http://www.gooood.ru/pictures/katalog/05_1/14-172b.jpg" TargetMode="External"/><Relationship Id="rId2099" Type="http://schemas.openxmlformats.org/officeDocument/2006/relationships/hyperlink" Target="http://www.gooood.ru/components/com_virtuemart/shop_image/product/good/14-1669big.jpg" TargetMode="External"/><Relationship Id="rId180" Type="http://schemas.openxmlformats.org/officeDocument/2006/relationships/hyperlink" Target="http://www.gooood.ru/pictures/katalog/05_1/14-197b.jpg" TargetMode="External"/><Relationship Id="rId278" Type="http://schemas.openxmlformats.org/officeDocument/2006/relationships/image" Target="../media/image129.jpeg"/><Relationship Id="rId1904" Type="http://schemas.openxmlformats.org/officeDocument/2006/relationships/hyperlink" Target="http://www.gooood.ru/components/com_virtuemart/shop_image/product/good/14-3641big.jpg" TargetMode="External"/><Relationship Id="rId485" Type="http://schemas.openxmlformats.org/officeDocument/2006/relationships/image" Target="../media/image199.jpeg"/><Relationship Id="rId692" Type="http://schemas.openxmlformats.org/officeDocument/2006/relationships/hyperlink" Target="http://www.gooood.ru/components/com_virtuemart/shop_image/product/ton/T-TS-054b.jpg" TargetMode="External"/><Relationship Id="rId138" Type="http://schemas.openxmlformats.org/officeDocument/2006/relationships/hyperlink" Target="http://www.gooood.ru/pictures/katalog/05_1/14-298b.jpg" TargetMode="External"/><Relationship Id="rId345" Type="http://schemas.openxmlformats.org/officeDocument/2006/relationships/hyperlink" Target="http://www.gooood.ru/components/com_virtuemart/shop_image/product/ton/T-TS-001b.jpg" TargetMode="External"/><Relationship Id="rId552" Type="http://schemas.openxmlformats.org/officeDocument/2006/relationships/hyperlink" Target="http://www.gooood.ru/components/com_virtuemart/shop_image/product/dodo/D-993-14big.jpg" TargetMode="External"/><Relationship Id="rId997" Type="http://schemas.openxmlformats.org/officeDocument/2006/relationships/image" Target="../media/image431.jpeg"/><Relationship Id="rId1182" Type="http://schemas.openxmlformats.org/officeDocument/2006/relationships/hyperlink" Target="http://www.gooood.ru/components/com_virtuemart/shop_image/product/good/16-1530big.jpg" TargetMode="External"/><Relationship Id="rId2026" Type="http://schemas.openxmlformats.org/officeDocument/2006/relationships/hyperlink" Target="http://www.gooood.ru/components/com_virtuemart/shop_image/product/good/14-1657big.jpg" TargetMode="External"/><Relationship Id="rId205" Type="http://schemas.openxmlformats.org/officeDocument/2006/relationships/image" Target="../media/image93.jpeg"/><Relationship Id="rId412" Type="http://schemas.openxmlformats.org/officeDocument/2006/relationships/image" Target="../media/image166.jpeg"/><Relationship Id="rId857" Type="http://schemas.openxmlformats.org/officeDocument/2006/relationships/hyperlink" Target="http://www.gooood.ru/components/com_virtuemart/shop_image/product/good/16-1559big.jpg" TargetMode="External"/><Relationship Id="rId1042" Type="http://schemas.openxmlformats.org/officeDocument/2006/relationships/image" Target="../media/image451.jpeg"/><Relationship Id="rId1487" Type="http://schemas.openxmlformats.org/officeDocument/2006/relationships/hyperlink" Target="http://www.gooood.ru/components/com_virtuemart/shop_image/product/good/14-1607big.jpg" TargetMode="External"/><Relationship Id="rId1694" Type="http://schemas.openxmlformats.org/officeDocument/2006/relationships/image" Target="../media/image742.jpeg"/><Relationship Id="rId717" Type="http://schemas.openxmlformats.org/officeDocument/2006/relationships/hyperlink" Target="http://www.gooood.ru/components/com_virtuemart/shop_image/product/ton/T-TS-056-Lbig.jpg" TargetMode="External"/><Relationship Id="rId924" Type="http://schemas.openxmlformats.org/officeDocument/2006/relationships/hyperlink" Target="http://www.gooood.ru/components/com_virtuemart/shop_image/product/good/34-235big.jpg" TargetMode="External"/><Relationship Id="rId1347" Type="http://schemas.openxmlformats.org/officeDocument/2006/relationships/hyperlink" Target="http://www.gooood.ru/components/com_virtuemart/shop_image/product/good/82-9590big.jpg" TargetMode="External"/><Relationship Id="rId1554" Type="http://schemas.openxmlformats.org/officeDocument/2006/relationships/image" Target="../media/image673.jpeg"/><Relationship Id="rId1761" Type="http://schemas.openxmlformats.org/officeDocument/2006/relationships/image" Target="../media/image789.jpeg"/><Relationship Id="rId1999" Type="http://schemas.openxmlformats.org/officeDocument/2006/relationships/image" Target="../media/image882.jpeg"/><Relationship Id="rId53" Type="http://schemas.openxmlformats.org/officeDocument/2006/relationships/image" Target="../media/image27.jpeg"/><Relationship Id="rId1207" Type="http://schemas.openxmlformats.org/officeDocument/2006/relationships/hyperlink" Target="http://www.gooood.ru/components/com_virtuemart/shop_image/product/dodo/D-415-09b.jpg" TargetMode="External"/><Relationship Id="rId1414" Type="http://schemas.openxmlformats.org/officeDocument/2006/relationships/image" Target="../media/image614.jpeg"/><Relationship Id="rId1621" Type="http://schemas.openxmlformats.org/officeDocument/2006/relationships/hyperlink" Target="http://www.gooood.ru/components/com_virtuemart/shop_image/product/shark/K-12big.jpg" TargetMode="External"/><Relationship Id="rId1859" Type="http://schemas.openxmlformats.org/officeDocument/2006/relationships/hyperlink" Target="http://www.gooood.ru/components/com_virtuemart/shop_image/product/good/28-504b.jpg" TargetMode="External"/><Relationship Id="rId1719" Type="http://schemas.openxmlformats.org/officeDocument/2006/relationships/image" Target="../media/image767.jpeg"/><Relationship Id="rId1926" Type="http://schemas.openxmlformats.org/officeDocument/2006/relationships/hyperlink" Target="http://www.gooood.ru/components/com_virtuemart/shop_image/product/ton/T-TS-078b.jpg" TargetMode="External"/><Relationship Id="rId2090" Type="http://schemas.openxmlformats.org/officeDocument/2006/relationships/hyperlink" Target="http://www.gooood.ru/components/com_virtuemart/shop_image/product/good/35-1667big.jpg" TargetMode="External"/><Relationship Id="rId367" Type="http://schemas.openxmlformats.org/officeDocument/2006/relationships/hyperlink" Target="http://www.gooood.ru/components/com_virtuemart/shop_image/product/ton/T-TS-031b.jpg" TargetMode="External"/><Relationship Id="rId574" Type="http://schemas.openxmlformats.org/officeDocument/2006/relationships/hyperlink" Target="http://www.gooood.ru/components/com_virtuemart/shop_image/product/nmnh/77-187big.jpg" TargetMode="External"/><Relationship Id="rId2048" Type="http://schemas.openxmlformats.org/officeDocument/2006/relationships/hyperlink" Target="http://www.gooood.ru/components/com_virtuemart/shop_image/product/good/36-9660big.jpg" TargetMode="External"/><Relationship Id="rId227" Type="http://schemas.openxmlformats.org/officeDocument/2006/relationships/image" Target="../media/image104.jpeg"/><Relationship Id="rId781" Type="http://schemas.openxmlformats.org/officeDocument/2006/relationships/image" Target="../media/image338.jpeg"/><Relationship Id="rId879" Type="http://schemas.openxmlformats.org/officeDocument/2006/relationships/hyperlink" Target="http://www.gooood.ru/components/com_virtuemart/shop_image/product/good/54-427big.jpg" TargetMode="External"/><Relationship Id="rId434" Type="http://schemas.openxmlformats.org/officeDocument/2006/relationships/image" Target="../media/image175.jpeg"/><Relationship Id="rId641" Type="http://schemas.openxmlformats.org/officeDocument/2006/relationships/image" Target="../media/image271.jpeg"/><Relationship Id="rId739" Type="http://schemas.openxmlformats.org/officeDocument/2006/relationships/hyperlink" Target="http://www.gooood.ru/components/com_virtuemart/shop_image/product/handmade/sg-028big.jpg" TargetMode="External"/><Relationship Id="rId1064" Type="http://schemas.openxmlformats.org/officeDocument/2006/relationships/image" Target="../media/image460.jpeg"/><Relationship Id="rId1271" Type="http://schemas.openxmlformats.org/officeDocument/2006/relationships/image" Target="../media/image554.jpeg"/><Relationship Id="rId1369" Type="http://schemas.openxmlformats.org/officeDocument/2006/relationships/hyperlink" Target="http://www.gooood.ru/components/com_virtuemart/shop_image/product/good/14-217big.jpg" TargetMode="External"/><Relationship Id="rId1576" Type="http://schemas.openxmlformats.org/officeDocument/2006/relationships/image" Target="../media/image684.jpeg"/><Relationship Id="rId2115" Type="http://schemas.openxmlformats.org/officeDocument/2006/relationships/image" Target="../media/image923.jpeg"/><Relationship Id="rId501" Type="http://schemas.openxmlformats.org/officeDocument/2006/relationships/hyperlink" Target="http://www.gooood.ru/components/com_virtuemart/shop_image/product/dodo/D-472-02b.jpg" TargetMode="External"/><Relationship Id="rId946" Type="http://schemas.openxmlformats.org/officeDocument/2006/relationships/image" Target="../media/image408.jpeg"/><Relationship Id="rId1131" Type="http://schemas.openxmlformats.org/officeDocument/2006/relationships/hyperlink" Target="http://www.gooood.ru/components/com_virtuemart/shop_image/product/sexylife/SL-NI-M-2.jpg" TargetMode="External"/><Relationship Id="rId1229" Type="http://schemas.openxmlformats.org/officeDocument/2006/relationships/hyperlink" Target="http://www.gooood.ru/components/com_virtuemart/shop_image/product/good/14-5504big.jpg" TargetMode="External"/><Relationship Id="rId1783" Type="http://schemas.openxmlformats.org/officeDocument/2006/relationships/hyperlink" Target="http://www.gooood.ru/components/com_virtuemart/shop_image/product/good/14-5530-Kbig.jpg" TargetMode="External"/><Relationship Id="rId1990" Type="http://schemas.openxmlformats.org/officeDocument/2006/relationships/hyperlink" Target="http://www.gooood.ru/components/com_virtuemart/shop_image/product/good/20-1621big.jpg" TargetMode="External"/><Relationship Id="rId75" Type="http://schemas.openxmlformats.org/officeDocument/2006/relationships/hyperlink" Target="http://www.gooood.ru/pictures/katalog/05_1/34-184b.jpg" TargetMode="External"/><Relationship Id="rId806" Type="http://schemas.openxmlformats.org/officeDocument/2006/relationships/hyperlink" Target="http://www.gooood.ru/components/com_virtuemart/shop_image/product/good/34-4545big.jpg" TargetMode="External"/><Relationship Id="rId1436" Type="http://schemas.openxmlformats.org/officeDocument/2006/relationships/image" Target="../media/image624.jpeg"/><Relationship Id="rId1643" Type="http://schemas.openxmlformats.org/officeDocument/2006/relationships/image" Target="../media/image713.jpeg"/><Relationship Id="rId1850" Type="http://schemas.openxmlformats.org/officeDocument/2006/relationships/hyperlink" Target="http://www.gooood.ru/components/com_virtuemart/shop_image/product/good/14-2631big.jpg" TargetMode="External"/><Relationship Id="rId1503" Type="http://schemas.openxmlformats.org/officeDocument/2006/relationships/image" Target="../media/image652.jpeg"/><Relationship Id="rId1710" Type="http://schemas.openxmlformats.org/officeDocument/2006/relationships/image" Target="../media/image758.jpeg"/><Relationship Id="rId1948" Type="http://schemas.openxmlformats.org/officeDocument/2006/relationships/hyperlink" Target="http://www.gooood.ru/components/com_virtuemart/shop_image/product/ton/T-TS-080b.jpg" TargetMode="External"/><Relationship Id="rId291" Type="http://schemas.openxmlformats.org/officeDocument/2006/relationships/hyperlink" Target="http://www.gooood.ru/pictures/katalog/05_1/42-143b.jpg" TargetMode="External"/><Relationship Id="rId1808" Type="http://schemas.openxmlformats.org/officeDocument/2006/relationships/hyperlink" Target="http://www.gooood.ru/components/com_virtuemart/shop_image/product/cap/C-289big.jpg" TargetMode="External"/><Relationship Id="rId151" Type="http://schemas.openxmlformats.org/officeDocument/2006/relationships/image" Target="../media/image66.jpeg"/><Relationship Id="rId389" Type="http://schemas.openxmlformats.org/officeDocument/2006/relationships/hyperlink" Target="http://www.gooood.ru/components/com_virtuemart/shop_image/product/ton/T-TS-043-Lb.jpg" TargetMode="External"/><Relationship Id="rId596" Type="http://schemas.openxmlformats.org/officeDocument/2006/relationships/hyperlink" Target="http://www.gooood.ru/components/com_virtuemart/shop_image/product/nmnh/77-PcW5Cbig.jpg" TargetMode="External"/><Relationship Id="rId249" Type="http://schemas.openxmlformats.org/officeDocument/2006/relationships/hyperlink" Target="http://www.gooood.ru/components/com_virtuemart/shop_image/product/mospheric/M-14-201b.jpg" TargetMode="External"/><Relationship Id="rId456" Type="http://schemas.openxmlformats.org/officeDocument/2006/relationships/hyperlink" Target="http://www.gooood.ru/components/com_virtuemart/shop_image/product/nmnh/77-en-138b.jpg" TargetMode="External"/><Relationship Id="rId663" Type="http://schemas.openxmlformats.org/officeDocument/2006/relationships/image" Target="../media/image282.jpeg"/><Relationship Id="rId870" Type="http://schemas.openxmlformats.org/officeDocument/2006/relationships/image" Target="../media/image376.jpeg"/><Relationship Id="rId1086" Type="http://schemas.openxmlformats.org/officeDocument/2006/relationships/image" Target="../media/image469.jpeg"/><Relationship Id="rId1293" Type="http://schemas.openxmlformats.org/officeDocument/2006/relationships/hyperlink" Target="http://www.gooood.ru/components/com_virtuemart/shop_image/product/ton/T-JH-033big.jpg" TargetMode="External"/><Relationship Id="rId109" Type="http://schemas.openxmlformats.org/officeDocument/2006/relationships/image" Target="../media/image45.jpeg"/><Relationship Id="rId316" Type="http://schemas.openxmlformats.org/officeDocument/2006/relationships/hyperlink" Target="http://www.gooood.ru/components/com_virtuemart/shop_image/product/ton/T-NLS-011-Lb.jpg" TargetMode="External"/><Relationship Id="rId523" Type="http://schemas.openxmlformats.org/officeDocument/2006/relationships/image" Target="../media/image217.jpeg"/><Relationship Id="rId968" Type="http://schemas.openxmlformats.org/officeDocument/2006/relationships/image" Target="../media/image418.jpeg"/><Relationship Id="rId1153" Type="http://schemas.openxmlformats.org/officeDocument/2006/relationships/hyperlink" Target="http://www.gooood.ru/product/SL-W.php" TargetMode="External"/><Relationship Id="rId1598" Type="http://schemas.openxmlformats.org/officeDocument/2006/relationships/image" Target="../media/image696.jpeg"/><Relationship Id="rId97" Type="http://schemas.openxmlformats.org/officeDocument/2006/relationships/image" Target="../media/image39.jpeg"/><Relationship Id="rId730" Type="http://schemas.openxmlformats.org/officeDocument/2006/relationships/image" Target="../media/image313.jpeg"/><Relationship Id="rId828" Type="http://schemas.openxmlformats.org/officeDocument/2006/relationships/hyperlink" Target="http://www.gooood.ru/components/com_virtuemart/shop_image/product/good/30-136big.jpg" TargetMode="External"/><Relationship Id="rId1013" Type="http://schemas.openxmlformats.org/officeDocument/2006/relationships/image" Target="../media/image439.jpeg"/><Relationship Id="rId1360" Type="http://schemas.openxmlformats.org/officeDocument/2006/relationships/image" Target="../media/image589.jpeg"/><Relationship Id="rId1458" Type="http://schemas.openxmlformats.org/officeDocument/2006/relationships/image" Target="../media/image634.jpeg"/><Relationship Id="rId1665" Type="http://schemas.openxmlformats.org/officeDocument/2006/relationships/hyperlink" Target="http://www.gooood.ru/components/com_virtuemart/shop_image/product/glookoraund/G-34-701big.jpg" TargetMode="External"/><Relationship Id="rId1872" Type="http://schemas.openxmlformats.org/officeDocument/2006/relationships/hyperlink" Target="http://www.gooood.ru/components/com_virtuemart/shop_image/product/ton/T-TS-077b.jpg" TargetMode="External"/><Relationship Id="rId1220" Type="http://schemas.openxmlformats.org/officeDocument/2006/relationships/image" Target="../media/image530.jpeg"/><Relationship Id="rId1318" Type="http://schemas.openxmlformats.org/officeDocument/2006/relationships/hyperlink" Target="http://www.gooood.ru/components/com_virtuemart/shop_image/product/good/50-1587big.jpg" TargetMode="External"/><Relationship Id="rId1525" Type="http://schemas.openxmlformats.org/officeDocument/2006/relationships/hyperlink" Target="http://www.gooood.ru/components/com_virtuemart/shop_image/product/ton/T-TS-075-Lbig.jpg" TargetMode="External"/><Relationship Id="rId1732" Type="http://schemas.openxmlformats.org/officeDocument/2006/relationships/image" Target="../media/image780.jpeg"/><Relationship Id="rId24" Type="http://schemas.openxmlformats.org/officeDocument/2006/relationships/image" Target="../media/image13.jpeg"/><Relationship Id="rId173" Type="http://schemas.openxmlformats.org/officeDocument/2006/relationships/image" Target="../media/image77.jpeg"/><Relationship Id="rId380" Type="http://schemas.openxmlformats.org/officeDocument/2006/relationships/hyperlink" Target="http://www.gooood.ru/components/com_virtuemart/shop_image/product/ton/T-TS-038-Lb.jpg" TargetMode="External"/><Relationship Id="rId2061" Type="http://schemas.openxmlformats.org/officeDocument/2006/relationships/image" Target="../media/image900.jpeg"/><Relationship Id="rId240" Type="http://schemas.openxmlformats.org/officeDocument/2006/relationships/image" Target="../media/image110.jpeg"/><Relationship Id="rId478" Type="http://schemas.openxmlformats.org/officeDocument/2006/relationships/hyperlink" Target="http://www.gooood.ru/components/com_virtuemart/shop_image/product/good/34-1524big.jpg" TargetMode="External"/><Relationship Id="rId685" Type="http://schemas.openxmlformats.org/officeDocument/2006/relationships/hyperlink" Target="http://www.gooood.ru/components/com_virtuemart/shop_image/product/good/14-1535big.jpg" TargetMode="External"/><Relationship Id="rId892" Type="http://schemas.openxmlformats.org/officeDocument/2006/relationships/image" Target="../media/image385.jpeg"/><Relationship Id="rId100" Type="http://schemas.openxmlformats.org/officeDocument/2006/relationships/hyperlink" Target="http://www.gooood.ru/pictures/katalog/05_1/41-392b.jpg" TargetMode="External"/><Relationship Id="rId338" Type="http://schemas.openxmlformats.org/officeDocument/2006/relationships/hyperlink" Target="http://www.gooood.ru/components/com_virtuemart/shop_image/product/ton/T-NLS-042-Lb.jpg" TargetMode="External"/><Relationship Id="rId545" Type="http://schemas.openxmlformats.org/officeDocument/2006/relationships/image" Target="../media/image228.jpeg"/><Relationship Id="rId752" Type="http://schemas.openxmlformats.org/officeDocument/2006/relationships/image" Target="../media/image324.jpeg"/><Relationship Id="rId1175" Type="http://schemas.openxmlformats.org/officeDocument/2006/relationships/image" Target="../media/image511.jpeg"/><Relationship Id="rId1382" Type="http://schemas.openxmlformats.org/officeDocument/2006/relationships/image" Target="../media/image598.jpeg"/><Relationship Id="rId2019" Type="http://schemas.openxmlformats.org/officeDocument/2006/relationships/hyperlink" Target="http://www.gooood.ru/components/com_virtuemart/shop_image/product/ton/T-TS-081b.jpg" TargetMode="External"/><Relationship Id="rId405" Type="http://schemas.openxmlformats.org/officeDocument/2006/relationships/hyperlink" Target="http://www.gooood.ru/components/com_virtuemart/shop_image/product/ton/T-TS-048b.jpg" TargetMode="External"/><Relationship Id="rId612" Type="http://schemas.openxmlformats.org/officeDocument/2006/relationships/hyperlink" Target="http://www.gooood.ru/components/com_virtuemart/shop_image/product/good/34-258big.jpg" TargetMode="External"/><Relationship Id="rId1035" Type="http://schemas.openxmlformats.org/officeDocument/2006/relationships/hyperlink" Target="http://www.gooood.ru/components/com_virtuemart/shop_image/product/good/52-1559big.jpg" TargetMode="External"/><Relationship Id="rId1242" Type="http://schemas.openxmlformats.org/officeDocument/2006/relationships/image" Target="../media/image541.jpeg"/><Relationship Id="rId1687" Type="http://schemas.openxmlformats.org/officeDocument/2006/relationships/image" Target="../media/image735.jpeg"/><Relationship Id="rId1894" Type="http://schemas.openxmlformats.org/officeDocument/2006/relationships/hyperlink" Target="http://www.gooood.ru/components/com_virtuemart/shop_image/product/good/35-379big.jpg" TargetMode="External"/><Relationship Id="rId917" Type="http://schemas.openxmlformats.org/officeDocument/2006/relationships/image" Target="../media/image398.jpeg"/><Relationship Id="rId1102" Type="http://schemas.openxmlformats.org/officeDocument/2006/relationships/image" Target="../media/image476.jpeg"/><Relationship Id="rId1547" Type="http://schemas.openxmlformats.org/officeDocument/2006/relationships/image" Target="../media/image670.jpeg"/><Relationship Id="rId1754" Type="http://schemas.openxmlformats.org/officeDocument/2006/relationships/hyperlink" Target="http://www.gooood.ru/components/com_virtuemart/shop_image/product/good/28-5615big.jpg" TargetMode="External"/><Relationship Id="rId1961" Type="http://schemas.openxmlformats.org/officeDocument/2006/relationships/image" Target="../media/image867.jpeg"/><Relationship Id="rId46" Type="http://schemas.openxmlformats.org/officeDocument/2006/relationships/image" Target="../media/image24.jpeg"/><Relationship Id="rId1407" Type="http://schemas.openxmlformats.org/officeDocument/2006/relationships/hyperlink" Target="http://www.gooood.ru/components/com_virtuemart/shop_image/product/dodo/D-1444-01big.jpg" TargetMode="External"/><Relationship Id="rId1614" Type="http://schemas.openxmlformats.org/officeDocument/2006/relationships/hyperlink" Target="http://www.gooood.ru/components/com_virtuemart/shop_image/product/good/34-1572big.jpg" TargetMode="External"/><Relationship Id="rId1821" Type="http://schemas.openxmlformats.org/officeDocument/2006/relationships/image" Target="../media/image810.jpeg"/><Relationship Id="rId195" Type="http://schemas.openxmlformats.org/officeDocument/2006/relationships/image" Target="../media/image88.jpeg"/><Relationship Id="rId1919" Type="http://schemas.openxmlformats.org/officeDocument/2006/relationships/image" Target="../media/image849.jpeg"/><Relationship Id="rId2083" Type="http://schemas.openxmlformats.org/officeDocument/2006/relationships/hyperlink" Target="http://www.gooood.ru/components/com_virtuemart/shop_image/product/good/35-1663big.jpg" TargetMode="External"/><Relationship Id="rId262" Type="http://schemas.openxmlformats.org/officeDocument/2006/relationships/image" Target="../media/image121.jpeg"/><Relationship Id="rId567" Type="http://schemas.openxmlformats.org/officeDocument/2006/relationships/image" Target="../media/image238.jpeg"/><Relationship Id="rId1197" Type="http://schemas.openxmlformats.org/officeDocument/2006/relationships/hyperlink" Target="http://www.gooood.ru/components/com_virtuemart/shop_image/product/dodo/D-1424-01big.jpg" TargetMode="External"/><Relationship Id="rId122" Type="http://schemas.openxmlformats.org/officeDocument/2006/relationships/hyperlink" Target="http://www.gooood.ru/components/com_virtuemart/shop_image/product/nmnh/77-en-002b.jpg" TargetMode="External"/><Relationship Id="rId774" Type="http://schemas.openxmlformats.org/officeDocument/2006/relationships/hyperlink" Target="http://www.gooood.ru/components/com_virtuemart/shop_image/product/good/14-379big.jpg" TargetMode="External"/><Relationship Id="rId981" Type="http://schemas.openxmlformats.org/officeDocument/2006/relationships/hyperlink" Target="http://www.gooood.ru/components/com_virtuemart/shop_image/product/good/34-5568big.jpg" TargetMode="External"/><Relationship Id="rId1057" Type="http://schemas.openxmlformats.org/officeDocument/2006/relationships/hyperlink" Target="http://www.gooood.ru/components/com_virtuemart/shop_image/product/good/28-515b.jpg" TargetMode="External"/><Relationship Id="rId2010" Type="http://schemas.openxmlformats.org/officeDocument/2006/relationships/hyperlink" Target="http://www.gooood.ru/components/com_virtuemart/shop_image/product/good/14-488big.jpg" TargetMode="External"/><Relationship Id="rId427" Type="http://schemas.openxmlformats.org/officeDocument/2006/relationships/image" Target="../media/image172.jpeg"/><Relationship Id="rId634" Type="http://schemas.openxmlformats.org/officeDocument/2006/relationships/hyperlink" Target="http://www.gooood.ru/components/com_virtuemart/shop_image/product/good/14-2532big.jpg" TargetMode="External"/><Relationship Id="rId841" Type="http://schemas.openxmlformats.org/officeDocument/2006/relationships/image" Target="../media/image366.jpeg"/><Relationship Id="rId1264" Type="http://schemas.openxmlformats.org/officeDocument/2006/relationships/image" Target="../media/image551.jpeg"/><Relationship Id="rId1471" Type="http://schemas.openxmlformats.org/officeDocument/2006/relationships/image" Target="../media/image639.jpeg"/><Relationship Id="rId1569" Type="http://schemas.openxmlformats.org/officeDocument/2006/relationships/hyperlink" Target="http://www.gooood.ru/components/com_virtuemart/shop_image/product/good/14-1612big.jpg" TargetMode="External"/><Relationship Id="rId2108" Type="http://schemas.openxmlformats.org/officeDocument/2006/relationships/image" Target="../media/image920.jpeg"/><Relationship Id="rId701" Type="http://schemas.openxmlformats.org/officeDocument/2006/relationships/image" Target="../media/image299.jpeg"/><Relationship Id="rId939" Type="http://schemas.openxmlformats.org/officeDocument/2006/relationships/hyperlink" Target="http://www.gooood.ru/components/com_virtuemart/shop_image/product/good/30-1566big.jpg" TargetMode="External"/><Relationship Id="rId1124" Type="http://schemas.openxmlformats.org/officeDocument/2006/relationships/image" Target="../media/image487.jpeg"/><Relationship Id="rId1331" Type="http://schemas.openxmlformats.org/officeDocument/2006/relationships/hyperlink" Target="http://www.gooood.ru/components/com_virtuemart/shop_image/product/good/30-4584big.jpg" TargetMode="External"/><Relationship Id="rId1776" Type="http://schemas.openxmlformats.org/officeDocument/2006/relationships/image" Target="../media/image791.jpeg"/><Relationship Id="rId1983" Type="http://schemas.openxmlformats.org/officeDocument/2006/relationships/image" Target="../media/image876.jpeg"/><Relationship Id="rId68" Type="http://schemas.openxmlformats.org/officeDocument/2006/relationships/hyperlink" Target="http://www.gooood.ru/pictures/katalog/05_1/34-123b.jpg" TargetMode="External"/><Relationship Id="rId1429" Type="http://schemas.openxmlformats.org/officeDocument/2006/relationships/hyperlink" Target="http://www.gooood.ru/components/com_virtuemart/shop_image/product/ton/T-TS-011-Lb.jpg" TargetMode="External"/><Relationship Id="rId1636" Type="http://schemas.openxmlformats.org/officeDocument/2006/relationships/image" Target="../media/image710.jpeg"/><Relationship Id="rId1843" Type="http://schemas.openxmlformats.org/officeDocument/2006/relationships/image" Target="../media/image819.jpeg"/><Relationship Id="rId1703" Type="http://schemas.openxmlformats.org/officeDocument/2006/relationships/image" Target="../media/image751.jpeg"/><Relationship Id="rId1910" Type="http://schemas.openxmlformats.org/officeDocument/2006/relationships/hyperlink" Target="http://www.gooood.ru/components/com_virtuemart/shop_image/product/good/34-3508-1b.jpg" TargetMode="External"/><Relationship Id="rId284" Type="http://schemas.openxmlformats.org/officeDocument/2006/relationships/image" Target="../media/image132.jpeg"/><Relationship Id="rId491" Type="http://schemas.openxmlformats.org/officeDocument/2006/relationships/image" Target="../media/image202.jpeg"/><Relationship Id="rId144" Type="http://schemas.openxmlformats.org/officeDocument/2006/relationships/hyperlink" Target="http://www.gooood.ru/pictures/katalog/05_1/14-215b.jpg" TargetMode="External"/><Relationship Id="rId589" Type="http://schemas.openxmlformats.org/officeDocument/2006/relationships/image" Target="../media/image249.jpeg"/><Relationship Id="rId796" Type="http://schemas.openxmlformats.org/officeDocument/2006/relationships/hyperlink" Target="http://www.gooood.ru/components/com_virtuemart/shop_image/product/dodo/D-495-01b.jpg" TargetMode="External"/><Relationship Id="rId351" Type="http://schemas.openxmlformats.org/officeDocument/2006/relationships/hyperlink" Target="http://www.gooood.ru/components/com_virtuemart/shop_image/product/ton/T-TS-004-Lb.jpg" TargetMode="External"/><Relationship Id="rId449" Type="http://schemas.openxmlformats.org/officeDocument/2006/relationships/hyperlink" Target="http://www.gooood.ru/pictures/katalog/05_1/30-1520b.jpg" TargetMode="External"/><Relationship Id="rId656" Type="http://schemas.openxmlformats.org/officeDocument/2006/relationships/hyperlink" Target="http://www.gooood.ru/components/com_virtuemart/shop_image/product/good/34-259big.jpg" TargetMode="External"/><Relationship Id="rId863" Type="http://schemas.openxmlformats.org/officeDocument/2006/relationships/image" Target="../media/image373.jpeg"/><Relationship Id="rId1079" Type="http://schemas.openxmlformats.org/officeDocument/2006/relationships/image" Target="../media/image466.jpeg"/><Relationship Id="rId1286" Type="http://schemas.openxmlformats.org/officeDocument/2006/relationships/image" Target="../media/image561.jpeg"/><Relationship Id="rId1493" Type="http://schemas.openxmlformats.org/officeDocument/2006/relationships/hyperlink" Target="http://www.gooood.ru/components/com_virtuemart/shop_image/product/good/14-418big.jpg" TargetMode="External"/><Relationship Id="rId2032" Type="http://schemas.openxmlformats.org/officeDocument/2006/relationships/hyperlink" Target="http://www.gooood.ru/components/com_virtuemart/shop_image/product/good/35-2659big.jpg" TargetMode="External"/><Relationship Id="rId211" Type="http://schemas.openxmlformats.org/officeDocument/2006/relationships/image" Target="../media/image96.jpeg"/><Relationship Id="rId309" Type="http://schemas.openxmlformats.org/officeDocument/2006/relationships/image" Target="../media/image142.jpeg"/><Relationship Id="rId516" Type="http://schemas.openxmlformats.org/officeDocument/2006/relationships/hyperlink" Target="http://www.gooood.ru/components/com_virtuemart/shop_image/product/good/14-1526-2big.jpg" TargetMode="External"/><Relationship Id="rId1146" Type="http://schemas.openxmlformats.org/officeDocument/2006/relationships/image" Target="../media/image497.jpeg"/><Relationship Id="rId1798" Type="http://schemas.openxmlformats.org/officeDocument/2006/relationships/hyperlink" Target="http://www.gooood.ru/components/com_virtuemart/shop_image/product/cap/C-227big.jpg" TargetMode="External"/><Relationship Id="rId723" Type="http://schemas.openxmlformats.org/officeDocument/2006/relationships/hyperlink" Target="http://www.gooood.ru/components/com_virtuemart/shop_image/product/good/44-6543big.jpg" TargetMode="External"/><Relationship Id="rId930" Type="http://schemas.openxmlformats.org/officeDocument/2006/relationships/hyperlink" Target="http://www.gooood.ru/components/com_virtuemart/shop_image/product/ton/T-NLS-058b.jpg" TargetMode="External"/><Relationship Id="rId1006" Type="http://schemas.openxmlformats.org/officeDocument/2006/relationships/hyperlink" Target="http://www.gooood.ru/components/com_virtuemart/shop_image/product/good/34-2571big.jpg" TargetMode="External"/><Relationship Id="rId1353" Type="http://schemas.openxmlformats.org/officeDocument/2006/relationships/image" Target="../media/image586.jpeg"/><Relationship Id="rId1560" Type="http://schemas.openxmlformats.org/officeDocument/2006/relationships/image" Target="../media/image676.jpeg"/><Relationship Id="rId1658" Type="http://schemas.openxmlformats.org/officeDocument/2006/relationships/hyperlink" Target="http://www.gooood.ru/components/com_virtuemart/shop_image/product/glookoraund/G-14-102big.jpg" TargetMode="External"/><Relationship Id="rId1865" Type="http://schemas.openxmlformats.org/officeDocument/2006/relationships/image" Target="../media/image829.jpeg"/><Relationship Id="rId1213" Type="http://schemas.openxmlformats.org/officeDocument/2006/relationships/hyperlink" Target="http://www.gooood.ru/components/com_virtuemart/shop_image/product/dodo/D-462-01b.jpg" TargetMode="External"/><Relationship Id="rId1420" Type="http://schemas.openxmlformats.org/officeDocument/2006/relationships/image" Target="../media/image617.jpeg"/><Relationship Id="rId1518" Type="http://schemas.openxmlformats.org/officeDocument/2006/relationships/hyperlink" Target="http://www.gooood.ru/components/com_virtuemart/shop_image/product/good/14-2606big.jpg" TargetMode="External"/><Relationship Id="rId1725" Type="http://schemas.openxmlformats.org/officeDocument/2006/relationships/image" Target="../media/image773.jpeg"/><Relationship Id="rId1932" Type="http://schemas.openxmlformats.org/officeDocument/2006/relationships/hyperlink" Target="http://www.gooood.ru/pictures/katalog/05_1/14-116b.jpg" TargetMode="External"/><Relationship Id="rId17" Type="http://schemas.openxmlformats.org/officeDocument/2006/relationships/hyperlink" Target="http://www.gooood.ru/pictures/katalog/05_1/14-128b.jpg" TargetMode="External"/><Relationship Id="rId166" Type="http://schemas.openxmlformats.org/officeDocument/2006/relationships/hyperlink" Target="http://www.gooood.ru/components/com_virtuemart/shop_image/product/nmnh/77-vw-121-bb.jpg" TargetMode="External"/><Relationship Id="rId373" Type="http://schemas.openxmlformats.org/officeDocument/2006/relationships/hyperlink" Target="http://www.gooood.ru/components/com_virtuemart/shop_image/product/ton/T-TS-036-Bb.jpg" TargetMode="External"/><Relationship Id="rId580" Type="http://schemas.openxmlformats.org/officeDocument/2006/relationships/hyperlink" Target="http://www.gooood.ru/components/com_virtuemart/shop_image/product/nmnh/77-252big.jpg" TargetMode="External"/><Relationship Id="rId2054" Type="http://schemas.openxmlformats.org/officeDocument/2006/relationships/hyperlink" Target="http://www.gooood.ru/components/com_virtuemart/shop_image/product/good/40-9660big.jpg" TargetMode="External"/><Relationship Id="rId1" Type="http://schemas.openxmlformats.org/officeDocument/2006/relationships/image" Target="../media/image1.png"/><Relationship Id="rId233" Type="http://schemas.openxmlformats.org/officeDocument/2006/relationships/image" Target="../media/image107.jpeg"/><Relationship Id="rId440" Type="http://schemas.openxmlformats.org/officeDocument/2006/relationships/image" Target="../media/image178.jpeg"/><Relationship Id="rId678" Type="http://schemas.openxmlformats.org/officeDocument/2006/relationships/hyperlink" Target="http://www.gooood.ru/components/com_virtuemart/shop_image/product/good/44-2536big.jpg" TargetMode="External"/><Relationship Id="rId885" Type="http://schemas.openxmlformats.org/officeDocument/2006/relationships/image" Target="../media/image382.jpeg"/><Relationship Id="rId1070" Type="http://schemas.openxmlformats.org/officeDocument/2006/relationships/hyperlink" Target="http://www.gooood.ru/components/com_virtuemart/shop_image/product/dodo/D-300-02b.jpg" TargetMode="External"/><Relationship Id="rId2121" Type="http://schemas.openxmlformats.org/officeDocument/2006/relationships/hyperlink" Target="http://www.gooood.ru/components/com_virtuemart/shop_image/product/ton/t-ts-085big.jpg" TargetMode="External"/><Relationship Id="rId300" Type="http://schemas.openxmlformats.org/officeDocument/2006/relationships/hyperlink" Target="http://www.gooood.ru/components/com_virtuemart/shop_image/product/ton/T-LS-041b.jpg" TargetMode="External"/><Relationship Id="rId538" Type="http://schemas.openxmlformats.org/officeDocument/2006/relationships/hyperlink" Target="http://www.gooood.ru/components/com_virtuemart/shop_image/product/good/42-901SGbig.jpg" TargetMode="External"/><Relationship Id="rId745" Type="http://schemas.openxmlformats.org/officeDocument/2006/relationships/hyperlink" Target="http://www.gooood.ru/components/com_virtuemart/shop_image/product/handmade/sg-032big.jpg" TargetMode="External"/><Relationship Id="rId952" Type="http://schemas.openxmlformats.org/officeDocument/2006/relationships/hyperlink" Target="http://www.gooood.ru/components/com_virtuemart/shop_image/product/ton/T-TS-059b.jpg" TargetMode="External"/><Relationship Id="rId1168" Type="http://schemas.openxmlformats.org/officeDocument/2006/relationships/hyperlink" Target="http://www.gooood.ru/components/com_virtuemart/shop_image/product/good/38-3584big.jpg" TargetMode="External"/><Relationship Id="rId1375" Type="http://schemas.openxmlformats.org/officeDocument/2006/relationships/hyperlink" Target="http://www.gooood.ru/components/com_virtuemart/shop_image/product/ton/T-LS-070big.jpg" TargetMode="External"/><Relationship Id="rId1582" Type="http://schemas.openxmlformats.org/officeDocument/2006/relationships/image" Target="../media/image687.jpeg"/><Relationship Id="rId81" Type="http://schemas.openxmlformats.org/officeDocument/2006/relationships/image" Target="../media/image34.jpeg"/><Relationship Id="rId605" Type="http://schemas.openxmlformats.org/officeDocument/2006/relationships/image" Target="../media/image257.jpeg"/><Relationship Id="rId812" Type="http://schemas.openxmlformats.org/officeDocument/2006/relationships/hyperlink" Target="http://www.gooood.ru/components/com_virtuemart/shop_image/product/good/64-3538big.jpg" TargetMode="External"/><Relationship Id="rId1028" Type="http://schemas.openxmlformats.org/officeDocument/2006/relationships/image" Target="../media/image446.jpeg"/><Relationship Id="rId1235" Type="http://schemas.openxmlformats.org/officeDocument/2006/relationships/hyperlink" Target="http://www.gooood.ru/components/com_virtuemart/shop_image/product/good/34-5512big.jpg" TargetMode="External"/><Relationship Id="rId1442" Type="http://schemas.openxmlformats.org/officeDocument/2006/relationships/image" Target="../media/image627.jpeg"/><Relationship Id="rId1887" Type="http://schemas.openxmlformats.org/officeDocument/2006/relationships/image" Target="../media/image836.jpeg"/><Relationship Id="rId1302" Type="http://schemas.openxmlformats.org/officeDocument/2006/relationships/hyperlink" Target="http://www.gooood.ru/components/com_virtuemart/shop_image/product/ton/T-LS-001big.jpg" TargetMode="External"/><Relationship Id="rId1747" Type="http://schemas.openxmlformats.org/officeDocument/2006/relationships/image" Target="../media/image787.jpeg"/><Relationship Id="rId1954" Type="http://schemas.openxmlformats.org/officeDocument/2006/relationships/hyperlink" Target="http://www.gooood.ru/pictures/katalog/05_1/14-116-1big.jpg" TargetMode="External"/><Relationship Id="rId39" Type="http://schemas.openxmlformats.org/officeDocument/2006/relationships/hyperlink" Target="http://www.gooood.ru/pictures/katalog/05_1/14-248b.jpg" TargetMode="External"/><Relationship Id="rId1607" Type="http://schemas.openxmlformats.org/officeDocument/2006/relationships/hyperlink" Target="http://www.gooood.ru/components/com_virtuemart/shop_image/product/good/34-296b.jpg" TargetMode="External"/><Relationship Id="rId1814" Type="http://schemas.openxmlformats.org/officeDocument/2006/relationships/hyperlink" Target="http://www.gooood.ru/components/com_virtuemart/shop_image/product/cap/C-504big.jpg" TargetMode="External"/><Relationship Id="rId188" Type="http://schemas.openxmlformats.org/officeDocument/2006/relationships/hyperlink" Target="http://www.gooood.ru/pictures/katalog/05_1/34-6502b.jpg" TargetMode="External"/><Relationship Id="rId395" Type="http://schemas.openxmlformats.org/officeDocument/2006/relationships/hyperlink" Target="http://www.gooood.ru/components/com_virtuemart/shop_image/product/ton/T-TS-046b.jpg" TargetMode="External"/><Relationship Id="rId2076" Type="http://schemas.openxmlformats.org/officeDocument/2006/relationships/hyperlink" Target="http://www.gooood.ru/components/com_virtuemart/shop_image/product/good/36-2662big.jpg" TargetMode="External"/><Relationship Id="rId255" Type="http://schemas.openxmlformats.org/officeDocument/2006/relationships/hyperlink" Target="http://www.gooood.ru/components/com_virtuemart/shop_image/product/mospheric/M-34-204b.jpg" TargetMode="External"/><Relationship Id="rId462" Type="http://schemas.openxmlformats.org/officeDocument/2006/relationships/hyperlink" Target="http://www.gooood.ru/pictures/katalog/05_1/52-5522b.jpg" TargetMode="External"/><Relationship Id="rId1092" Type="http://schemas.openxmlformats.org/officeDocument/2006/relationships/image" Target="../media/image471.jpeg"/><Relationship Id="rId1397" Type="http://schemas.openxmlformats.org/officeDocument/2006/relationships/image" Target="../media/image605.jpeg"/><Relationship Id="rId115" Type="http://schemas.openxmlformats.org/officeDocument/2006/relationships/image" Target="../media/image48.jpeg"/><Relationship Id="rId322" Type="http://schemas.openxmlformats.org/officeDocument/2006/relationships/hyperlink" Target="http://www.gooood.ru/components/com_virtuemart/shop_image/product/ton/T-NLS-021b.jpg" TargetMode="External"/><Relationship Id="rId767" Type="http://schemas.openxmlformats.org/officeDocument/2006/relationships/hyperlink" Target="http://www.gooood.ru/components/com_virtuemart/shop_image/product/good/62-285big.jpg" TargetMode="External"/><Relationship Id="rId974" Type="http://schemas.openxmlformats.org/officeDocument/2006/relationships/image" Target="../media/image421.jpeg"/><Relationship Id="rId2003" Type="http://schemas.openxmlformats.org/officeDocument/2006/relationships/image" Target="../media/image884.jpeg"/><Relationship Id="rId627" Type="http://schemas.openxmlformats.org/officeDocument/2006/relationships/hyperlink" Target="http://www.gooood.ru/components/com_virtuemart/shop_image/product/good/14-227big.jpg" TargetMode="External"/><Relationship Id="rId834" Type="http://schemas.openxmlformats.org/officeDocument/2006/relationships/image" Target="../media/image363.jpeg"/><Relationship Id="rId1257" Type="http://schemas.openxmlformats.org/officeDocument/2006/relationships/hyperlink" Target="http://www.gooood.ru/components/com_virtuemart/shop_image/product/dodo/D-822-01big.jpg" TargetMode="External"/><Relationship Id="rId1464" Type="http://schemas.openxmlformats.org/officeDocument/2006/relationships/image" Target="../media/image636.jpeg"/><Relationship Id="rId1671" Type="http://schemas.openxmlformats.org/officeDocument/2006/relationships/hyperlink" Target="http://www.gooood.ru/components/com_virtuemart/shop_image/product/good/34-3614big.jpg" TargetMode="External"/><Relationship Id="rId901" Type="http://schemas.openxmlformats.org/officeDocument/2006/relationships/hyperlink" Target="http://www.gooood.ru/components/com_virtuemart/shop_image/product/good/82-9558big.jpg" TargetMode="External"/><Relationship Id="rId1117" Type="http://schemas.openxmlformats.org/officeDocument/2006/relationships/hyperlink" Target="http://www.gooood.ru/components/com_virtuemart/shop_image/product/ton/T-TS-066big.jpg" TargetMode="External"/><Relationship Id="rId1324" Type="http://schemas.openxmlformats.org/officeDocument/2006/relationships/hyperlink" Target="http://www.gooood.ru/components/com_virtuemart/shop_image/product/good/34-530b.jpg" TargetMode="External"/><Relationship Id="rId1531" Type="http://schemas.openxmlformats.org/officeDocument/2006/relationships/hyperlink" Target="http://www.gooood.ru/components/com_virtuemart/shop_image/product/ton/T-TS-074big.jpg" TargetMode="External"/><Relationship Id="rId1769" Type="http://schemas.openxmlformats.org/officeDocument/2006/relationships/hyperlink" Target="http://www.gooood.ru/components/com_virtuemart/shop_image/product/good/36-519big.jpg" TargetMode="External"/><Relationship Id="rId1976" Type="http://schemas.openxmlformats.org/officeDocument/2006/relationships/hyperlink" Target="http://www.gooood.ru/components/com_virtuemart/shop_image/product/good/35-1652big.jpg" TargetMode="External"/><Relationship Id="rId30" Type="http://schemas.openxmlformats.org/officeDocument/2006/relationships/image" Target="../media/image16.jpeg"/><Relationship Id="rId1629" Type="http://schemas.openxmlformats.org/officeDocument/2006/relationships/hyperlink" Target="http://www.gooood.ru/components/com_virtuemart/shop_image/product/good/40-1610big.jpg" TargetMode="External"/><Relationship Id="rId1836" Type="http://schemas.openxmlformats.org/officeDocument/2006/relationships/hyperlink" Target="http://www.gooood.ru/components/com_virtuemart/shop_image/product/good/36-1577big.jpg" TargetMode="External"/><Relationship Id="rId1903" Type="http://schemas.openxmlformats.org/officeDocument/2006/relationships/hyperlink" Target="http://www.gooood.ru/components/com_virtuemart/shop_image/product/good/35-1530big.jpg" TargetMode="External"/><Relationship Id="rId2098" Type="http://schemas.openxmlformats.org/officeDocument/2006/relationships/image" Target="../media/image916.jpeg"/><Relationship Id="rId277" Type="http://schemas.openxmlformats.org/officeDocument/2006/relationships/hyperlink" Target="http://www.gooood.ru/pictures/katalog/05_1/14-1514b.jpg" TargetMode="External"/><Relationship Id="rId484" Type="http://schemas.openxmlformats.org/officeDocument/2006/relationships/hyperlink" Target="http://www.gooood.ru/components/com_virtuemart/shop_image/product/good/14-1525big.jpg" TargetMode="External"/><Relationship Id="rId137" Type="http://schemas.openxmlformats.org/officeDocument/2006/relationships/image" Target="../media/image59.jpeg"/><Relationship Id="rId344" Type="http://schemas.openxmlformats.org/officeDocument/2006/relationships/hyperlink" Target="http://www.gooood.ru/components/com_virtuemart/shop_image/product/ton/T-RLS-033-Lb.jpg" TargetMode="External"/><Relationship Id="rId691" Type="http://schemas.openxmlformats.org/officeDocument/2006/relationships/hyperlink" Target="http://www.gooood.ru/pictures/katalog/05_1/34-173b.jpg" TargetMode="External"/><Relationship Id="rId789" Type="http://schemas.openxmlformats.org/officeDocument/2006/relationships/image" Target="../media/image342.jpeg"/><Relationship Id="rId996" Type="http://schemas.openxmlformats.org/officeDocument/2006/relationships/hyperlink" Target="http://www.gooood.ru/components/com_virtuemart/shop_image/product/ton/T-LS-020b.jpg" TargetMode="External"/><Relationship Id="rId2025" Type="http://schemas.openxmlformats.org/officeDocument/2006/relationships/hyperlink" Target="http://www.gooood.ru/pictures/katalog/05_1/35-170b.jpg" TargetMode="External"/><Relationship Id="rId551" Type="http://schemas.openxmlformats.org/officeDocument/2006/relationships/hyperlink" Target="http://www.gooood.ru/components/com_virtuemart/shop_image/product/good/34-2508big.jpg" TargetMode="External"/><Relationship Id="rId649" Type="http://schemas.openxmlformats.org/officeDocument/2006/relationships/image" Target="../media/image275.jpeg"/><Relationship Id="rId856" Type="http://schemas.openxmlformats.org/officeDocument/2006/relationships/image" Target="../media/image371.jpeg"/><Relationship Id="rId1181" Type="http://schemas.openxmlformats.org/officeDocument/2006/relationships/hyperlink" Target="http://www.gooood.ru/components/com_virtuemart/shop_image/product/good/52-1530b.jpg" TargetMode="External"/><Relationship Id="rId1279" Type="http://schemas.openxmlformats.org/officeDocument/2006/relationships/hyperlink" Target="http://www.gooood.ru/components/com_virtuemart/shop_image/product/good/36-2584big.jpg" TargetMode="External"/><Relationship Id="rId1486" Type="http://schemas.openxmlformats.org/officeDocument/2006/relationships/image" Target="../media/image644.jpeg"/><Relationship Id="rId204" Type="http://schemas.openxmlformats.org/officeDocument/2006/relationships/hyperlink" Target="http://www.gooood.ru/pictures/katalog/05_1/14-1508b.jpg" TargetMode="External"/><Relationship Id="rId411" Type="http://schemas.openxmlformats.org/officeDocument/2006/relationships/hyperlink" Target="http://www.gooood.ru/components/com_virtuemart/shop_image/product/ton/T-TS-047b.jpg" TargetMode="External"/><Relationship Id="rId509" Type="http://schemas.openxmlformats.org/officeDocument/2006/relationships/hyperlink" Target="http://www.gooood.ru/components/com_virtuemart/shop_image/product/ton/T-TS-049-Ibig.jpg" TargetMode="External"/><Relationship Id="rId1041" Type="http://schemas.openxmlformats.org/officeDocument/2006/relationships/hyperlink" Target="http://www.gooood.ru/components/com_virtuemart/shop_image/product/ton/T-TS-064-Gbig.jpg" TargetMode="External"/><Relationship Id="rId1139" Type="http://schemas.openxmlformats.org/officeDocument/2006/relationships/hyperlink" Target="http://www.gooood.ru/components/com_virtuemart/shop_image/product/sexylife/SL-NI-M-6.jpg" TargetMode="External"/><Relationship Id="rId1346" Type="http://schemas.openxmlformats.org/officeDocument/2006/relationships/image" Target="../media/image583.jpeg"/><Relationship Id="rId1693" Type="http://schemas.openxmlformats.org/officeDocument/2006/relationships/image" Target="../media/image741.jpeg"/><Relationship Id="rId1998" Type="http://schemas.openxmlformats.org/officeDocument/2006/relationships/hyperlink" Target="http://www.gooood.ru/components/com_virtuemart/shop_image/product/good/28-7503big.jpg" TargetMode="External"/><Relationship Id="rId716" Type="http://schemas.openxmlformats.org/officeDocument/2006/relationships/image" Target="../media/image306.jpeg"/><Relationship Id="rId923" Type="http://schemas.openxmlformats.org/officeDocument/2006/relationships/hyperlink" Target="http://www.gooood.ru/components/com_virtuemart/shop_image/product/good/34-207big.jpg" TargetMode="External"/><Relationship Id="rId1553" Type="http://schemas.openxmlformats.org/officeDocument/2006/relationships/hyperlink" Target="http://www.gooood.ru/components/com_virtuemart/shop_image/product/good/34-9611big.jpg" TargetMode="External"/><Relationship Id="rId1760" Type="http://schemas.openxmlformats.org/officeDocument/2006/relationships/hyperlink" Target="http://www.gooood.ru/components/com_virtuemart/shop_image/product/good/14-1617big.jpg" TargetMode="External"/><Relationship Id="rId1858" Type="http://schemas.openxmlformats.org/officeDocument/2006/relationships/hyperlink" Target="http://www.gooood.ru/components/com_virtuemart/shop_image/product/good/34-2633big.jpg" TargetMode="External"/><Relationship Id="rId52" Type="http://schemas.openxmlformats.org/officeDocument/2006/relationships/hyperlink" Target="http://www.gooood.ru/pictures/katalog/05_1/28-515b.jpg" TargetMode="External"/><Relationship Id="rId1206" Type="http://schemas.openxmlformats.org/officeDocument/2006/relationships/image" Target="../media/image523.jpeg"/><Relationship Id="rId1413" Type="http://schemas.openxmlformats.org/officeDocument/2006/relationships/hyperlink" Target="http://www.gooood.ru/components/com_virtuemart/shop_image/product/dodo/D-1447-19big.jpg" TargetMode="External"/><Relationship Id="rId1620" Type="http://schemas.openxmlformats.org/officeDocument/2006/relationships/hyperlink" Target="http://www.gooood.ru/components/com_virtuemart/shop_image/product/shark/K-11big.jpg" TargetMode="External"/><Relationship Id="rId1718" Type="http://schemas.openxmlformats.org/officeDocument/2006/relationships/image" Target="../media/image766.jpeg"/><Relationship Id="rId1925" Type="http://schemas.openxmlformats.org/officeDocument/2006/relationships/hyperlink" Target="http://www.gooood.ru/components/com_virtuemart/shop_image/product/good/35-7641big.jpg" TargetMode="External"/><Relationship Id="rId299" Type="http://schemas.openxmlformats.org/officeDocument/2006/relationships/image" Target="../media/image138.jpeg"/><Relationship Id="rId159" Type="http://schemas.openxmlformats.org/officeDocument/2006/relationships/image" Target="../media/image70.jpeg"/><Relationship Id="rId366" Type="http://schemas.openxmlformats.org/officeDocument/2006/relationships/hyperlink" Target="http://www.gooood.ru/components/com_virtuemart/shop_image/product/ton/T-TS-030-Lb.jpg" TargetMode="External"/><Relationship Id="rId573" Type="http://schemas.openxmlformats.org/officeDocument/2006/relationships/image" Target="../media/image241.jpeg"/><Relationship Id="rId780" Type="http://schemas.openxmlformats.org/officeDocument/2006/relationships/hyperlink" Target="http://www.gooood.ru/components/com_virtuemart/shop_image/product/dodo/D-323-05b.jpg" TargetMode="External"/><Relationship Id="rId2047" Type="http://schemas.openxmlformats.org/officeDocument/2006/relationships/hyperlink" Target="http://www.gooood.ru/components/com_virtuemart/shop_image/product/good/36-8660big.jpg" TargetMode="External"/><Relationship Id="rId226" Type="http://schemas.openxmlformats.org/officeDocument/2006/relationships/hyperlink" Target="http://www.gooood.ru/pictures/katalog/05_1/50-1509b.jpg" TargetMode="External"/><Relationship Id="rId433" Type="http://schemas.openxmlformats.org/officeDocument/2006/relationships/hyperlink" Target="http://www.gooood.ru/components/com_virtuemart/shop_image/product/good/34-1520big.jpg" TargetMode="External"/><Relationship Id="rId878" Type="http://schemas.openxmlformats.org/officeDocument/2006/relationships/hyperlink" Target="http://www.gooood.ru/components/com_virtuemart/shop_image/product/good/42-427big.jpg" TargetMode="External"/><Relationship Id="rId1063" Type="http://schemas.openxmlformats.org/officeDocument/2006/relationships/hyperlink" Target="http://www.gooood.ru/components/com_virtuemart/shop_image/product/b-rich/BR-712-11b.jpg" TargetMode="External"/><Relationship Id="rId1270" Type="http://schemas.openxmlformats.org/officeDocument/2006/relationships/hyperlink" Target="http://www.gooood.ru/components/com_virtuemart/shop_image/product/good/22-422big.jpg" TargetMode="External"/><Relationship Id="rId2114" Type="http://schemas.openxmlformats.org/officeDocument/2006/relationships/hyperlink" Target="http://www.gooood.ru/components/com_virtuemart/shop_image/product/good/14-1645big.jpg" TargetMode="External"/><Relationship Id="rId640" Type="http://schemas.openxmlformats.org/officeDocument/2006/relationships/hyperlink" Target="http://www.gooood.ru/components/com_virtuemart/shop_image/product/good/34-257big.jpg" TargetMode="External"/><Relationship Id="rId738" Type="http://schemas.openxmlformats.org/officeDocument/2006/relationships/image" Target="../media/image317.jpeg"/><Relationship Id="rId945" Type="http://schemas.openxmlformats.org/officeDocument/2006/relationships/hyperlink" Target="http://www.gooood.ru/components/com_virtuemart/shop_image/product/good/56-1545b.jpg" TargetMode="External"/><Relationship Id="rId1368" Type="http://schemas.openxmlformats.org/officeDocument/2006/relationships/image" Target="../media/image591.jpeg"/><Relationship Id="rId1575" Type="http://schemas.openxmlformats.org/officeDocument/2006/relationships/hyperlink" Target="http://www.gooood.ru/components/com_virtuemart/shop_image/product/good/14-5614big.jpg" TargetMode="External"/><Relationship Id="rId1782" Type="http://schemas.openxmlformats.org/officeDocument/2006/relationships/image" Target="../media/image792.jpeg"/><Relationship Id="rId74" Type="http://schemas.openxmlformats.org/officeDocument/2006/relationships/hyperlink" Target="http://www.gooood.ru/pictures/katalog/05_1/34-172b.jpg" TargetMode="External"/><Relationship Id="rId500" Type="http://schemas.openxmlformats.org/officeDocument/2006/relationships/hyperlink" Target="http://www.gooood.ru/components/com_virtuemart/shop_image/product/dodo/D-471-1601b.jpg" TargetMode="External"/><Relationship Id="rId805" Type="http://schemas.openxmlformats.org/officeDocument/2006/relationships/image" Target="../media/image350.jpeg"/><Relationship Id="rId1130" Type="http://schemas.openxmlformats.org/officeDocument/2006/relationships/image" Target="../media/image489.jpeg"/><Relationship Id="rId1228" Type="http://schemas.openxmlformats.org/officeDocument/2006/relationships/image" Target="../media/image534.jpeg"/><Relationship Id="rId1435" Type="http://schemas.openxmlformats.org/officeDocument/2006/relationships/hyperlink" Target="http://www.gooood.ru/components/com_virtuemart/shop_image/product/good/14-1602big.jpg" TargetMode="External"/><Relationship Id="rId1642" Type="http://schemas.openxmlformats.org/officeDocument/2006/relationships/hyperlink" Target="http://www.gooood.ru/components/com_virtuemart/shop_image/product/good/34-9584big.jpg" TargetMode="External"/><Relationship Id="rId1947" Type="http://schemas.openxmlformats.org/officeDocument/2006/relationships/image" Target="../media/image861.jpeg"/><Relationship Id="rId1502" Type="http://schemas.openxmlformats.org/officeDocument/2006/relationships/hyperlink" Target="http://www.gooood.ru/components/com_virtuemart/shop_image/product/good/28-449big.jpg" TargetMode="External"/><Relationship Id="rId1807" Type="http://schemas.openxmlformats.org/officeDocument/2006/relationships/image" Target="../media/image803.jpeg"/><Relationship Id="rId290" Type="http://schemas.openxmlformats.org/officeDocument/2006/relationships/image" Target="../media/image134.jpeg"/><Relationship Id="rId388" Type="http://schemas.openxmlformats.org/officeDocument/2006/relationships/image" Target="../media/image158.jpeg"/><Relationship Id="rId2069" Type="http://schemas.openxmlformats.org/officeDocument/2006/relationships/image" Target="../media/image904.jpeg"/><Relationship Id="rId150" Type="http://schemas.openxmlformats.org/officeDocument/2006/relationships/hyperlink" Target="http://www.gooood.ru/pictures/katalog/05_1/14-130b.jpg" TargetMode="External"/><Relationship Id="rId595" Type="http://schemas.openxmlformats.org/officeDocument/2006/relationships/image" Target="../media/image252.jpeg"/><Relationship Id="rId248" Type="http://schemas.openxmlformats.org/officeDocument/2006/relationships/image" Target="../media/image114.jpeg"/><Relationship Id="rId455" Type="http://schemas.openxmlformats.org/officeDocument/2006/relationships/image" Target="../media/image184.jpeg"/><Relationship Id="rId662" Type="http://schemas.openxmlformats.org/officeDocument/2006/relationships/hyperlink" Target="http://www.gooood.ru/components/com_virtuemart/shop_image/product/ton/T-TS-052b.jpg" TargetMode="External"/><Relationship Id="rId1085" Type="http://schemas.openxmlformats.org/officeDocument/2006/relationships/hyperlink" Target="http://www.gooood.ru/components/com_virtuemart/shop_image/product/good/28-3578big.jpg" TargetMode="External"/><Relationship Id="rId1292" Type="http://schemas.openxmlformats.org/officeDocument/2006/relationships/image" Target="../media/image564.jpeg"/><Relationship Id="rId108" Type="http://schemas.openxmlformats.org/officeDocument/2006/relationships/hyperlink" Target="http://www.gooood.ru/pictures/katalog/05_1/11-418b.jpg" TargetMode="External"/><Relationship Id="rId315" Type="http://schemas.openxmlformats.org/officeDocument/2006/relationships/image" Target="../media/image144.jpeg"/><Relationship Id="rId522" Type="http://schemas.openxmlformats.org/officeDocument/2006/relationships/hyperlink" Target="http://www.gooood.ru/components/com_virtuemart/shop_image/product/good/14-9504big.jpg" TargetMode="External"/><Relationship Id="rId967" Type="http://schemas.openxmlformats.org/officeDocument/2006/relationships/hyperlink" Target="http://www.gooood.ru/components/com_virtuemart/shop_image/product/good/14-6532big.jpg" TargetMode="External"/><Relationship Id="rId1152" Type="http://schemas.openxmlformats.org/officeDocument/2006/relationships/image" Target="../media/image500.jpeg"/><Relationship Id="rId1597" Type="http://schemas.openxmlformats.org/officeDocument/2006/relationships/hyperlink" Target="http://www.gooood.ru/components/com_virtuemart/shop_image/product/good/14-496big.jpg" TargetMode="External"/><Relationship Id="rId96" Type="http://schemas.openxmlformats.org/officeDocument/2006/relationships/hyperlink" Target="http://www.gooood.ru/components/com_virtuemart/shop_image/product/e-art/a-107b.jpg" TargetMode="External"/><Relationship Id="rId827" Type="http://schemas.openxmlformats.org/officeDocument/2006/relationships/image" Target="../media/image361.jpeg"/><Relationship Id="rId1012" Type="http://schemas.openxmlformats.org/officeDocument/2006/relationships/hyperlink" Target="http://www.gooood.ru/components/com_virtuemart/shop_image/product/good/44-2571big.jpg" TargetMode="External"/><Relationship Id="rId1457" Type="http://schemas.openxmlformats.org/officeDocument/2006/relationships/hyperlink" Target="http://www.gooood.ru/components/com_virtuemart/shop_image/product/ton/T-WS-002big.jpg" TargetMode="External"/><Relationship Id="rId1664" Type="http://schemas.openxmlformats.org/officeDocument/2006/relationships/hyperlink" Target="http://www.gooood.ru/components/com_virtuemart/shop_image/product/glookoraund/G-34-101big.jpg" TargetMode="External"/><Relationship Id="rId1871" Type="http://schemas.openxmlformats.org/officeDocument/2006/relationships/image" Target="../media/image831.jpeg"/><Relationship Id="rId1317" Type="http://schemas.openxmlformats.org/officeDocument/2006/relationships/hyperlink" Target="http://www.gooood.ru/components/com_virtuemart/shop_image/product/good/36-1501b.jpg" TargetMode="External"/><Relationship Id="rId1524" Type="http://schemas.openxmlformats.org/officeDocument/2006/relationships/image" Target="../media/image662.jpeg"/><Relationship Id="rId1731" Type="http://schemas.openxmlformats.org/officeDocument/2006/relationships/image" Target="../media/image779.jpeg"/><Relationship Id="rId1969" Type="http://schemas.openxmlformats.org/officeDocument/2006/relationships/hyperlink" Target="http://www.gooood.ru/components/com_virtuemart/shop_image/product/good/35-1645big.jpg" TargetMode="External"/><Relationship Id="rId23" Type="http://schemas.openxmlformats.org/officeDocument/2006/relationships/hyperlink" Target="http://www.gooood.ru/pictures/katalog/05_1/14-160b.jpg" TargetMode="External"/><Relationship Id="rId1829" Type="http://schemas.openxmlformats.org/officeDocument/2006/relationships/image" Target="../media/image814.jpeg"/><Relationship Id="rId172" Type="http://schemas.openxmlformats.org/officeDocument/2006/relationships/hyperlink" Target="http://www.gooood.ru/components/com_virtuemart/shop_image/product/nmnh/77-vw-229-gb.jpg" TargetMode="External"/><Relationship Id="rId477" Type="http://schemas.openxmlformats.org/officeDocument/2006/relationships/image" Target="../media/image195.jpeg"/><Relationship Id="rId684" Type="http://schemas.openxmlformats.org/officeDocument/2006/relationships/image" Target="../media/image291.jpeg"/><Relationship Id="rId2060" Type="http://schemas.openxmlformats.org/officeDocument/2006/relationships/hyperlink" Target="http://www.gooood.ru/components/com_virtuemart/shop_image/product/ton/T-TS-082big.jpg" TargetMode="External"/><Relationship Id="rId337" Type="http://schemas.openxmlformats.org/officeDocument/2006/relationships/image" Target="../media/image151.jpeg"/><Relationship Id="rId891" Type="http://schemas.openxmlformats.org/officeDocument/2006/relationships/hyperlink" Target="http://www.gooood.ru/components/com_virtuemart/shop_image/product/good/81-1545big.jpg" TargetMode="External"/><Relationship Id="rId989" Type="http://schemas.openxmlformats.org/officeDocument/2006/relationships/hyperlink" Target="http://www.gooood.ru/components/com_virtuemart/shop_image/product/good/34-5564big.jpg" TargetMode="External"/><Relationship Id="rId2018" Type="http://schemas.openxmlformats.org/officeDocument/2006/relationships/hyperlink" Target="http://www.gooood.ru/components/com_virtuemart/shop_image/product/good/12-5647big.jpg" TargetMode="External"/><Relationship Id="rId544" Type="http://schemas.openxmlformats.org/officeDocument/2006/relationships/hyperlink" Target="http://www.gooood.ru/components/com_virtuemart/shop_image/product/good/14-501SGbig.jpg" TargetMode="External"/><Relationship Id="rId751" Type="http://schemas.openxmlformats.org/officeDocument/2006/relationships/hyperlink" Target="http://www.gooood.ru/components/com_virtuemart/shop_image/product/handmade/sg-033-3b.jpg" TargetMode="External"/><Relationship Id="rId849" Type="http://schemas.openxmlformats.org/officeDocument/2006/relationships/hyperlink" Target="http://www.gooood.ru/components/com_virtuemart/shop_image/product/good/36-1543big.jpg" TargetMode="External"/><Relationship Id="rId1174" Type="http://schemas.openxmlformats.org/officeDocument/2006/relationships/hyperlink" Target="http://www.gooood.ru/components/com_virtuemart/shop_image/product/good/38-3541big.jpg" TargetMode="External"/><Relationship Id="rId1381" Type="http://schemas.openxmlformats.org/officeDocument/2006/relationships/hyperlink" Target="http://www.gooood.ru/components/com_virtuemart/shop_image/product/good/14-1598big.jpg" TargetMode="External"/><Relationship Id="rId1479" Type="http://schemas.openxmlformats.org/officeDocument/2006/relationships/hyperlink" Target="http://www.gooood.ru/components/com_virtuemart/shop_image/product/ton/T-JH-038-01big.jpg" TargetMode="External"/><Relationship Id="rId1686" Type="http://schemas.openxmlformats.org/officeDocument/2006/relationships/image" Target="../media/image734.jpeg"/><Relationship Id="rId404" Type="http://schemas.openxmlformats.org/officeDocument/2006/relationships/image" Target="../media/image163.jpeg"/><Relationship Id="rId611" Type="http://schemas.openxmlformats.org/officeDocument/2006/relationships/image" Target="../media/image259.jpeg"/><Relationship Id="rId1034" Type="http://schemas.openxmlformats.org/officeDocument/2006/relationships/image" Target="../media/image447.jpeg"/><Relationship Id="rId1241" Type="http://schemas.openxmlformats.org/officeDocument/2006/relationships/hyperlink" Target="http://www.gooood.ru/components/com_virtuemart/shop_image/product/dodo/D-1201-01big.jpg" TargetMode="External"/><Relationship Id="rId1339" Type="http://schemas.openxmlformats.org/officeDocument/2006/relationships/hyperlink" Target="http://www.gooood.ru/components/com_virtuemart/shop_image/product/good/14-1595big.jpg" TargetMode="External"/><Relationship Id="rId1893" Type="http://schemas.openxmlformats.org/officeDocument/2006/relationships/image" Target="../media/image838.jpeg"/><Relationship Id="rId709" Type="http://schemas.openxmlformats.org/officeDocument/2006/relationships/image" Target="../media/image303.jpeg"/><Relationship Id="rId916" Type="http://schemas.openxmlformats.org/officeDocument/2006/relationships/hyperlink" Target="http://www.gooood.ru/components/com_virtuemart/shop_image/product/yantra/80-14-110big.jpg" TargetMode="External"/><Relationship Id="rId1101" Type="http://schemas.openxmlformats.org/officeDocument/2006/relationships/hyperlink" Target="http://www.gooood.ru/components/com_virtuemart/shop_image/product/good/87-227big.jpg" TargetMode="External"/><Relationship Id="rId1546" Type="http://schemas.openxmlformats.org/officeDocument/2006/relationships/hyperlink" Target="http://www.gooood.ru/components/com_virtuemart/shop_image/product/shark/K-05big.jpg" TargetMode="External"/><Relationship Id="rId1753" Type="http://schemas.openxmlformats.org/officeDocument/2006/relationships/hyperlink" Target="http://www.gooood.ru/components/com_virtuemart/shop_image/product/good/45-938big.jpg" TargetMode="External"/><Relationship Id="rId1960" Type="http://schemas.openxmlformats.org/officeDocument/2006/relationships/hyperlink" Target="http://www.gooood.ru/components/com_virtuemart/shop_image/product/good/14-3620big.jpg" TargetMode="External"/><Relationship Id="rId45" Type="http://schemas.openxmlformats.org/officeDocument/2006/relationships/hyperlink" Target="http://www.gooood.ru/pictures/katalog/05_1/14-938b.jpg" TargetMode="External"/><Relationship Id="rId1406" Type="http://schemas.openxmlformats.org/officeDocument/2006/relationships/image" Target="../media/image610.jpeg"/><Relationship Id="rId1613" Type="http://schemas.openxmlformats.org/officeDocument/2006/relationships/hyperlink" Target="http://www.gooood.ru/components/com_virtuemart/shop_image/product/good/14-1570-Kbig.jpg" TargetMode="External"/><Relationship Id="rId1820" Type="http://schemas.openxmlformats.org/officeDocument/2006/relationships/hyperlink" Target="http://www.gooood.ru/components/com_virtuemart/shop_image/product/cap/C-531Hbig.jpg" TargetMode="External"/><Relationship Id="rId194" Type="http://schemas.openxmlformats.org/officeDocument/2006/relationships/hyperlink" Target="http://www.gooood.ru/pictures/katalog/05_1/44-1502b.jpg" TargetMode="External"/><Relationship Id="rId1918" Type="http://schemas.openxmlformats.org/officeDocument/2006/relationships/hyperlink" Target="http://www.gooood.ru/components/com_virtuemart/shop_image/product/good/28-549big.jpg" TargetMode="External"/><Relationship Id="rId2082" Type="http://schemas.openxmlformats.org/officeDocument/2006/relationships/image" Target="../media/image910.jpeg"/><Relationship Id="rId261" Type="http://schemas.openxmlformats.org/officeDocument/2006/relationships/hyperlink" Target="http://www.gooood.ru/components/com_virtuemart/shop_image/product/mospheric/M-44-803b.jpg" TargetMode="External"/><Relationship Id="rId499" Type="http://schemas.openxmlformats.org/officeDocument/2006/relationships/image" Target="../media/image206.jpeg"/><Relationship Id="rId359" Type="http://schemas.openxmlformats.org/officeDocument/2006/relationships/hyperlink" Target="http://www.gooood.ru/components/com_virtuemart/shop_image/product/ton/T-TS-021b.jpg" TargetMode="External"/><Relationship Id="rId566" Type="http://schemas.openxmlformats.org/officeDocument/2006/relationships/hyperlink" Target="http://www.gooood.ru/components/com_virtuemart/shop_image/product/nmnh/77-124big.jpg" TargetMode="External"/><Relationship Id="rId773" Type="http://schemas.openxmlformats.org/officeDocument/2006/relationships/image" Target="../media/image334.jpeg"/><Relationship Id="rId1196" Type="http://schemas.openxmlformats.org/officeDocument/2006/relationships/image" Target="../media/image518.jpeg"/><Relationship Id="rId121" Type="http://schemas.openxmlformats.org/officeDocument/2006/relationships/image" Target="../media/image51.jpeg"/><Relationship Id="rId219" Type="http://schemas.openxmlformats.org/officeDocument/2006/relationships/image" Target="../media/image100.jpeg"/><Relationship Id="rId426" Type="http://schemas.openxmlformats.org/officeDocument/2006/relationships/hyperlink" Target="http://www.gooood.ru/pictures/katalog/05_1/42-927b.jpg" TargetMode="External"/><Relationship Id="rId633" Type="http://schemas.openxmlformats.org/officeDocument/2006/relationships/image" Target="../media/image267.jpeg"/><Relationship Id="rId980" Type="http://schemas.openxmlformats.org/officeDocument/2006/relationships/image" Target="../media/image424.jpeg"/><Relationship Id="rId1056" Type="http://schemas.openxmlformats.org/officeDocument/2006/relationships/hyperlink" Target="http://www.gooood.ru/components/com_virtuemart/shop_image/product/good/34-7573big.jpg" TargetMode="External"/><Relationship Id="rId1263" Type="http://schemas.openxmlformats.org/officeDocument/2006/relationships/hyperlink" Target="http://www.gooood.ru/components/com_virtuemart/shop_image/product/good/14-1587big.jpg" TargetMode="External"/><Relationship Id="rId2107" Type="http://schemas.openxmlformats.org/officeDocument/2006/relationships/hyperlink" Target="http://www.gooood.ru/components/com_virtuemart/shop_image/product/good/14-1675big.jpg" TargetMode="External"/><Relationship Id="rId840" Type="http://schemas.openxmlformats.org/officeDocument/2006/relationships/hyperlink" Target="http://www.gooood.ru/components/com_virtuemart/shop_image/product/good/14-1542big.jpg" TargetMode="External"/><Relationship Id="rId938" Type="http://schemas.openxmlformats.org/officeDocument/2006/relationships/hyperlink" Target="http://www.gooood.ru/components/com_virtuemart/shop_image/product/good/36-1566big.jpg" TargetMode="External"/><Relationship Id="rId1470" Type="http://schemas.openxmlformats.org/officeDocument/2006/relationships/hyperlink" Target="http://www.gooood.ru/components/com_virtuemart/shop_image/product/ton/T-LS-031b.jpg" TargetMode="External"/><Relationship Id="rId1568" Type="http://schemas.openxmlformats.org/officeDocument/2006/relationships/image" Target="../media/image680.jpeg"/><Relationship Id="rId1775" Type="http://schemas.openxmlformats.org/officeDocument/2006/relationships/hyperlink" Target="http://www.gooood.ru/components/com_virtuemart/shop_image/product/good/14-9625-Kbig.jpg" TargetMode="External"/><Relationship Id="rId67" Type="http://schemas.openxmlformats.org/officeDocument/2006/relationships/hyperlink" Target="http://www.gooood.ru/pictures/katalog/05_1/34-121b.jpg" TargetMode="External"/><Relationship Id="rId700" Type="http://schemas.openxmlformats.org/officeDocument/2006/relationships/hyperlink" Target="http://www.gooood.ru/components/com_virtuemart/shop_image/product/good/34-1540big.jpg" TargetMode="External"/><Relationship Id="rId1123" Type="http://schemas.openxmlformats.org/officeDocument/2006/relationships/hyperlink" Target="http://www.gooood.ru/components/com_virtuemart/shop_image/product/good/64-357big.jpg" TargetMode="External"/><Relationship Id="rId1330" Type="http://schemas.openxmlformats.org/officeDocument/2006/relationships/image" Target="../media/image577.jpeg"/><Relationship Id="rId1428" Type="http://schemas.openxmlformats.org/officeDocument/2006/relationships/image" Target="../media/image621.jpeg"/><Relationship Id="rId1635" Type="http://schemas.openxmlformats.org/officeDocument/2006/relationships/hyperlink" Target="http://www.gooood.ru/components/com_virtuemart/shop_image/product/good/14-4620big.jpg" TargetMode="External"/><Relationship Id="rId1982" Type="http://schemas.openxmlformats.org/officeDocument/2006/relationships/hyperlink" Target="http://www.gooood.ru/components/com_virtuemart/shop_image/product/good/28-7648big.jpg" TargetMode="External"/><Relationship Id="rId1842" Type="http://schemas.openxmlformats.org/officeDocument/2006/relationships/hyperlink" Target="http://www.gooood.ru/components/com_virtuemart/shop_image/product/accessories/MK-002big.jpg" TargetMode="External"/><Relationship Id="rId1702" Type="http://schemas.openxmlformats.org/officeDocument/2006/relationships/image" Target="../media/image750.jpeg"/><Relationship Id="rId283" Type="http://schemas.openxmlformats.org/officeDocument/2006/relationships/hyperlink" Target="http://www.gooood.ru/pictures/katalog/05_1/54-9514b.jpg" TargetMode="External"/><Relationship Id="rId490" Type="http://schemas.openxmlformats.org/officeDocument/2006/relationships/hyperlink" Target="http://www.gooood.ru/components/com_virtuemart/shop_image/product/dodo/D-470-05b.jpg" TargetMode="External"/><Relationship Id="rId143" Type="http://schemas.openxmlformats.org/officeDocument/2006/relationships/image" Target="../media/image62.jpeg"/><Relationship Id="rId350" Type="http://schemas.openxmlformats.org/officeDocument/2006/relationships/hyperlink" Target="http://www.gooood.ru/components/com_virtuemart/shop_image/product/ton/T-TS-004b.jpg" TargetMode="External"/><Relationship Id="rId588" Type="http://schemas.openxmlformats.org/officeDocument/2006/relationships/hyperlink" Target="http://www.gooood.ru/components/com_virtuemart/shop_image/product/nmnh/77-Pc40Cbig.jpg" TargetMode="External"/><Relationship Id="rId795" Type="http://schemas.openxmlformats.org/officeDocument/2006/relationships/image" Target="../media/image345.jpeg"/><Relationship Id="rId2031" Type="http://schemas.openxmlformats.org/officeDocument/2006/relationships/image" Target="../media/image894.jpeg"/><Relationship Id="rId9" Type="http://schemas.openxmlformats.org/officeDocument/2006/relationships/hyperlink" Target="http://www.gooood.ru/pictures/katalog/05_1/14-119b.jpg" TargetMode="External"/><Relationship Id="rId210" Type="http://schemas.openxmlformats.org/officeDocument/2006/relationships/hyperlink" Target="http://www.gooood.ru/pictures/katalog/05_1/28-3503b.jpg" TargetMode="External"/><Relationship Id="rId448" Type="http://schemas.openxmlformats.org/officeDocument/2006/relationships/hyperlink" Target="http://www.gooood.ru/pictures/katalog/05_1/34-144b.jpg" TargetMode="External"/><Relationship Id="rId655" Type="http://schemas.openxmlformats.org/officeDocument/2006/relationships/image" Target="../media/image278.jpeg"/><Relationship Id="rId862" Type="http://schemas.openxmlformats.org/officeDocument/2006/relationships/hyperlink" Target="http://www.gooood.ru/components/com_virtuemart/shop_image/product/rw/RW-22-02big.jpg" TargetMode="External"/><Relationship Id="rId1078" Type="http://schemas.openxmlformats.org/officeDocument/2006/relationships/hyperlink" Target="http://www.gooood.ru/components/com_virtuemart/shop_image/product/dodo/D-602-01b.jpg" TargetMode="External"/><Relationship Id="rId1285" Type="http://schemas.openxmlformats.org/officeDocument/2006/relationships/hyperlink" Target="http://www.gooood.ru/components/com_virtuemart/shop_image/product/ton/T-TS-068big.jpg" TargetMode="External"/><Relationship Id="rId1492" Type="http://schemas.openxmlformats.org/officeDocument/2006/relationships/image" Target="../media/image647.jpeg"/><Relationship Id="rId2129" Type="http://schemas.openxmlformats.org/officeDocument/2006/relationships/hyperlink" Target="http://www.gooood.ru/components/com_virtuemart/shop_image/product/good/14-1671big.jpg" TargetMode="External"/><Relationship Id="rId308" Type="http://schemas.openxmlformats.org/officeDocument/2006/relationships/hyperlink" Target="http://www.gooood.ru/components/com_virtuemart/shop_image/product/ton/T-NLS-004b.jpg" TargetMode="External"/><Relationship Id="rId515" Type="http://schemas.openxmlformats.org/officeDocument/2006/relationships/image" Target="../media/image213.jpeg"/><Relationship Id="rId722" Type="http://schemas.openxmlformats.org/officeDocument/2006/relationships/image" Target="../media/image309.jpeg"/><Relationship Id="rId1145" Type="http://schemas.openxmlformats.org/officeDocument/2006/relationships/hyperlink" Target="http://www.gooood.ru/components/com_virtuemart/shop_image/product/sexylife/SL-NI-M-9.jpg" TargetMode="External"/><Relationship Id="rId1352" Type="http://schemas.openxmlformats.org/officeDocument/2006/relationships/hyperlink" Target="http://www.gooood.ru/components/com_virtuemart/shop_image/product/good/36-1595big.jpg" TargetMode="External"/><Relationship Id="rId1797" Type="http://schemas.openxmlformats.org/officeDocument/2006/relationships/image" Target="../media/image798.jpeg"/><Relationship Id="rId89" Type="http://schemas.openxmlformats.org/officeDocument/2006/relationships/image" Target="../media/image35.jpeg"/><Relationship Id="rId1005" Type="http://schemas.openxmlformats.org/officeDocument/2006/relationships/image" Target="../media/image435.jpeg"/><Relationship Id="rId1212" Type="http://schemas.openxmlformats.org/officeDocument/2006/relationships/image" Target="../media/image526.jpeg"/><Relationship Id="rId1657" Type="http://schemas.openxmlformats.org/officeDocument/2006/relationships/image" Target="../media/image719.jpeg"/><Relationship Id="rId1864" Type="http://schemas.openxmlformats.org/officeDocument/2006/relationships/hyperlink" Target="http://www.gooood.ru/components/com_virtuemart/shop_image/product/good/14-2634big.jpg" TargetMode="External"/><Relationship Id="rId1517" Type="http://schemas.openxmlformats.org/officeDocument/2006/relationships/image" Target="../media/image659.jpeg"/><Relationship Id="rId1724" Type="http://schemas.openxmlformats.org/officeDocument/2006/relationships/image" Target="../media/image772.jpeg"/><Relationship Id="rId16" Type="http://schemas.openxmlformats.org/officeDocument/2006/relationships/image" Target="../media/image9.jpeg"/><Relationship Id="rId1931" Type="http://schemas.openxmlformats.org/officeDocument/2006/relationships/image" Target="../media/image854.jpeg"/><Relationship Id="rId165" Type="http://schemas.openxmlformats.org/officeDocument/2006/relationships/image" Target="../media/image73.jpeg"/><Relationship Id="rId372" Type="http://schemas.openxmlformats.org/officeDocument/2006/relationships/image" Target="../media/image155.jpeg"/><Relationship Id="rId677" Type="http://schemas.openxmlformats.org/officeDocument/2006/relationships/image" Target="../media/image288.jpeg"/><Relationship Id="rId2053" Type="http://schemas.openxmlformats.org/officeDocument/2006/relationships/hyperlink" Target="http://www.gooood.ru/components/com_virtuemart/shop_image/product/good/20-9660big.jpg" TargetMode="External"/><Relationship Id="rId232" Type="http://schemas.openxmlformats.org/officeDocument/2006/relationships/hyperlink" Target="http://www.gooood.ru/pictures/katalog/05_1/45-9510b.jpg" TargetMode="External"/><Relationship Id="rId884" Type="http://schemas.openxmlformats.org/officeDocument/2006/relationships/hyperlink" Target="http://www.gooood.ru/components/com_virtuemart/shop_image/product/good/14-1560big.jpg" TargetMode="External"/><Relationship Id="rId2120" Type="http://schemas.openxmlformats.org/officeDocument/2006/relationships/image" Target="../media/image925.jpeg"/><Relationship Id="rId537" Type="http://schemas.openxmlformats.org/officeDocument/2006/relationships/image" Target="../media/image224.jpeg"/><Relationship Id="rId744" Type="http://schemas.openxmlformats.org/officeDocument/2006/relationships/image" Target="../media/image320.jpeg"/><Relationship Id="rId951" Type="http://schemas.openxmlformats.org/officeDocument/2006/relationships/image" Target="../media/image410.jpeg"/><Relationship Id="rId1167" Type="http://schemas.openxmlformats.org/officeDocument/2006/relationships/image" Target="../media/image507.jpeg"/><Relationship Id="rId1374" Type="http://schemas.openxmlformats.org/officeDocument/2006/relationships/image" Target="../media/image594.jpeg"/><Relationship Id="rId1581" Type="http://schemas.openxmlformats.org/officeDocument/2006/relationships/hyperlink" Target="http://www.gooood.ru/components/com_virtuemart/shop_image/product/good/14-9614big.jpg" TargetMode="External"/><Relationship Id="rId1679" Type="http://schemas.openxmlformats.org/officeDocument/2006/relationships/image" Target="../media/image727.jpeg"/><Relationship Id="rId80" Type="http://schemas.openxmlformats.org/officeDocument/2006/relationships/hyperlink" Target="http://www.gooood.ru/pictures/katalog/05_1/34-384b.jpg" TargetMode="External"/><Relationship Id="rId604" Type="http://schemas.openxmlformats.org/officeDocument/2006/relationships/hyperlink" Target="http://www.gooood.ru/components/com_virtuemart/shop_image/product/good/79-5528big.jpg" TargetMode="External"/><Relationship Id="rId811" Type="http://schemas.openxmlformats.org/officeDocument/2006/relationships/image" Target="../media/image353.jpeg"/><Relationship Id="rId1027" Type="http://schemas.openxmlformats.org/officeDocument/2006/relationships/hyperlink" Target="http://www.gooood.ru/components/com_virtuemart/shop_image/product/good/14-1574big.jpg" TargetMode="External"/><Relationship Id="rId1234" Type="http://schemas.openxmlformats.org/officeDocument/2006/relationships/image" Target="../media/image537.jpeg"/><Relationship Id="rId1441" Type="http://schemas.openxmlformats.org/officeDocument/2006/relationships/hyperlink" Target="http://www.gooood.ru/components/com_virtuemart/shop_image/product/good/41-3580big.jpg" TargetMode="External"/><Relationship Id="rId1886" Type="http://schemas.openxmlformats.org/officeDocument/2006/relationships/hyperlink" Target="http://www.gooood.ru/components/com_virtuemart/shop_image/product/good/14-5636big.jpg" TargetMode="External"/><Relationship Id="rId909" Type="http://schemas.openxmlformats.org/officeDocument/2006/relationships/image" Target="../media/image394.jpeg"/><Relationship Id="rId1301" Type="http://schemas.openxmlformats.org/officeDocument/2006/relationships/image" Target="../media/image568.jpeg"/><Relationship Id="rId1539" Type="http://schemas.openxmlformats.org/officeDocument/2006/relationships/hyperlink" Target="http://www.gooood.ru/components/com_virtuemart/shop_image/product/ton/T-TS-073-Lbig.jpg" TargetMode="External"/><Relationship Id="rId1746" Type="http://schemas.openxmlformats.org/officeDocument/2006/relationships/hyperlink" Target="http://www.gooood.ru/components/com_virtuemart/shop_image/product/good/14-5539big.jpg" TargetMode="External"/><Relationship Id="rId1953" Type="http://schemas.openxmlformats.org/officeDocument/2006/relationships/hyperlink" Target="http://www.gooood.ru/components/com_virtuemart/shop_image/product/shark/K-20big.jpg" TargetMode="External"/><Relationship Id="rId38" Type="http://schemas.openxmlformats.org/officeDocument/2006/relationships/image" Target="../media/image20.jpeg"/><Relationship Id="rId1606" Type="http://schemas.openxmlformats.org/officeDocument/2006/relationships/image" Target="../media/image700.jpeg"/><Relationship Id="rId1813" Type="http://schemas.openxmlformats.org/officeDocument/2006/relationships/image" Target="../media/image806.jpeg"/><Relationship Id="rId187" Type="http://schemas.openxmlformats.org/officeDocument/2006/relationships/image" Target="../media/image84.jpeg"/><Relationship Id="rId394" Type="http://schemas.openxmlformats.org/officeDocument/2006/relationships/image" Target="../media/image160.jpeg"/><Relationship Id="rId2075" Type="http://schemas.openxmlformats.org/officeDocument/2006/relationships/image" Target="../media/image907.jpeg"/><Relationship Id="rId254" Type="http://schemas.openxmlformats.org/officeDocument/2006/relationships/image" Target="../media/image117.jpeg"/><Relationship Id="rId699" Type="http://schemas.openxmlformats.org/officeDocument/2006/relationships/image" Target="../media/image298.jpeg"/><Relationship Id="rId1091" Type="http://schemas.openxmlformats.org/officeDocument/2006/relationships/hyperlink" Target="http://www.gooood.ru/components/com_virtuemart/shop_image/product/good/14-749big.jpg" TargetMode="External"/><Relationship Id="rId114" Type="http://schemas.openxmlformats.org/officeDocument/2006/relationships/hyperlink" Target="http://www.gooood.ru/components/com_virtuemart/shop_image/product/e-art/a-111b.jpg" TargetMode="External"/><Relationship Id="rId461" Type="http://schemas.openxmlformats.org/officeDocument/2006/relationships/image" Target="../media/image187.jpeg"/><Relationship Id="rId559" Type="http://schemas.openxmlformats.org/officeDocument/2006/relationships/image" Target="../media/image234.jpeg"/><Relationship Id="rId766" Type="http://schemas.openxmlformats.org/officeDocument/2006/relationships/image" Target="../media/image331.jpeg"/><Relationship Id="rId1189" Type="http://schemas.openxmlformats.org/officeDocument/2006/relationships/hyperlink" Target="http://www.gooood.ru/components/com_virtuemart/shop_image/product/dodo/D-1302-01big.jpg" TargetMode="External"/><Relationship Id="rId1396" Type="http://schemas.openxmlformats.org/officeDocument/2006/relationships/hyperlink" Target="http://www.gooood.ru/components/com_virtuemart/shop_image/product/dodo/D-1418-0401big.jpg" TargetMode="External"/><Relationship Id="rId321" Type="http://schemas.openxmlformats.org/officeDocument/2006/relationships/image" Target="../media/image146.jpeg"/><Relationship Id="rId419" Type="http://schemas.openxmlformats.org/officeDocument/2006/relationships/image" Target="../media/image169.jpeg"/><Relationship Id="rId626" Type="http://schemas.openxmlformats.org/officeDocument/2006/relationships/hyperlink" Target="http://www.gooood.ru/components/com_virtuemart/shop_image/product/good/34-128big.jpg" TargetMode="External"/><Relationship Id="rId973" Type="http://schemas.openxmlformats.org/officeDocument/2006/relationships/hyperlink" Target="http://www.gooood.ru/components/com_virtuemart/shop_image/product/good/14-5532big.jpg" TargetMode="External"/><Relationship Id="rId1049" Type="http://schemas.openxmlformats.org/officeDocument/2006/relationships/hyperlink" Target="http://www.gooood.ru/components/com_virtuemart/shop_image/product/good/14-7573big.jpg" TargetMode="External"/><Relationship Id="rId1256" Type="http://schemas.openxmlformats.org/officeDocument/2006/relationships/image" Target="../media/image548.jpeg"/><Relationship Id="rId2002" Type="http://schemas.openxmlformats.org/officeDocument/2006/relationships/hyperlink" Target="http://www.gooood.ru/components/com_virtuemart/shop_image/product/good/14-3177big.jpg" TargetMode="External"/><Relationship Id="rId833" Type="http://schemas.openxmlformats.org/officeDocument/2006/relationships/hyperlink" Target="http://www.gooood.ru/components/com_virtuemart/shop_image/product/good/14-1537big.jpg" TargetMode="External"/><Relationship Id="rId1116" Type="http://schemas.openxmlformats.org/officeDocument/2006/relationships/image" Target="../media/image483.jpeg"/><Relationship Id="rId1463" Type="http://schemas.openxmlformats.org/officeDocument/2006/relationships/hyperlink" Target="http://www.gooood.ru/components/com_virtuemart/shop_image/product/good/14-2604big.jpg" TargetMode="External"/><Relationship Id="rId1670" Type="http://schemas.openxmlformats.org/officeDocument/2006/relationships/hyperlink" Target="http://www.gooood.ru/components/com_virtuemart/shop_image/product/good/14-5614-Kbig.jpg" TargetMode="External"/><Relationship Id="rId1768" Type="http://schemas.openxmlformats.org/officeDocument/2006/relationships/hyperlink" Target="http://www.gooood.ru/components/com_virtuemart/shop_image/product/good/16-1540big.jpg" TargetMode="External"/><Relationship Id="rId900" Type="http://schemas.openxmlformats.org/officeDocument/2006/relationships/image" Target="../media/image389.jpeg"/><Relationship Id="rId1323" Type="http://schemas.openxmlformats.org/officeDocument/2006/relationships/hyperlink" Target="http://www.gooood.ru/components/com_virtuemart/shop_image/product/good/14-530b.jpg" TargetMode="External"/><Relationship Id="rId1530" Type="http://schemas.openxmlformats.org/officeDocument/2006/relationships/image" Target="../media/image665.jpeg"/><Relationship Id="rId1628" Type="http://schemas.openxmlformats.org/officeDocument/2006/relationships/image" Target="../media/image707.jpeg"/><Relationship Id="rId1975" Type="http://schemas.openxmlformats.org/officeDocument/2006/relationships/image" Target="../media/image873.jpeg"/><Relationship Id="rId1835" Type="http://schemas.openxmlformats.org/officeDocument/2006/relationships/image" Target="../media/image817.jpeg"/><Relationship Id="rId1902" Type="http://schemas.openxmlformats.org/officeDocument/2006/relationships/hyperlink" Target="http://www.gooood.ru/components/com_virtuemart/shop_image/product/good/35-141big.jpg" TargetMode="External"/><Relationship Id="rId2097" Type="http://schemas.openxmlformats.org/officeDocument/2006/relationships/image" Target="../media/image915.jpeg"/><Relationship Id="rId276" Type="http://schemas.openxmlformats.org/officeDocument/2006/relationships/image" Target="../media/image128.jpeg"/><Relationship Id="rId483" Type="http://schemas.openxmlformats.org/officeDocument/2006/relationships/image" Target="../media/image198.jpeg"/><Relationship Id="rId690" Type="http://schemas.openxmlformats.org/officeDocument/2006/relationships/image" Target="../media/image294.jpeg"/><Relationship Id="rId136" Type="http://schemas.openxmlformats.org/officeDocument/2006/relationships/hyperlink" Target="http://www.gooood.ru/components/com_virtuemart/shop_image/product/nmnh/77-wl-051b.jpg" TargetMode="External"/><Relationship Id="rId343" Type="http://schemas.openxmlformats.org/officeDocument/2006/relationships/image" Target="../media/image153.jpeg"/><Relationship Id="rId550" Type="http://schemas.openxmlformats.org/officeDocument/2006/relationships/image" Target="../media/image230.jpeg"/><Relationship Id="rId788" Type="http://schemas.openxmlformats.org/officeDocument/2006/relationships/hyperlink" Target="http://www.gooood.ru/components/com_virtuemart/shop_image/product/dodo/D-593L-05b.jpg" TargetMode="External"/><Relationship Id="rId995" Type="http://schemas.openxmlformats.org/officeDocument/2006/relationships/hyperlink" Target="http://www.gooood.ru/components/com_virtuemart/shop_image/product/good/34-1570big.jpg" TargetMode="External"/><Relationship Id="rId1180" Type="http://schemas.openxmlformats.org/officeDocument/2006/relationships/hyperlink" Target="http://www.gooood.ru/components/com_virtuemart/shop_image/product/good/30-1570big.jpg" TargetMode="External"/><Relationship Id="rId2024" Type="http://schemas.openxmlformats.org/officeDocument/2006/relationships/hyperlink" Target="http://www.gooood.ru/components/com_virtuemart/shop_image/product/good/35-1582big.jpg" TargetMode="External"/><Relationship Id="rId203" Type="http://schemas.openxmlformats.org/officeDocument/2006/relationships/image" Target="../media/image92.jpeg"/><Relationship Id="rId648" Type="http://schemas.openxmlformats.org/officeDocument/2006/relationships/hyperlink" Target="http://www.gooood.ru/components/com_virtuemart/shop_image/product/good/42-9533big.jpg" TargetMode="External"/><Relationship Id="rId855" Type="http://schemas.openxmlformats.org/officeDocument/2006/relationships/hyperlink" Target="http://www.gooood.ru/components/com_virtuemart/shop_image/product/good/14-1559big.jpg" TargetMode="External"/><Relationship Id="rId1040" Type="http://schemas.openxmlformats.org/officeDocument/2006/relationships/image" Target="../media/image450.jpeg"/><Relationship Id="rId1278" Type="http://schemas.openxmlformats.org/officeDocument/2006/relationships/hyperlink" Target="http://www.gooood.ru/components/com_virtuemart/shop_image/product/good/34-7584big.jpg" TargetMode="External"/><Relationship Id="rId1485" Type="http://schemas.openxmlformats.org/officeDocument/2006/relationships/hyperlink" Target="http://www.gooood.ru/components/com_virtuemart/shop_image/product/good/14-3508-1big.jpg" TargetMode="External"/><Relationship Id="rId1692" Type="http://schemas.openxmlformats.org/officeDocument/2006/relationships/image" Target="../media/image740.jpeg"/><Relationship Id="rId410" Type="http://schemas.openxmlformats.org/officeDocument/2006/relationships/hyperlink" Target="http://www.gooood.ru/components/com_virtuemart/shop_image/product/ton/T-LS-048-Lb.jpg" TargetMode="External"/><Relationship Id="rId508" Type="http://schemas.openxmlformats.org/officeDocument/2006/relationships/image" Target="../media/image210.jpeg"/><Relationship Id="rId715" Type="http://schemas.openxmlformats.org/officeDocument/2006/relationships/hyperlink" Target="http://www.gooood.ru/components/com_virtuemart/shop_image/product/ton/T-TS-056-Gbig.jpg" TargetMode="External"/><Relationship Id="rId922" Type="http://schemas.openxmlformats.org/officeDocument/2006/relationships/hyperlink" Target="http://www.gooood.ru/components/com_virtuemart/shop_image/product/good/34-1566big.jpg" TargetMode="External"/><Relationship Id="rId1138" Type="http://schemas.openxmlformats.org/officeDocument/2006/relationships/image" Target="../media/image493.jpeg"/><Relationship Id="rId1345" Type="http://schemas.openxmlformats.org/officeDocument/2006/relationships/hyperlink" Target="http://www.gooood.ru/components/com_virtuemart/shop_image/product/good/82-2592big.jpg" TargetMode="External"/><Relationship Id="rId1552" Type="http://schemas.openxmlformats.org/officeDocument/2006/relationships/image" Target="../media/image672.jpeg"/><Relationship Id="rId1997" Type="http://schemas.openxmlformats.org/officeDocument/2006/relationships/hyperlink" Target="http://www.gooood.ru/components/com_virtuemart/shop_image/product/good/35-2654big.jpg" TargetMode="External"/><Relationship Id="rId1205" Type="http://schemas.openxmlformats.org/officeDocument/2006/relationships/hyperlink" Target="http://www.gooood.ru/components/com_virtuemart/shop_image/product/dodo/D-415-05b.jpg" TargetMode="External"/><Relationship Id="rId1857" Type="http://schemas.openxmlformats.org/officeDocument/2006/relationships/image" Target="../media/image826.jpeg"/><Relationship Id="rId51" Type="http://schemas.openxmlformats.org/officeDocument/2006/relationships/image" Target="../media/image26.jpeg"/><Relationship Id="rId1412" Type="http://schemas.openxmlformats.org/officeDocument/2006/relationships/image" Target="../media/image613.jpeg"/><Relationship Id="rId1717" Type="http://schemas.openxmlformats.org/officeDocument/2006/relationships/image" Target="../media/image765.jpeg"/><Relationship Id="rId1924" Type="http://schemas.openxmlformats.org/officeDocument/2006/relationships/hyperlink" Target="http://www.gooood.ru/components/com_virtuemart/shop_image/product/good/35-1642big.jpg" TargetMode="External"/><Relationship Id="rId298" Type="http://schemas.openxmlformats.org/officeDocument/2006/relationships/hyperlink" Target="http://www.gooood.ru/components/com_virtuemart/shop_image/product/ton/T-LS-040b.jpg" TargetMode="External"/><Relationship Id="rId158" Type="http://schemas.openxmlformats.org/officeDocument/2006/relationships/hyperlink" Target="http://www.gooood.ru/components/com_virtuemart/shop_image/product/nmnh/77-vm-215-bb.jpg" TargetMode="External"/><Relationship Id="rId365" Type="http://schemas.openxmlformats.org/officeDocument/2006/relationships/hyperlink" Target="http://www.gooood.ru/components/com_virtuemart/shop_image/product/ton/T-TS-030b.jpg" TargetMode="External"/><Relationship Id="rId572" Type="http://schemas.openxmlformats.org/officeDocument/2006/relationships/hyperlink" Target="http://www.gooood.ru/components/com_virtuemart/shop_image/product/nmnh/77-177big.jpg" TargetMode="External"/><Relationship Id="rId2046" Type="http://schemas.openxmlformats.org/officeDocument/2006/relationships/hyperlink" Target="http://www.gooood.ru/components/com_virtuemart/shop_image/product/good/36-1660big.jpg" TargetMode="External"/><Relationship Id="rId225" Type="http://schemas.openxmlformats.org/officeDocument/2006/relationships/image" Target="../media/image103.jpeg"/><Relationship Id="rId432" Type="http://schemas.openxmlformats.org/officeDocument/2006/relationships/image" Target="../media/image174.jpeg"/><Relationship Id="rId877" Type="http://schemas.openxmlformats.org/officeDocument/2006/relationships/image" Target="../media/image379.jpeg"/><Relationship Id="rId1062" Type="http://schemas.openxmlformats.org/officeDocument/2006/relationships/image" Target="../media/image459.jpeg"/><Relationship Id="rId2113" Type="http://schemas.openxmlformats.org/officeDocument/2006/relationships/image" Target="../media/image922.jpeg"/><Relationship Id="rId737" Type="http://schemas.openxmlformats.org/officeDocument/2006/relationships/hyperlink" Target="http://www.gooood.ru/components/com_virtuemart/shop_image/product/handmade/sg-027big.jpg" TargetMode="External"/><Relationship Id="rId944" Type="http://schemas.openxmlformats.org/officeDocument/2006/relationships/hyperlink" Target="http://www.gooood.ru/components/com_virtuemart/shop_image/product/good/34-1569big.jpg" TargetMode="External"/><Relationship Id="rId1367" Type="http://schemas.openxmlformats.org/officeDocument/2006/relationships/hyperlink" Target="http://www.gooood.ru/components/com_virtuemart/shop_image/product/good/81-1591big.jpg" TargetMode="External"/><Relationship Id="rId1574" Type="http://schemas.openxmlformats.org/officeDocument/2006/relationships/image" Target="../media/image683.jpeg"/><Relationship Id="rId1781" Type="http://schemas.openxmlformats.org/officeDocument/2006/relationships/hyperlink" Target="http://www.gooood.ru/components/com_virtuemart/shop_image/product/good/14-1626big.jpg" TargetMode="External"/><Relationship Id="rId73" Type="http://schemas.openxmlformats.org/officeDocument/2006/relationships/hyperlink" Target="http://www.gooood.ru/pictures/katalog/05_1/34-170b.jpg" TargetMode="External"/><Relationship Id="rId804" Type="http://schemas.openxmlformats.org/officeDocument/2006/relationships/hyperlink" Target="http://www.gooood.ru/components/com_virtuemart/shop_image/product/good/62-3544big.jpg" TargetMode="External"/><Relationship Id="rId1227" Type="http://schemas.openxmlformats.org/officeDocument/2006/relationships/hyperlink" Target="http://www.gooood.ru/components/com_virtuemart/shop_image/product/good/14-1585big.jpg" TargetMode="External"/><Relationship Id="rId1434" Type="http://schemas.openxmlformats.org/officeDocument/2006/relationships/image" Target="../media/image623.jpeg"/><Relationship Id="rId1641" Type="http://schemas.openxmlformats.org/officeDocument/2006/relationships/image" Target="../media/image712.jpeg"/><Relationship Id="rId1879" Type="http://schemas.openxmlformats.org/officeDocument/2006/relationships/image" Target="../media/image834.jpeg"/><Relationship Id="rId1501" Type="http://schemas.openxmlformats.org/officeDocument/2006/relationships/image" Target="../media/image651.jpeg"/><Relationship Id="rId1739" Type="http://schemas.openxmlformats.org/officeDocument/2006/relationships/hyperlink" Target="http://www.gooood.ru/components/com_virtuemart/shop_image/product/good/22-1530big.jpg" TargetMode="External"/><Relationship Id="rId1946" Type="http://schemas.openxmlformats.org/officeDocument/2006/relationships/hyperlink" Target="http://www.gooood.ru/components/com_virtuemart/shop_image/product/good/35-2644big.jpg" TargetMode="External"/><Relationship Id="rId1806" Type="http://schemas.openxmlformats.org/officeDocument/2006/relationships/hyperlink" Target="http://www.gooood.ru/components/com_virtuemart/shop_image/product/cap/C-289Hbig.jpg" TargetMode="External"/><Relationship Id="rId387" Type="http://schemas.openxmlformats.org/officeDocument/2006/relationships/hyperlink" Target="http://www.gooood.ru/components/com_virtuemart/shop_image/product/ton/T-TS-043b.jpg" TargetMode="External"/><Relationship Id="rId594" Type="http://schemas.openxmlformats.org/officeDocument/2006/relationships/hyperlink" Target="http://www.gooood.ru/components/com_virtuemart/shop_image/product/nmnh/77-PcW5Bbig.jpg" TargetMode="External"/><Relationship Id="rId2068" Type="http://schemas.openxmlformats.org/officeDocument/2006/relationships/hyperlink" Target="http://www.gooood.ru/components/com_virtuemart/shop_image/product/good/14-7662big.jpg" TargetMode="External"/><Relationship Id="rId247" Type="http://schemas.openxmlformats.org/officeDocument/2006/relationships/hyperlink" Target="http://www.gooood.ru/components/com_virtuemart/shop_image/product/mospheric/M-14-107b.jpg" TargetMode="External"/><Relationship Id="rId899" Type="http://schemas.openxmlformats.org/officeDocument/2006/relationships/hyperlink" Target="http://www.gooood.ru/components/com_virtuemart/shop_image/product/good/82-6563big.jpg" TargetMode="External"/><Relationship Id="rId1084" Type="http://schemas.openxmlformats.org/officeDocument/2006/relationships/image" Target="../media/image468.jpeg"/><Relationship Id="rId107" Type="http://schemas.openxmlformats.org/officeDocument/2006/relationships/image" Target="../media/image44.jpeg"/><Relationship Id="rId454" Type="http://schemas.openxmlformats.org/officeDocument/2006/relationships/hyperlink" Target="http://www.gooood.ru/pictures/katalog/05_1/U-100b.jpg" TargetMode="External"/><Relationship Id="rId661" Type="http://schemas.openxmlformats.org/officeDocument/2006/relationships/image" Target="../media/image281.jpeg"/><Relationship Id="rId759" Type="http://schemas.openxmlformats.org/officeDocument/2006/relationships/hyperlink" Target="http://www.gooood.ru/components/com_virtuemart/shop_image/product/good/47-100big.jpg" TargetMode="External"/><Relationship Id="rId966" Type="http://schemas.openxmlformats.org/officeDocument/2006/relationships/image" Target="../media/image417.jpeg"/><Relationship Id="rId1291" Type="http://schemas.openxmlformats.org/officeDocument/2006/relationships/hyperlink" Target="http://www.gooood.ru/components/com_virtuemart/shop_image/product/ton/T-JH-001big.jpg" TargetMode="External"/><Relationship Id="rId1389" Type="http://schemas.openxmlformats.org/officeDocument/2006/relationships/image" Target="../media/image601.jpeg"/><Relationship Id="rId1596" Type="http://schemas.openxmlformats.org/officeDocument/2006/relationships/image" Target="../media/image695.jpeg"/><Relationship Id="rId314" Type="http://schemas.openxmlformats.org/officeDocument/2006/relationships/hyperlink" Target="http://www.gooood.ru/components/com_virtuemart/shop_image/product/ton/T-NLS-011b.jpg" TargetMode="External"/><Relationship Id="rId521" Type="http://schemas.openxmlformats.org/officeDocument/2006/relationships/image" Target="../media/image216.jpeg"/><Relationship Id="rId619" Type="http://schemas.openxmlformats.org/officeDocument/2006/relationships/hyperlink" Target="http://www.gooood.ru/components/com_virtuemart/shop_image/product/ton/T-TS-051b.jpg" TargetMode="External"/><Relationship Id="rId1151" Type="http://schemas.openxmlformats.org/officeDocument/2006/relationships/hyperlink" Target="http://www.gooood.ru/product/SL-K-W.php" TargetMode="External"/><Relationship Id="rId1249" Type="http://schemas.openxmlformats.org/officeDocument/2006/relationships/hyperlink" Target="http://www.gooood.ru/components/com_virtuemart/shop_image/product/dodo/D-426-3209b.jpg" TargetMode="External"/><Relationship Id="rId95" Type="http://schemas.openxmlformats.org/officeDocument/2006/relationships/image" Target="../media/image38.jpeg"/><Relationship Id="rId826" Type="http://schemas.openxmlformats.org/officeDocument/2006/relationships/hyperlink" Target="http://www.gooood.ru/components/com_virtuemart/shop_image/product/good/64-9538big.jpg" TargetMode="External"/><Relationship Id="rId1011" Type="http://schemas.openxmlformats.org/officeDocument/2006/relationships/image" Target="../media/image438.jpeg"/><Relationship Id="rId1109" Type="http://schemas.openxmlformats.org/officeDocument/2006/relationships/hyperlink" Target="http://www.gooood.ru/components/com_virtuemart/shop_image/product/good/14-2579big.jpg" TargetMode="External"/><Relationship Id="rId1456" Type="http://schemas.openxmlformats.org/officeDocument/2006/relationships/image" Target="../media/image633.jpeg"/><Relationship Id="rId1663" Type="http://schemas.openxmlformats.org/officeDocument/2006/relationships/image" Target="../media/image722.jpeg"/><Relationship Id="rId1870" Type="http://schemas.openxmlformats.org/officeDocument/2006/relationships/hyperlink" Target="http://www.gooood.ru/components/com_virtuemart/shop_image/product/shark/K-18big.jpg" TargetMode="External"/><Relationship Id="rId1968" Type="http://schemas.openxmlformats.org/officeDocument/2006/relationships/image" Target="../media/image870.jpeg"/><Relationship Id="rId1316" Type="http://schemas.openxmlformats.org/officeDocument/2006/relationships/hyperlink" Target="http://www.gooood.ru/components/com_virtuemart/shop_image/product/good/36-102SGbig.jpg" TargetMode="External"/><Relationship Id="rId1523" Type="http://schemas.openxmlformats.org/officeDocument/2006/relationships/hyperlink" Target="http://www.gooood.ru/components/com_virtuemart/shop_image/product/ton/T-TS-075big.jpg" TargetMode="External"/><Relationship Id="rId1730" Type="http://schemas.openxmlformats.org/officeDocument/2006/relationships/image" Target="../media/image778.jpeg"/><Relationship Id="rId22" Type="http://schemas.openxmlformats.org/officeDocument/2006/relationships/image" Target="../media/image12.jpeg"/><Relationship Id="rId1828" Type="http://schemas.openxmlformats.org/officeDocument/2006/relationships/hyperlink" Target="http://www.gooood.ru/components/com_virtuemart/shop_image/product/cap/C-620big.jpg" TargetMode="External"/><Relationship Id="rId171" Type="http://schemas.openxmlformats.org/officeDocument/2006/relationships/image" Target="../media/image76.jpeg"/><Relationship Id="rId269" Type="http://schemas.openxmlformats.org/officeDocument/2006/relationships/hyperlink" Target="http://www.gooood.ru/pictures/katalog/05_1/14-1512b.jpg" TargetMode="External"/><Relationship Id="rId476" Type="http://schemas.openxmlformats.org/officeDocument/2006/relationships/hyperlink" Target="http://www.gooood.ru/pictures/katalog/05_1/38-8925b.jpg" TargetMode="External"/><Relationship Id="rId683" Type="http://schemas.openxmlformats.org/officeDocument/2006/relationships/hyperlink" Target="http://www.gooood.ru/components/com_virtuemart/shop_image/product/good/83-5528b.jpg" TargetMode="External"/><Relationship Id="rId890" Type="http://schemas.openxmlformats.org/officeDocument/2006/relationships/image" Target="../media/image384.jpeg"/><Relationship Id="rId129" Type="http://schemas.openxmlformats.org/officeDocument/2006/relationships/image" Target="../media/image55.jpeg"/><Relationship Id="rId336" Type="http://schemas.openxmlformats.org/officeDocument/2006/relationships/hyperlink" Target="http://www.gooood.ru/components/com_virtuemart/shop_image/product/ton/T-NLS-042b.jpg" TargetMode="External"/><Relationship Id="rId543" Type="http://schemas.openxmlformats.org/officeDocument/2006/relationships/image" Target="../media/image227.jpeg"/><Relationship Id="rId988" Type="http://schemas.openxmlformats.org/officeDocument/2006/relationships/image" Target="../media/image427.jpeg"/><Relationship Id="rId1173" Type="http://schemas.openxmlformats.org/officeDocument/2006/relationships/image" Target="../media/image510.jpeg"/><Relationship Id="rId1380" Type="http://schemas.openxmlformats.org/officeDocument/2006/relationships/image" Target="../media/image597.jpeg"/><Relationship Id="rId2017" Type="http://schemas.openxmlformats.org/officeDocument/2006/relationships/hyperlink" Target="http://www.gooood.ru/components/com_virtuemart/shop_image/product/good/36-1651big.jpg" TargetMode="External"/><Relationship Id="rId403" Type="http://schemas.openxmlformats.org/officeDocument/2006/relationships/hyperlink" Target="http://www.gooood.ru/components/com_virtuemart/shop_image/product/ton/T-TS-039b.jpg" TargetMode="External"/><Relationship Id="rId750" Type="http://schemas.openxmlformats.org/officeDocument/2006/relationships/image" Target="../media/image323.jpeg"/><Relationship Id="rId848" Type="http://schemas.openxmlformats.org/officeDocument/2006/relationships/hyperlink" Target="http://www.gooood.ru/components/com_virtuemart/shop_image/product/good/36-1542big.jpg" TargetMode="External"/><Relationship Id="rId1033" Type="http://schemas.openxmlformats.org/officeDocument/2006/relationships/hyperlink" Target="http://www.gooood.ru/components/com_virtuemart/shop_image/product/ton/T-LS-002b.jpg" TargetMode="External"/><Relationship Id="rId1478" Type="http://schemas.openxmlformats.org/officeDocument/2006/relationships/image" Target="../media/image641.jpeg"/><Relationship Id="rId1685" Type="http://schemas.openxmlformats.org/officeDocument/2006/relationships/image" Target="../media/image733.jpeg"/><Relationship Id="rId1892" Type="http://schemas.openxmlformats.org/officeDocument/2006/relationships/hyperlink" Target="http://www.gooood.ru/components/com_virtuemart/shop_image/product/good/41-379big.jpg" TargetMode="External"/><Relationship Id="rId610" Type="http://schemas.openxmlformats.org/officeDocument/2006/relationships/hyperlink" Target="http://www.gooood.ru/components/com_virtuemart/shop_image/product/good/34-1npbig.jpg" TargetMode="External"/><Relationship Id="rId708" Type="http://schemas.openxmlformats.org/officeDocument/2006/relationships/hyperlink" Target="http://www.gooood.ru/components/com_virtuemart/shop_image/product/good/44-7541big.jpg" TargetMode="External"/><Relationship Id="rId915" Type="http://schemas.openxmlformats.org/officeDocument/2006/relationships/image" Target="../media/image397.jpeg"/><Relationship Id="rId1240" Type="http://schemas.openxmlformats.org/officeDocument/2006/relationships/image" Target="../media/image540.jpeg"/><Relationship Id="rId1338" Type="http://schemas.openxmlformats.org/officeDocument/2006/relationships/hyperlink" Target="http://www.gooood.ru/components/com_virtuemart/shop_image/product/good/36-170b.jpg" TargetMode="External"/><Relationship Id="rId1545" Type="http://schemas.openxmlformats.org/officeDocument/2006/relationships/hyperlink" Target="http://www.gooood.ru/components/com_virtuemart/shop_image/product/shark/K-02big.jpg" TargetMode="External"/><Relationship Id="rId1100" Type="http://schemas.openxmlformats.org/officeDocument/2006/relationships/image" Target="../media/image475.jpeg"/><Relationship Id="rId1405" Type="http://schemas.openxmlformats.org/officeDocument/2006/relationships/hyperlink" Target="http://www.gooood.ru/components/com_virtuemart/shop_image/product/dodo/D-1442-01big.jpg" TargetMode="External"/><Relationship Id="rId1752" Type="http://schemas.openxmlformats.org/officeDocument/2006/relationships/hyperlink" Target="http://www.gooood.ru/components/com_virtuemart/shop_image/product/good/42-938big.jpg" TargetMode="External"/><Relationship Id="rId44" Type="http://schemas.openxmlformats.org/officeDocument/2006/relationships/image" Target="../media/image23.jpeg"/><Relationship Id="rId1612" Type="http://schemas.openxmlformats.org/officeDocument/2006/relationships/image" Target="../media/image702.jpeg"/><Relationship Id="rId1917" Type="http://schemas.openxmlformats.org/officeDocument/2006/relationships/image" Target="../media/image848.jpeg"/><Relationship Id="rId193" Type="http://schemas.openxmlformats.org/officeDocument/2006/relationships/image" Target="../media/image87.jpeg"/><Relationship Id="rId498" Type="http://schemas.openxmlformats.org/officeDocument/2006/relationships/hyperlink" Target="http://www.gooood.ru/components/com_virtuemart/shop_image/product/dodo/D-471-02b.jpg" TargetMode="External"/><Relationship Id="rId2081" Type="http://schemas.openxmlformats.org/officeDocument/2006/relationships/hyperlink" Target="http://www.gooood.ru/components/com_virtuemart/shop_image/product/good/14-1663big.jpg" TargetMode="External"/><Relationship Id="rId260" Type="http://schemas.openxmlformats.org/officeDocument/2006/relationships/image" Target="../media/image120.jpeg"/><Relationship Id="rId120" Type="http://schemas.openxmlformats.org/officeDocument/2006/relationships/hyperlink" Target="http://www.gooood.ru/pictures/katalog/05_1/14-218b.jpg" TargetMode="External"/><Relationship Id="rId358" Type="http://schemas.openxmlformats.org/officeDocument/2006/relationships/hyperlink" Target="http://www.gooood.ru/components/com_virtuemart/shop_image/product/ton/T-TS-020-Lb.jpg" TargetMode="External"/><Relationship Id="rId565" Type="http://schemas.openxmlformats.org/officeDocument/2006/relationships/image" Target="../media/image237.jpeg"/><Relationship Id="rId772" Type="http://schemas.openxmlformats.org/officeDocument/2006/relationships/hyperlink" Target="http://www.gooood.ru/components/com_virtuemart/shop_image/product/good/14-679big.jpg" TargetMode="External"/><Relationship Id="rId1195" Type="http://schemas.openxmlformats.org/officeDocument/2006/relationships/hyperlink" Target="http://www.gooood.ru/components/com_virtuemart/shop_image/product/dodo/D-1421-01big.jpg" TargetMode="External"/><Relationship Id="rId2039" Type="http://schemas.openxmlformats.org/officeDocument/2006/relationships/image" Target="../media/image896.jpeg"/><Relationship Id="rId218" Type="http://schemas.openxmlformats.org/officeDocument/2006/relationships/hyperlink" Target="http://www.gooood.ru/pictures/katalog/05_1/34-1505b.jpg" TargetMode="External"/><Relationship Id="rId425" Type="http://schemas.openxmlformats.org/officeDocument/2006/relationships/image" Target="../media/image171.jpeg"/><Relationship Id="rId632" Type="http://schemas.openxmlformats.org/officeDocument/2006/relationships/hyperlink" Target="http://www.gooood.ru/components/com_virtuemart/shop_image/product/good/28-3532big.jpg" TargetMode="External"/><Relationship Id="rId1055" Type="http://schemas.openxmlformats.org/officeDocument/2006/relationships/hyperlink" Target="http://www.gooood.ru/components/com_virtuemart/shop_image/product/good/34-1577big.jpg" TargetMode="External"/><Relationship Id="rId1262" Type="http://schemas.openxmlformats.org/officeDocument/2006/relationships/hyperlink" Target="http://www.gooood.ru/components/com_virtuemart/shop_image/product/good/36-1584big.jpg" TargetMode="External"/><Relationship Id="rId2106" Type="http://schemas.openxmlformats.org/officeDocument/2006/relationships/image" Target="../media/image919.jpeg"/><Relationship Id="rId937" Type="http://schemas.openxmlformats.org/officeDocument/2006/relationships/hyperlink" Target="http://www.gooood.ru/components/com_virtuemart/shop_image/product/good/54-5564big.jpg" TargetMode="External"/><Relationship Id="rId1122" Type="http://schemas.openxmlformats.org/officeDocument/2006/relationships/image" Target="../media/image486.jpeg"/><Relationship Id="rId1567" Type="http://schemas.openxmlformats.org/officeDocument/2006/relationships/hyperlink" Target="http://www.gooood.ru/components/com_virtuemart/shop_image/product/good/34-8584big.jpg" TargetMode="External"/><Relationship Id="rId1774" Type="http://schemas.openxmlformats.org/officeDocument/2006/relationships/hyperlink" Target="http://www.gooood.ru/components/com_virtuemart/shop_image/product/good/14-121-Kbig.jpg" TargetMode="External"/><Relationship Id="rId1981" Type="http://schemas.openxmlformats.org/officeDocument/2006/relationships/hyperlink" Target="http://www.gooood.ru/components/com_virtuemart/shop_image/product/good/14-1650big.jpg" TargetMode="External"/><Relationship Id="rId66" Type="http://schemas.openxmlformats.org/officeDocument/2006/relationships/image" Target="../media/image30.jpeg"/><Relationship Id="rId1427" Type="http://schemas.openxmlformats.org/officeDocument/2006/relationships/hyperlink" Target="http://www.gooood.ru/components/com_virtuemart/shop_image/product/ton/T-TS-022big.jpg" TargetMode="External"/><Relationship Id="rId1634" Type="http://schemas.openxmlformats.org/officeDocument/2006/relationships/hyperlink" Target="http://www.gooood.ru/components/com_virtuemart/shop_image/product/good/14-8616-Kbig.jpg" TargetMode="External"/><Relationship Id="rId1841" Type="http://schemas.openxmlformats.org/officeDocument/2006/relationships/image" Target="../media/image818.jpeg"/><Relationship Id="rId1939" Type="http://schemas.openxmlformats.org/officeDocument/2006/relationships/image" Target="../media/image857.jpeg"/><Relationship Id="rId1701" Type="http://schemas.openxmlformats.org/officeDocument/2006/relationships/image" Target="../media/image749.jpeg"/><Relationship Id="rId282" Type="http://schemas.openxmlformats.org/officeDocument/2006/relationships/image" Target="../media/image131.jpeg"/><Relationship Id="rId587" Type="http://schemas.openxmlformats.org/officeDocument/2006/relationships/image" Target="../media/image248.jpeg"/><Relationship Id="rId8" Type="http://schemas.openxmlformats.org/officeDocument/2006/relationships/image" Target="../media/image5.jpeg"/><Relationship Id="rId142" Type="http://schemas.openxmlformats.org/officeDocument/2006/relationships/hyperlink" Target="http://www.gooood.ru/pictures/katalog/05_1/14-235b.jpg" TargetMode="External"/><Relationship Id="rId447" Type="http://schemas.openxmlformats.org/officeDocument/2006/relationships/image" Target="../media/image181.jpeg"/><Relationship Id="rId794" Type="http://schemas.openxmlformats.org/officeDocument/2006/relationships/hyperlink" Target="http://www.gooood.ru/components/com_virtuemart/shop_image/product/dodo/D-489L-01b.jpg" TargetMode="External"/><Relationship Id="rId1077" Type="http://schemas.openxmlformats.org/officeDocument/2006/relationships/image" Target="../media/image465.jpeg"/><Relationship Id="rId2030" Type="http://schemas.openxmlformats.org/officeDocument/2006/relationships/hyperlink" Target="http://www.gooood.ru/components/com_virtuemart/shop_image/product/good/14-2659big.jpg" TargetMode="External"/><Relationship Id="rId2128" Type="http://schemas.openxmlformats.org/officeDocument/2006/relationships/image" Target="../media/image929.jpeg"/><Relationship Id="rId654" Type="http://schemas.openxmlformats.org/officeDocument/2006/relationships/hyperlink" Target="http://www.gooood.ru/components/com_virtuemart/shop_image/product/good/24-922big.jpg" TargetMode="External"/><Relationship Id="rId861" Type="http://schemas.openxmlformats.org/officeDocument/2006/relationships/image" Target="../media/image372.jpeg"/><Relationship Id="rId959" Type="http://schemas.openxmlformats.org/officeDocument/2006/relationships/hyperlink" Target="http://www.gooood.ru/components/com_virtuemart/shop_image/product/yantra/80-14-710big.jpg" TargetMode="External"/><Relationship Id="rId1284" Type="http://schemas.openxmlformats.org/officeDocument/2006/relationships/image" Target="../media/image560.jpeg"/><Relationship Id="rId1491" Type="http://schemas.openxmlformats.org/officeDocument/2006/relationships/hyperlink" Target="http://www.gooood.ru/components/com_virtuemart/shop_image/product/good/14-3508big.jpg" TargetMode="External"/><Relationship Id="rId1589" Type="http://schemas.openxmlformats.org/officeDocument/2006/relationships/image" Target="../media/image691.png"/><Relationship Id="rId307" Type="http://schemas.openxmlformats.org/officeDocument/2006/relationships/hyperlink" Target="http://www.gooood.ru/components/com_virtuemart/shop_image/product/ton/T-NLS-002-Lb.jpg" TargetMode="External"/><Relationship Id="rId514" Type="http://schemas.openxmlformats.org/officeDocument/2006/relationships/hyperlink" Target="http://www.gooood.ru/components/com_virtuemart/shop_image/product/good/28-598big.jpg" TargetMode="External"/><Relationship Id="rId721" Type="http://schemas.openxmlformats.org/officeDocument/2006/relationships/hyperlink" Target="http://www.gooood.ru/components/com_virtuemart/shop_image/product/good/34-2543big.jpg" TargetMode="External"/><Relationship Id="rId1144" Type="http://schemas.openxmlformats.org/officeDocument/2006/relationships/image" Target="../media/image496.jpeg"/><Relationship Id="rId1351" Type="http://schemas.openxmlformats.org/officeDocument/2006/relationships/image" Target="../media/image585.jpeg"/><Relationship Id="rId1449" Type="http://schemas.openxmlformats.org/officeDocument/2006/relationships/image" Target="../media/image630.jpeg"/><Relationship Id="rId1796" Type="http://schemas.openxmlformats.org/officeDocument/2006/relationships/hyperlink" Target="http://www.gooood.ru/components/com_virtuemart/shop_image/product/cap/C-136big.jpg" TargetMode="External"/><Relationship Id="rId88" Type="http://schemas.openxmlformats.org/officeDocument/2006/relationships/hyperlink" Target="http://www.gooood.ru/pictures/katalog/05_1/38-694b.jpg" TargetMode="External"/><Relationship Id="rId819" Type="http://schemas.openxmlformats.org/officeDocument/2006/relationships/image" Target="../media/image357.jpeg"/><Relationship Id="rId1004" Type="http://schemas.openxmlformats.org/officeDocument/2006/relationships/hyperlink" Target="http://www.gooood.ru/components/com_virtuemart/shop_image/product/good/53-7565big.jpg" TargetMode="External"/><Relationship Id="rId1211" Type="http://schemas.openxmlformats.org/officeDocument/2006/relationships/hyperlink" Target="http://www.gooood.ru/components/com_virtuemart/shop_image/product/dodo/D-415-39b.jpg" TargetMode="External"/><Relationship Id="rId1656" Type="http://schemas.openxmlformats.org/officeDocument/2006/relationships/hyperlink" Target="http://www.gooood.ru/components/com_virtuemart/shop_image/product/glookoraund/G-14-101big.jpg" TargetMode="External"/><Relationship Id="rId1863" Type="http://schemas.openxmlformats.org/officeDocument/2006/relationships/image" Target="../media/image828.jpeg"/><Relationship Id="rId1309" Type="http://schemas.openxmlformats.org/officeDocument/2006/relationships/image" Target="../media/image572.jpeg"/><Relationship Id="rId1516" Type="http://schemas.openxmlformats.org/officeDocument/2006/relationships/hyperlink" Target="http://www.gooood.ru/components/com_virtuemart/shop_image/product/good/22-140b.jpg" TargetMode="External"/><Relationship Id="rId1723" Type="http://schemas.openxmlformats.org/officeDocument/2006/relationships/image" Target="../media/image771.jpeg"/><Relationship Id="rId1930" Type="http://schemas.openxmlformats.org/officeDocument/2006/relationships/hyperlink" Target="http://www.gooood.ru/components/com_virtuemart/shop_image/product/ton/T-TS-079-Lb.jpg" TargetMode="External"/><Relationship Id="rId15" Type="http://schemas.openxmlformats.org/officeDocument/2006/relationships/hyperlink" Target="http://www.gooood.ru/pictures/katalog/05_1/14-125b.jpg" TargetMode="External"/><Relationship Id="rId164" Type="http://schemas.openxmlformats.org/officeDocument/2006/relationships/hyperlink" Target="http://www.gooood.ru/components/com_virtuemart/shop_image/product/nmnh/77-vw-106-bb.jpg" TargetMode="External"/><Relationship Id="rId371" Type="http://schemas.openxmlformats.org/officeDocument/2006/relationships/hyperlink" Target="http://www.gooood.ru/components/com_virtuemart/shop_image/product/ton/T-TS-036b.jpg" TargetMode="External"/><Relationship Id="rId2052" Type="http://schemas.openxmlformats.org/officeDocument/2006/relationships/hyperlink" Target="http://www.gooood.ru/components/com_virtuemart/shop_image/product/good/44-9660big.jpg" TargetMode="External"/><Relationship Id="rId469" Type="http://schemas.openxmlformats.org/officeDocument/2006/relationships/image" Target="../media/image191.jpeg"/><Relationship Id="rId676" Type="http://schemas.openxmlformats.org/officeDocument/2006/relationships/hyperlink" Target="http://www.gooood.ru/components/com_virtuemart/shop_image/product/good/34-2536big.jpg" TargetMode="External"/><Relationship Id="rId883" Type="http://schemas.openxmlformats.org/officeDocument/2006/relationships/image" Target="../media/image381.jpeg"/><Relationship Id="rId1099" Type="http://schemas.openxmlformats.org/officeDocument/2006/relationships/hyperlink" Target="http://www.gooood.ru/components/com_virtuemart/shop_image/product/good/28-5578b.jpg" TargetMode="External"/><Relationship Id="rId231" Type="http://schemas.openxmlformats.org/officeDocument/2006/relationships/image" Target="../media/image106.jpeg"/><Relationship Id="rId329" Type="http://schemas.openxmlformats.org/officeDocument/2006/relationships/image" Target="../media/image149.jpeg"/><Relationship Id="rId536" Type="http://schemas.openxmlformats.org/officeDocument/2006/relationships/hyperlink" Target="http://www.gooood.ru/components/com_virtuemart/shop_image/product/good/14-102SGbig.jpg" TargetMode="External"/><Relationship Id="rId1166" Type="http://schemas.openxmlformats.org/officeDocument/2006/relationships/hyperlink" Target="http://www.gooood.ru/components/com_virtuemart/shop_image/product/good/28-6584big.jpg" TargetMode="External"/><Relationship Id="rId1373" Type="http://schemas.openxmlformats.org/officeDocument/2006/relationships/hyperlink" Target="http://www.gooood.ru/components/com_virtuemart/shop_image/product/good/34-2531big.jpg" TargetMode="External"/><Relationship Id="rId743" Type="http://schemas.openxmlformats.org/officeDocument/2006/relationships/hyperlink" Target="http://www.gooood.ru/components/com_virtuemart/shop_image/product/handmade/sg-030big.jpg" TargetMode="External"/><Relationship Id="rId950" Type="http://schemas.openxmlformats.org/officeDocument/2006/relationships/hyperlink" Target="http://www.gooood.ru/components/com_virtuemart/shop_image/product/good/36-1509big.jpg" TargetMode="External"/><Relationship Id="rId1026" Type="http://schemas.openxmlformats.org/officeDocument/2006/relationships/image" Target="../media/image445.jpeg"/><Relationship Id="rId1580" Type="http://schemas.openxmlformats.org/officeDocument/2006/relationships/image" Target="../media/image686.jpeg"/><Relationship Id="rId1678" Type="http://schemas.openxmlformats.org/officeDocument/2006/relationships/hyperlink" Target="http://www.gooood.ru/components/com_virtuemart/shop_image/product/good/34-5623big.jpg" TargetMode="External"/><Relationship Id="rId1885" Type="http://schemas.openxmlformats.org/officeDocument/2006/relationships/image" Target="../media/image835.jpeg"/><Relationship Id="rId603" Type="http://schemas.openxmlformats.org/officeDocument/2006/relationships/image" Target="../media/image256.jpeg"/><Relationship Id="rId810" Type="http://schemas.openxmlformats.org/officeDocument/2006/relationships/hyperlink" Target="http://www.gooood.ru/components/com_virtuemart/shop_image/product/good/34-9508big.jpg" TargetMode="External"/><Relationship Id="rId908" Type="http://schemas.openxmlformats.org/officeDocument/2006/relationships/hyperlink" Target="http://www.gooood.ru/components/com_virtuemart/shop_image/product/good/36-227big.jpg" TargetMode="External"/><Relationship Id="rId1233" Type="http://schemas.openxmlformats.org/officeDocument/2006/relationships/hyperlink" Target="http://www.gooood.ru/components/com_virtuemart/shop_image/product/good/22-1512big.jpg" TargetMode="External"/><Relationship Id="rId1440" Type="http://schemas.openxmlformats.org/officeDocument/2006/relationships/image" Target="../media/image626.jpeg"/><Relationship Id="rId1538" Type="http://schemas.openxmlformats.org/officeDocument/2006/relationships/image" Target="../media/image668.jpeg"/><Relationship Id="rId1300" Type="http://schemas.openxmlformats.org/officeDocument/2006/relationships/hyperlink" Target="http://www.gooood.ru/components/com_virtuemart/shop_image/product/ton/T-JH-068big.jpg" TargetMode="External"/><Relationship Id="rId1745" Type="http://schemas.openxmlformats.org/officeDocument/2006/relationships/image" Target="../media/image786.jpeg"/><Relationship Id="rId1952" Type="http://schemas.openxmlformats.org/officeDocument/2006/relationships/image" Target="../media/image863.jpeg"/><Relationship Id="rId37" Type="http://schemas.openxmlformats.org/officeDocument/2006/relationships/hyperlink" Target="http://www.gooood.ru/pictures/katalog/05_1/14-186b.jpg" TargetMode="External"/><Relationship Id="rId1605" Type="http://schemas.openxmlformats.org/officeDocument/2006/relationships/hyperlink" Target="http://www.gooood.ru/components/com_virtuemart/shop_image/product/good/28-6616big.jpg" TargetMode="External"/><Relationship Id="rId1812" Type="http://schemas.openxmlformats.org/officeDocument/2006/relationships/hyperlink" Target="http://www.gooood.ru/components/com_virtuemart/shop_image/product/cap/C-4576Hbig.jpg" TargetMode="External"/><Relationship Id="rId186" Type="http://schemas.openxmlformats.org/officeDocument/2006/relationships/hyperlink" Target="http://www.gooood.ru/components/com_virtuemart/shop_image/product/good/34-357big.jpg" TargetMode="External"/><Relationship Id="rId393" Type="http://schemas.openxmlformats.org/officeDocument/2006/relationships/hyperlink" Target="http://www.gooood.ru/components/com_virtuemart/shop_image/product/ton/T-TS-045b.jpg" TargetMode="External"/><Relationship Id="rId2074" Type="http://schemas.openxmlformats.org/officeDocument/2006/relationships/hyperlink" Target="http://www.gooood.ru/components/com_virtuemart/shop_image/product/good/14-8662big.jpg" TargetMode="External"/><Relationship Id="rId253" Type="http://schemas.openxmlformats.org/officeDocument/2006/relationships/hyperlink" Target="http://www.gooood.ru/components/com_virtuemart/shop_image/product/mospheric/M-14-407b.jpg" TargetMode="External"/><Relationship Id="rId460" Type="http://schemas.openxmlformats.org/officeDocument/2006/relationships/hyperlink" Target="http://www.gooood.ru/pictures/katalog/05_1/34-1518b.jpg" TargetMode="External"/><Relationship Id="rId698" Type="http://schemas.openxmlformats.org/officeDocument/2006/relationships/hyperlink" Target="http://www.gooood.ru/components/com_virtuemart/shop_image/product/good/32-2534big.jpg" TargetMode="External"/><Relationship Id="rId1090" Type="http://schemas.openxmlformats.org/officeDocument/2006/relationships/hyperlink" Target="http://www.gooood.ru/components/com_virtuemart/shop_image/product/good/85-128big.jpg" TargetMode="External"/><Relationship Id="rId113" Type="http://schemas.openxmlformats.org/officeDocument/2006/relationships/image" Target="../media/image47.jpeg"/><Relationship Id="rId320" Type="http://schemas.openxmlformats.org/officeDocument/2006/relationships/hyperlink" Target="http://www.gooood.ru/components/com_virtuemart/shop_image/product/ton/T-NLS-020-Lb.jpg" TargetMode="External"/><Relationship Id="rId558" Type="http://schemas.openxmlformats.org/officeDocument/2006/relationships/hyperlink" Target="http://www.gooood.ru/components/com_virtuemart/shop_image/product/nmnh/77-89big.jpg" TargetMode="External"/><Relationship Id="rId765" Type="http://schemas.openxmlformats.org/officeDocument/2006/relationships/hyperlink" Target="http://www.gooood.ru/components/com_virtuemart/shop_image/product/good/83-9538b.jpg" TargetMode="External"/><Relationship Id="rId972" Type="http://schemas.openxmlformats.org/officeDocument/2006/relationships/image" Target="../media/image420.jpeg"/><Relationship Id="rId1188" Type="http://schemas.openxmlformats.org/officeDocument/2006/relationships/image" Target="../media/image514.jpeg"/><Relationship Id="rId1395" Type="http://schemas.openxmlformats.org/officeDocument/2006/relationships/image" Target="../media/image604.jpeg"/><Relationship Id="rId2001" Type="http://schemas.openxmlformats.org/officeDocument/2006/relationships/image" Target="../media/image883.jpeg"/><Relationship Id="rId418" Type="http://schemas.openxmlformats.org/officeDocument/2006/relationships/hyperlink" Target="http://www.gooood.ru/pictures/katalog/05_1/54-927b.jpg" TargetMode="External"/><Relationship Id="rId625" Type="http://schemas.openxmlformats.org/officeDocument/2006/relationships/image" Target="../media/image264.jpeg"/><Relationship Id="rId832" Type="http://schemas.openxmlformats.org/officeDocument/2006/relationships/image" Target="../media/image362.jpeg"/><Relationship Id="rId1048" Type="http://schemas.openxmlformats.org/officeDocument/2006/relationships/hyperlink" Target="http://www.gooood.ru/components/com_virtuemart/shop_image/product/good/28-4576big.jpg" TargetMode="External"/><Relationship Id="rId1255" Type="http://schemas.openxmlformats.org/officeDocument/2006/relationships/hyperlink" Target="http://www.gooood.ru/components/com_virtuemart/shop_image/product/dodo/D-594-01b.jpg" TargetMode="External"/><Relationship Id="rId1462" Type="http://schemas.openxmlformats.org/officeDocument/2006/relationships/hyperlink" Target="http://www.gooood.ru/components/com_virtuemart/shop_image/product/good/14-7539big.jpg" TargetMode="External"/><Relationship Id="rId1115" Type="http://schemas.openxmlformats.org/officeDocument/2006/relationships/hyperlink" Target="http://www.gooood.ru/components/com_virtuemart/shop_image/product/ton/T-TS-065-Lbig.jpg" TargetMode="External"/><Relationship Id="rId1322" Type="http://schemas.openxmlformats.org/officeDocument/2006/relationships/hyperlink" Target="http://www.gooood.ru/components/com_virtuemart/shop_image/product/good/14-4568big.jpg" TargetMode="External"/><Relationship Id="rId1767" Type="http://schemas.openxmlformats.org/officeDocument/2006/relationships/hyperlink" Target="http://www.gooood.ru/components/com_virtuemart/shop_image/product/good/36-827big.jpg" TargetMode="External"/><Relationship Id="rId1974" Type="http://schemas.openxmlformats.org/officeDocument/2006/relationships/hyperlink" Target="http://www.gooood.ru/components/com_virtuemart/shop_image/product/good/14-1652big.jpg" TargetMode="External"/><Relationship Id="rId59" Type="http://schemas.openxmlformats.org/officeDocument/2006/relationships/hyperlink" Target="http://www.gooood.ru/pictures/katalog/05_1/30-125b.jpg" TargetMode="External"/><Relationship Id="rId1627" Type="http://schemas.openxmlformats.org/officeDocument/2006/relationships/hyperlink" Target="http://www.gooood.ru/components/com_virtuemart/shop_image/product/good/14-1621big.jpg" TargetMode="External"/><Relationship Id="rId1834" Type="http://schemas.openxmlformats.org/officeDocument/2006/relationships/hyperlink" Target="http://www.gooood.ru/components/com_virtuemart/shop_image/product/good/14-1630big.jpg" TargetMode="External"/><Relationship Id="rId2096" Type="http://schemas.openxmlformats.org/officeDocument/2006/relationships/hyperlink" Target="http://www.gooood.ru/components/com_virtuemart/shop_image/product/good/44-4611big.jpg" TargetMode="External"/><Relationship Id="rId1901" Type="http://schemas.openxmlformats.org/officeDocument/2006/relationships/image" Target="../media/image841.jpeg"/><Relationship Id="rId275" Type="http://schemas.openxmlformats.org/officeDocument/2006/relationships/hyperlink" Target="http://www.gooood.ru/pictures/katalog/05_1/54-5514b.jpg" TargetMode="External"/><Relationship Id="rId482" Type="http://schemas.openxmlformats.org/officeDocument/2006/relationships/hyperlink" Target="http://www.gooood.ru/components/com_virtuemart/shop_image/product/good/34-8524big.jpg" TargetMode="External"/><Relationship Id="rId135" Type="http://schemas.openxmlformats.org/officeDocument/2006/relationships/image" Target="../media/image58.jpeg"/><Relationship Id="rId342" Type="http://schemas.openxmlformats.org/officeDocument/2006/relationships/hyperlink" Target="http://www.gooood.ru/components/com_virtuemart/shop_image/product/ton/T-RLS-033b.jpg" TargetMode="External"/><Relationship Id="rId787" Type="http://schemas.openxmlformats.org/officeDocument/2006/relationships/image" Target="../media/image341.jpeg"/><Relationship Id="rId994" Type="http://schemas.openxmlformats.org/officeDocument/2006/relationships/image" Target="../media/image430.jpeg"/><Relationship Id="rId2023" Type="http://schemas.openxmlformats.org/officeDocument/2006/relationships/hyperlink" Target="http://www.gooood.ru/components/com_virtuemart/shop_image/product/good/35-1656big.jpg" TargetMode="External"/><Relationship Id="rId202" Type="http://schemas.openxmlformats.org/officeDocument/2006/relationships/hyperlink" Target="http://www.gooood.ru/pictures/katalog/05_1/14-1507b.jpg" TargetMode="External"/><Relationship Id="rId647" Type="http://schemas.openxmlformats.org/officeDocument/2006/relationships/image" Target="../media/image274.jpeg"/><Relationship Id="rId854" Type="http://schemas.openxmlformats.org/officeDocument/2006/relationships/hyperlink" Target="http://www.gooood.ru/components/com_virtuemart/shop_image/product/good/36-1544big.jpg" TargetMode="External"/><Relationship Id="rId1277" Type="http://schemas.openxmlformats.org/officeDocument/2006/relationships/image" Target="../media/image557.jpeg"/><Relationship Id="rId1484" Type="http://schemas.openxmlformats.org/officeDocument/2006/relationships/hyperlink" Target="http://www.gooood.ru/components/com_virtuemart/shop_image/product/ton/T-TS-022-LBbig.jpg" TargetMode="External"/><Relationship Id="rId1691" Type="http://schemas.openxmlformats.org/officeDocument/2006/relationships/image" Target="../media/image739.jpeg"/><Relationship Id="rId507" Type="http://schemas.openxmlformats.org/officeDocument/2006/relationships/hyperlink" Target="http://www.gooood.ru/components/com_virtuemart/shop_image/product/ton/T-TS-049big.jpg" TargetMode="External"/><Relationship Id="rId714" Type="http://schemas.openxmlformats.org/officeDocument/2006/relationships/hyperlink" Target="http://www.gooood.ru/components/com_virtuemart/shop_image/product/ton/T-TS-056big.jpg" TargetMode="External"/><Relationship Id="rId921" Type="http://schemas.openxmlformats.org/officeDocument/2006/relationships/image" Target="../media/image400.jpeg"/><Relationship Id="rId1137" Type="http://schemas.openxmlformats.org/officeDocument/2006/relationships/hyperlink" Target="http://www.gooood.ru/components/com_virtuemart/shop_image/product/sexylife/SL-NI-M-5.jpg" TargetMode="External"/><Relationship Id="rId1344" Type="http://schemas.openxmlformats.org/officeDocument/2006/relationships/image" Target="../media/image582.jpeg"/><Relationship Id="rId1551" Type="http://schemas.openxmlformats.org/officeDocument/2006/relationships/hyperlink" Target="http://www.gooood.ru/components/com_virtuemart/shop_image/product/good/34-5611big.jpg" TargetMode="External"/><Relationship Id="rId1789" Type="http://schemas.openxmlformats.org/officeDocument/2006/relationships/image" Target="../media/image795.jpeg"/><Relationship Id="rId1996" Type="http://schemas.openxmlformats.org/officeDocument/2006/relationships/image" Target="../media/image881.jpeg"/><Relationship Id="rId50" Type="http://schemas.openxmlformats.org/officeDocument/2006/relationships/hyperlink" Target="http://www.gooood.ru/pictures/katalog/05_1/28-427b.jpg" TargetMode="External"/><Relationship Id="rId1204" Type="http://schemas.openxmlformats.org/officeDocument/2006/relationships/image" Target="../media/image522.jpeg"/><Relationship Id="rId1411" Type="http://schemas.openxmlformats.org/officeDocument/2006/relationships/hyperlink" Target="http://www.gooood.ru/components/com_virtuemart/shop_image/product/dodo/D-1447-01big.jpg" TargetMode="External"/><Relationship Id="rId1649" Type="http://schemas.openxmlformats.org/officeDocument/2006/relationships/image" Target="../media/image716.jpeg"/><Relationship Id="rId1856" Type="http://schemas.openxmlformats.org/officeDocument/2006/relationships/hyperlink" Target="http://www.gooood.ru/components/com_virtuemart/shop_image/product/good/14-2633big.jpg" TargetMode="External"/><Relationship Id="rId1509" Type="http://schemas.openxmlformats.org/officeDocument/2006/relationships/image" Target="../media/image655.jpeg"/><Relationship Id="rId1716" Type="http://schemas.openxmlformats.org/officeDocument/2006/relationships/image" Target="../media/image764.jpeg"/><Relationship Id="rId1923" Type="http://schemas.openxmlformats.org/officeDocument/2006/relationships/image" Target="../media/image851.jpeg"/><Relationship Id="rId297" Type="http://schemas.openxmlformats.org/officeDocument/2006/relationships/image" Target="../media/image137.jpeg"/><Relationship Id="rId157" Type="http://schemas.openxmlformats.org/officeDocument/2006/relationships/image" Target="../media/image69.jpeg"/><Relationship Id="rId364" Type="http://schemas.openxmlformats.org/officeDocument/2006/relationships/image" Target="../media/image154.jpeg"/><Relationship Id="rId2045" Type="http://schemas.openxmlformats.org/officeDocument/2006/relationships/hyperlink" Target="http://www.gooood.ru/components/com_virtuemart/shop_image/product/good/14-8660big.jpg" TargetMode="External"/><Relationship Id="rId571" Type="http://schemas.openxmlformats.org/officeDocument/2006/relationships/image" Target="../media/image240.jpeg"/><Relationship Id="rId669" Type="http://schemas.openxmlformats.org/officeDocument/2006/relationships/image" Target="../media/image284.jpeg"/><Relationship Id="rId876" Type="http://schemas.openxmlformats.org/officeDocument/2006/relationships/hyperlink" Target="http://www.gooood.ru/components/com_virtuemart/shop_image/product/good/22-427big.jpg" TargetMode="External"/><Relationship Id="rId1299" Type="http://schemas.openxmlformats.org/officeDocument/2006/relationships/image" Target="../media/image567.jpeg"/><Relationship Id="rId224" Type="http://schemas.openxmlformats.org/officeDocument/2006/relationships/hyperlink" Target="http://www.gooood.ru/pictures/katalog/05_1/34-9504b.jpg" TargetMode="External"/><Relationship Id="rId431" Type="http://schemas.openxmlformats.org/officeDocument/2006/relationships/hyperlink" Target="http://www.gooood.ru/pictures/katalog/05_1/34-1519b.jpg" TargetMode="External"/><Relationship Id="rId529" Type="http://schemas.openxmlformats.org/officeDocument/2006/relationships/image" Target="../media/image220.jpeg"/><Relationship Id="rId736" Type="http://schemas.openxmlformats.org/officeDocument/2006/relationships/image" Target="../media/image316.jpeg"/><Relationship Id="rId1061" Type="http://schemas.openxmlformats.org/officeDocument/2006/relationships/hyperlink" Target="http://www.gooood.ru/components/com_virtuemart/shop_image/product/b-rich/BR-712-09b.jpg" TargetMode="External"/><Relationship Id="rId1159" Type="http://schemas.openxmlformats.org/officeDocument/2006/relationships/hyperlink" Target="http://www.gooood.ru/components/com_virtuemart/shop_image/product/good/14-1583big.jpg" TargetMode="External"/><Relationship Id="rId1366" Type="http://schemas.openxmlformats.org/officeDocument/2006/relationships/hyperlink" Target="http://www.gooood.ru/components/com_virtuemart/shop_image/product/good/34-119b.jpg" TargetMode="External"/><Relationship Id="rId2112" Type="http://schemas.openxmlformats.org/officeDocument/2006/relationships/hyperlink" Target="http://www.gooood.ru/components/com_virtuemart/shop_image/product/good/14-2673big.jpg" TargetMode="External"/><Relationship Id="rId943" Type="http://schemas.openxmlformats.org/officeDocument/2006/relationships/image" Target="../media/image407.jpeg"/><Relationship Id="rId1019" Type="http://schemas.openxmlformats.org/officeDocument/2006/relationships/image" Target="../media/image442.jpeg"/><Relationship Id="rId1573" Type="http://schemas.openxmlformats.org/officeDocument/2006/relationships/hyperlink" Target="http://www.gooood.ru/components/com_virtuemart/shop_image/product/good/14-3615big.jpg" TargetMode="External"/><Relationship Id="rId1780" Type="http://schemas.openxmlformats.org/officeDocument/2006/relationships/hyperlink" Target="http://www.gooood.ru/components/com_virtuemart/shop_image/product/good/14-1505-1-Kbig.jpg" TargetMode="External"/><Relationship Id="rId1878" Type="http://schemas.openxmlformats.org/officeDocument/2006/relationships/hyperlink" Target="http://www.gooood.ru/components/com_virtuemart/shop_image/product/ton/T-TS-072-Bbig.jpg" TargetMode="External"/><Relationship Id="rId72" Type="http://schemas.openxmlformats.org/officeDocument/2006/relationships/image" Target="../media/image31.jpeg"/><Relationship Id="rId803" Type="http://schemas.openxmlformats.org/officeDocument/2006/relationships/image" Target="../media/image349.jpeg"/><Relationship Id="rId1226" Type="http://schemas.openxmlformats.org/officeDocument/2006/relationships/image" Target="../media/image533.jpeg"/><Relationship Id="rId1433" Type="http://schemas.openxmlformats.org/officeDocument/2006/relationships/hyperlink" Target="http://www.gooood.ru/components/com_virtuemart/shop_image/product/good/14-1601big.jpg" TargetMode="External"/><Relationship Id="rId1640" Type="http://schemas.openxmlformats.org/officeDocument/2006/relationships/hyperlink" Target="http://www.gooood.ru/components/com_virtuemart/shop_image/product/good/14-4615big.jpg" TargetMode="External"/><Relationship Id="rId1738" Type="http://schemas.openxmlformats.org/officeDocument/2006/relationships/hyperlink" Target="http://www.gooood.ru/components/com_virtuemart/shop_image/product/good/40-1530big.jpg" TargetMode="External"/><Relationship Id="rId1500" Type="http://schemas.openxmlformats.org/officeDocument/2006/relationships/hyperlink" Target="http://www.gooood.ru/components/com_virtuemart/shop_image/product/good/34-4524big.jpg" TargetMode="External"/><Relationship Id="rId1945" Type="http://schemas.openxmlformats.org/officeDocument/2006/relationships/image" Target="../media/image860.jpeg"/><Relationship Id="rId1805" Type="http://schemas.openxmlformats.org/officeDocument/2006/relationships/image" Target="../media/image802.jpeg"/><Relationship Id="rId179" Type="http://schemas.openxmlformats.org/officeDocument/2006/relationships/image" Target="../media/image80.jpeg"/><Relationship Id="rId386" Type="http://schemas.openxmlformats.org/officeDocument/2006/relationships/hyperlink" Target="http://www.gooood.ru/components/com_virtuemart/shop_image/product/ton/T-TS-042-Lb.jpg" TargetMode="External"/><Relationship Id="rId593" Type="http://schemas.openxmlformats.org/officeDocument/2006/relationships/image" Target="../media/image251.jpeg"/><Relationship Id="rId2067" Type="http://schemas.openxmlformats.org/officeDocument/2006/relationships/image" Target="../media/image903.jpeg"/><Relationship Id="rId246" Type="http://schemas.openxmlformats.org/officeDocument/2006/relationships/image" Target="../media/image113.jpeg"/><Relationship Id="rId453" Type="http://schemas.openxmlformats.org/officeDocument/2006/relationships/image" Target="../media/image183.jpeg"/><Relationship Id="rId660" Type="http://schemas.openxmlformats.org/officeDocument/2006/relationships/hyperlink" Target="http://www.gooood.ru/components/com_virtuemart/shop_image/product/good/38-6533big.jpg" TargetMode="External"/><Relationship Id="rId898" Type="http://schemas.openxmlformats.org/officeDocument/2006/relationships/image" Target="../media/image388.jpeg"/><Relationship Id="rId1083" Type="http://schemas.openxmlformats.org/officeDocument/2006/relationships/hyperlink" Target="http://www.gooood.ru/components/com_virtuemart/shop_image/product/good/14-136-1big.jpg" TargetMode="External"/><Relationship Id="rId1290" Type="http://schemas.openxmlformats.org/officeDocument/2006/relationships/image" Target="../media/image563.jpeg"/><Relationship Id="rId106" Type="http://schemas.openxmlformats.org/officeDocument/2006/relationships/hyperlink" Target="http://www.gooood.ru/pictures/katalog/05_1/28-674b.jpg" TargetMode="External"/><Relationship Id="rId313" Type="http://schemas.openxmlformats.org/officeDocument/2006/relationships/hyperlink" Target="http://www.gooood.ru/components/com_virtuemart/shop_image/product/ton/T-NLS-008-Lb.jpg" TargetMode="External"/><Relationship Id="rId758" Type="http://schemas.openxmlformats.org/officeDocument/2006/relationships/image" Target="../media/image327.jpeg"/><Relationship Id="rId965" Type="http://schemas.openxmlformats.org/officeDocument/2006/relationships/hyperlink" Target="http://www.gooood.ru/components/com_virtuemart/shop_image/product/ton/T-TS-060b.jpg" TargetMode="External"/><Relationship Id="rId1150" Type="http://schemas.openxmlformats.org/officeDocument/2006/relationships/image" Target="../media/image499.jpeg"/><Relationship Id="rId1388" Type="http://schemas.openxmlformats.org/officeDocument/2006/relationships/hyperlink" Target="http://www.gooood.ru/components/com_virtuemart/shop_image/product/good/14-5597big.jpg" TargetMode="External"/><Relationship Id="rId1595" Type="http://schemas.openxmlformats.org/officeDocument/2006/relationships/hyperlink" Target="http://www.gooood.ru/components/com_virtuemart/shop_image/product/good/14-3618big.jpg" TargetMode="External"/><Relationship Id="rId94" Type="http://schemas.openxmlformats.org/officeDocument/2006/relationships/hyperlink" Target="http://www.gooood.ru/components/com_virtuemart/shop_image/product/e-art/a-103b.jpg" TargetMode="External"/><Relationship Id="rId520" Type="http://schemas.openxmlformats.org/officeDocument/2006/relationships/hyperlink" Target="http://www.gooood.ru/components/com_virtuemart/shop_image/product/good/14-6504big.jpg" TargetMode="External"/><Relationship Id="rId618" Type="http://schemas.openxmlformats.org/officeDocument/2006/relationships/image" Target="../media/image262.jpeg"/><Relationship Id="rId825" Type="http://schemas.openxmlformats.org/officeDocument/2006/relationships/image" Target="../media/image360.jpeg"/><Relationship Id="rId1248" Type="http://schemas.openxmlformats.org/officeDocument/2006/relationships/image" Target="../media/image544.jpeg"/><Relationship Id="rId1455" Type="http://schemas.openxmlformats.org/officeDocument/2006/relationships/hyperlink" Target="http://www.gooood.ru/components/com_virtuemart/shop_image/product/ton/T-TS-072big.jpg" TargetMode="External"/><Relationship Id="rId1662" Type="http://schemas.openxmlformats.org/officeDocument/2006/relationships/hyperlink" Target="http://www.gooood.ru/components/com_virtuemart/shop_image/product/glookoraund/G-14-701big.jpg" TargetMode="External"/><Relationship Id="rId1010" Type="http://schemas.openxmlformats.org/officeDocument/2006/relationships/hyperlink" Target="http://www.gooood.ru/components/com_virtuemart/shop_image/product/good/38-3571big.jpg" TargetMode="External"/><Relationship Id="rId1108" Type="http://schemas.openxmlformats.org/officeDocument/2006/relationships/image" Target="../media/image479.jpeg"/><Relationship Id="rId1315" Type="http://schemas.openxmlformats.org/officeDocument/2006/relationships/hyperlink" Target="http://www.gooood.ru/components/com_virtuemart/shop_image/product/good/36-101SGbig.jpg" TargetMode="External"/><Relationship Id="rId1967" Type="http://schemas.openxmlformats.org/officeDocument/2006/relationships/hyperlink" Target="http://www.gooood.ru/components/com_virtuemart/shop_image/product/good/28-5647big.jpg" TargetMode="External"/><Relationship Id="rId1522" Type="http://schemas.openxmlformats.org/officeDocument/2006/relationships/image" Target="../media/image661.jpeg"/><Relationship Id="rId21" Type="http://schemas.openxmlformats.org/officeDocument/2006/relationships/hyperlink" Target="http://www.gooood.ru/components/com_virtuemart/shop_image/product/good/14-151b.jpg" TargetMode="External"/><Relationship Id="rId2089" Type="http://schemas.openxmlformats.org/officeDocument/2006/relationships/hyperlink" Target="http://www.gooood.ru/components/com_virtuemart/shop_image/product/good/20-8662big.jpg" TargetMode="External"/><Relationship Id="rId268" Type="http://schemas.openxmlformats.org/officeDocument/2006/relationships/image" Target="../media/image124.jpeg"/><Relationship Id="rId475" Type="http://schemas.openxmlformats.org/officeDocument/2006/relationships/image" Target="../media/image194.jpeg"/><Relationship Id="rId682" Type="http://schemas.openxmlformats.org/officeDocument/2006/relationships/image" Target="../media/image290.jpeg"/><Relationship Id="rId128" Type="http://schemas.openxmlformats.org/officeDocument/2006/relationships/hyperlink" Target="http://www.gooood.ru/components/com_virtuemart/shop_image/product/nmnh/77-fnf-06-yb.jpg" TargetMode="External"/><Relationship Id="rId335" Type="http://schemas.openxmlformats.org/officeDocument/2006/relationships/hyperlink" Target="http://www.gooood.ru/components/com_virtuemart/shop_image/product/ton/T-NLS-041-Lb.jpg" TargetMode="External"/><Relationship Id="rId542" Type="http://schemas.openxmlformats.org/officeDocument/2006/relationships/hyperlink" Target="http://www.gooood.ru/components/com_virtuemart/shop_image/product/good/14-101SGbig.jpg" TargetMode="External"/><Relationship Id="rId1172" Type="http://schemas.openxmlformats.org/officeDocument/2006/relationships/hyperlink" Target="http://www.gooood.ru/components/com_virtuemart/shop_image/product/good/28-385big.jpg" TargetMode="External"/><Relationship Id="rId2016" Type="http://schemas.openxmlformats.org/officeDocument/2006/relationships/image" Target="../media/image889.jpeg"/><Relationship Id="rId402" Type="http://schemas.openxmlformats.org/officeDocument/2006/relationships/image" Target="../media/image162.jpeg"/><Relationship Id="rId1032" Type="http://schemas.openxmlformats.org/officeDocument/2006/relationships/hyperlink" Target="http://www.gooood.ru/components/com_virtuemart/shop_image/product/good/30-5564big.jpg" TargetMode="External"/><Relationship Id="rId1989" Type="http://schemas.openxmlformats.org/officeDocument/2006/relationships/image" Target="../media/image879.jpeg"/><Relationship Id="rId1849" Type="http://schemas.openxmlformats.org/officeDocument/2006/relationships/image" Target="../media/image822.jpeg"/><Relationship Id="rId192" Type="http://schemas.openxmlformats.org/officeDocument/2006/relationships/hyperlink" Target="http://www.gooood.ru/pictures/katalog/05_1/44-6502b.jpg" TargetMode="External"/><Relationship Id="rId1709" Type="http://schemas.openxmlformats.org/officeDocument/2006/relationships/image" Target="../media/image757.jpeg"/><Relationship Id="rId1916" Type="http://schemas.openxmlformats.org/officeDocument/2006/relationships/hyperlink" Target="http://www.gooood.ru/components/com_virtuemart/shop_image/product/good/35-6538b.jpg" TargetMode="External"/><Relationship Id="rId2080" Type="http://schemas.openxmlformats.org/officeDocument/2006/relationships/image" Target="../media/image909.jpeg"/><Relationship Id="rId869" Type="http://schemas.openxmlformats.org/officeDocument/2006/relationships/hyperlink" Target="http://www.gooood.ru/components/com_virtuemart/shop_image/product/good/42-136big.jpg" TargetMode="External"/><Relationship Id="rId1499" Type="http://schemas.openxmlformats.org/officeDocument/2006/relationships/hyperlink" Target="http://www.gooood.ru/components/com_virtuemart/shop_image/product/good/34-418big.jpg" TargetMode="External"/><Relationship Id="rId729" Type="http://schemas.openxmlformats.org/officeDocument/2006/relationships/hyperlink" Target="http://www.gooood.ru/components/com_virtuemart/shop_image/product/good/46-285big.jpg" TargetMode="External"/><Relationship Id="rId1359" Type="http://schemas.openxmlformats.org/officeDocument/2006/relationships/hyperlink" Target="http://www.gooood.ru/components/com_virtuemart/shop_image/product/good/81-5590big.jpg" TargetMode="External"/><Relationship Id="rId936" Type="http://schemas.openxmlformats.org/officeDocument/2006/relationships/image" Target="../media/image406.jpeg"/><Relationship Id="rId1219" Type="http://schemas.openxmlformats.org/officeDocument/2006/relationships/hyperlink" Target="http://www.gooood.ru/components/com_virtuemart/shop_image/product/dodo/D-563-02b.jpg" TargetMode="External"/><Relationship Id="rId1566" Type="http://schemas.openxmlformats.org/officeDocument/2006/relationships/image" Target="../media/image679.jpeg"/><Relationship Id="rId1773" Type="http://schemas.openxmlformats.org/officeDocument/2006/relationships/hyperlink" Target="http://www.gooood.ru/components/com_virtuemart/shop_image/product/ton/T-LS-076big.jpg" TargetMode="External"/><Relationship Id="rId1980" Type="http://schemas.openxmlformats.org/officeDocument/2006/relationships/image" Target="../media/image875.jpeg"/><Relationship Id="rId65" Type="http://schemas.openxmlformats.org/officeDocument/2006/relationships/hyperlink" Target="http://www.gooood.ru/pictures/katalog/05_1/34-105b.jpg" TargetMode="External"/><Relationship Id="rId1426" Type="http://schemas.openxmlformats.org/officeDocument/2006/relationships/image" Target="../media/image620.jpeg"/><Relationship Id="rId1633" Type="http://schemas.openxmlformats.org/officeDocument/2006/relationships/image" Target="../media/image709.jpeg"/><Relationship Id="rId1840" Type="http://schemas.openxmlformats.org/officeDocument/2006/relationships/hyperlink" Target="http://www.gooood.ru/components/com_virtuemart/shop_image/product/accessories/MK-001big.jpg" TargetMode="External"/><Relationship Id="rId1700" Type="http://schemas.openxmlformats.org/officeDocument/2006/relationships/image" Target="../media/image748.jpeg"/><Relationship Id="rId379" Type="http://schemas.openxmlformats.org/officeDocument/2006/relationships/hyperlink" Target="http://www.gooood.ru/components/com_virtuemart/shop_image/product/ton/T-TS-038b.jpg" TargetMode="External"/><Relationship Id="rId586" Type="http://schemas.openxmlformats.org/officeDocument/2006/relationships/hyperlink" Target="http://www.gooood.ru/components/com_virtuemart/shop_image/product/nmnh/77-P-007Gbig.jpg" TargetMode="External"/><Relationship Id="rId793" Type="http://schemas.openxmlformats.org/officeDocument/2006/relationships/hyperlink" Target="http://www.gooood.ru/components/com_virtuemart/shop_image/product/dodo/D-496-01b.jpg" TargetMode="External"/><Relationship Id="rId239" Type="http://schemas.openxmlformats.org/officeDocument/2006/relationships/hyperlink" Target="http://www.gooood.ru/pictures/katalog/05_1/34-1501b.jpg" TargetMode="External"/><Relationship Id="rId446" Type="http://schemas.openxmlformats.org/officeDocument/2006/relationships/hyperlink" Target="http://www.gooood.ru/pictures/katalog/05_1/22-1519b.jpg" TargetMode="External"/><Relationship Id="rId653" Type="http://schemas.openxmlformats.org/officeDocument/2006/relationships/image" Target="../media/image277.jpeg"/><Relationship Id="rId1076" Type="http://schemas.openxmlformats.org/officeDocument/2006/relationships/hyperlink" Target="http://www.gooood.ru/components/com_virtuemart/shop_image/product/dodo/D-567-01b.jpg" TargetMode="External"/><Relationship Id="rId1283" Type="http://schemas.openxmlformats.org/officeDocument/2006/relationships/hyperlink" Target="http://www.gooood.ru/components/com_virtuemart/shop_image/product/ton/T-TS-067big.jpg" TargetMode="External"/><Relationship Id="rId1490" Type="http://schemas.openxmlformats.org/officeDocument/2006/relationships/image" Target="../media/image646.jpeg"/><Relationship Id="rId2127" Type="http://schemas.openxmlformats.org/officeDocument/2006/relationships/hyperlink" Target="http://www.gooood.ru/components/com_virtuemart/shop_image/product/good/42-9672big.jpg" TargetMode="External"/><Relationship Id="rId306" Type="http://schemas.openxmlformats.org/officeDocument/2006/relationships/image" Target="../media/image141.jpeg"/><Relationship Id="rId860" Type="http://schemas.openxmlformats.org/officeDocument/2006/relationships/hyperlink" Target="http://www.gooood.ru/components/com_virtuemart/shop_image/product/good/38-417big.jpg" TargetMode="External"/><Relationship Id="rId1143" Type="http://schemas.openxmlformats.org/officeDocument/2006/relationships/hyperlink" Target="http://www.gooood.ru/components/com_virtuemart/shop_image/product/sexylife/SL-NI-M-8.jpg" TargetMode="External"/><Relationship Id="rId513" Type="http://schemas.openxmlformats.org/officeDocument/2006/relationships/image" Target="../media/image212.jpeg"/><Relationship Id="rId720" Type="http://schemas.openxmlformats.org/officeDocument/2006/relationships/image" Target="../media/image308.jpeg"/><Relationship Id="rId1350" Type="http://schemas.openxmlformats.org/officeDocument/2006/relationships/hyperlink" Target="http://www.gooood.ru/components/com_virtuemart/shop_image/product/good/14-1594big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0</xdr:row>
      <xdr:rowOff>57150</xdr:rowOff>
    </xdr:from>
    <xdr:to>
      <xdr:col>4</xdr:col>
      <xdr:colOff>257175</xdr:colOff>
      <xdr:row>1</xdr:row>
      <xdr:rowOff>47625</xdr:rowOff>
    </xdr:to>
    <xdr:pic>
      <xdr:nvPicPr>
        <xdr:cNvPr id="2" name="Picture 62" descr="лого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7150"/>
          <a:ext cx="9048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565</xdr:row>
      <xdr:rowOff>28575</xdr:rowOff>
    </xdr:from>
    <xdr:to>
      <xdr:col>2</xdr:col>
      <xdr:colOff>904875</xdr:colOff>
      <xdr:row>565</xdr:row>
      <xdr:rowOff>142875</xdr:rowOff>
    </xdr:to>
    <xdr:pic>
      <xdr:nvPicPr>
        <xdr:cNvPr id="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487614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748</xdr:row>
      <xdr:rowOff>0</xdr:rowOff>
    </xdr:to>
    <xdr:pic>
      <xdr:nvPicPr>
        <xdr:cNvPr id="4" name="Picture 3916" descr="11-417m">
          <a:hlinkClick xmlns:r="http://schemas.openxmlformats.org/officeDocument/2006/relationships" r:id="rId3"/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5" name="Picture 3917" descr="14-102m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527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282</xdr:row>
      <xdr:rowOff>0</xdr:rowOff>
    </xdr:from>
    <xdr:to>
      <xdr:col>2</xdr:col>
      <xdr:colOff>9525</xdr:colOff>
      <xdr:row>282</xdr:row>
      <xdr:rowOff>0</xdr:rowOff>
    </xdr:to>
    <xdr:pic>
      <xdr:nvPicPr>
        <xdr:cNvPr id="6" name="Picture 3918" descr="14-112m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7" name="Picture 3920" descr="14-119m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8" name="Picture 3921" descr="14-121m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9" name="Picture 3924" descr="14-123m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0" name="Picture 3925" descr="14-125m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1" name="Picture 3926" descr="14-128m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0</xdr:rowOff>
    </xdr:to>
    <xdr:pic>
      <xdr:nvPicPr>
        <xdr:cNvPr id="12" name="Picture 3927" descr="14-136m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3" name="Picture 3928" descr="14-151m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322</xdr:row>
      <xdr:rowOff>0</xdr:rowOff>
    </xdr:from>
    <xdr:to>
      <xdr:col>2</xdr:col>
      <xdr:colOff>0</xdr:colOff>
      <xdr:row>323</xdr:row>
      <xdr:rowOff>0</xdr:rowOff>
    </xdr:to>
    <xdr:pic>
      <xdr:nvPicPr>
        <xdr:cNvPr id="14" name="Picture 3929" descr="14-160m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5" name="Picture 3930" descr="14-167m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329</xdr:row>
      <xdr:rowOff>0</xdr:rowOff>
    </xdr:to>
    <xdr:pic>
      <xdr:nvPicPr>
        <xdr:cNvPr id="16" name="Picture 3931" descr="14-169m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7" name="Picture 3932" descr="14-170m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8" name="Picture 3933" descr="14-172m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329</xdr:row>
      <xdr:rowOff>0</xdr:rowOff>
    </xdr:to>
    <xdr:pic>
      <xdr:nvPicPr>
        <xdr:cNvPr id="19" name="Picture 3934" descr="14-175m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330</xdr:row>
      <xdr:rowOff>0</xdr:rowOff>
    </xdr:to>
    <xdr:pic>
      <xdr:nvPicPr>
        <xdr:cNvPr id="20" name="Picture 3935" descr="14-182m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21" name="Picture 3937" descr="14-186m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22" name="Picture 3939" descr="14-248m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482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23" name="Picture 3941" descr="14-249m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75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410</xdr:row>
      <xdr:rowOff>0</xdr:rowOff>
    </xdr:from>
    <xdr:to>
      <xdr:col>2</xdr:col>
      <xdr:colOff>0</xdr:colOff>
      <xdr:row>411</xdr:row>
      <xdr:rowOff>0</xdr:rowOff>
    </xdr:to>
    <xdr:pic>
      <xdr:nvPicPr>
        <xdr:cNvPr id="24" name="Picture 3945" descr="14-922m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141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25" name="Picture 3946" descr="14-938m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091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465</xdr:row>
      <xdr:rowOff>0</xdr:rowOff>
    </xdr:to>
    <xdr:pic>
      <xdr:nvPicPr>
        <xdr:cNvPr id="26" name="Picture 3948" descr="28-379m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468</xdr:row>
      <xdr:rowOff>0</xdr:rowOff>
    </xdr:from>
    <xdr:to>
      <xdr:col>2</xdr:col>
      <xdr:colOff>0</xdr:colOff>
      <xdr:row>469</xdr:row>
      <xdr:rowOff>0</xdr:rowOff>
    </xdr:to>
    <xdr:pic>
      <xdr:nvPicPr>
        <xdr:cNvPr id="27" name="Picture 3949" descr="28-417m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1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469</xdr:row>
      <xdr:rowOff>0</xdr:rowOff>
    </xdr:from>
    <xdr:to>
      <xdr:col>2</xdr:col>
      <xdr:colOff>0</xdr:colOff>
      <xdr:row>470</xdr:row>
      <xdr:rowOff>0</xdr:rowOff>
    </xdr:to>
    <xdr:pic>
      <xdr:nvPicPr>
        <xdr:cNvPr id="28" name="Picture 3950" descr="28-427m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1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465</xdr:row>
      <xdr:rowOff>0</xdr:rowOff>
    </xdr:from>
    <xdr:to>
      <xdr:col>2</xdr:col>
      <xdr:colOff>0</xdr:colOff>
      <xdr:row>465</xdr:row>
      <xdr:rowOff>0</xdr:rowOff>
    </xdr:to>
    <xdr:pic>
      <xdr:nvPicPr>
        <xdr:cNvPr id="29" name="Picture 3951" descr="28-515m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474</xdr:row>
      <xdr:rowOff>0</xdr:rowOff>
    </xdr:from>
    <xdr:to>
      <xdr:col>2</xdr:col>
      <xdr:colOff>0</xdr:colOff>
      <xdr:row>475</xdr:row>
      <xdr:rowOff>0</xdr:rowOff>
    </xdr:to>
    <xdr:pic>
      <xdr:nvPicPr>
        <xdr:cNvPr id="30" name="Picture 3952" descr="28-558m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647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476</xdr:row>
      <xdr:rowOff>0</xdr:rowOff>
    </xdr:from>
    <xdr:to>
      <xdr:col>2</xdr:col>
      <xdr:colOff>0</xdr:colOff>
      <xdr:row>477</xdr:row>
      <xdr:rowOff>0</xdr:rowOff>
    </xdr:to>
    <xdr:pic>
      <xdr:nvPicPr>
        <xdr:cNvPr id="31" name="Picture 3953" descr="28-585m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23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487</xdr:row>
      <xdr:rowOff>0</xdr:rowOff>
    </xdr:from>
    <xdr:to>
      <xdr:col>2</xdr:col>
      <xdr:colOff>0</xdr:colOff>
      <xdr:row>488</xdr:row>
      <xdr:rowOff>0</xdr:rowOff>
    </xdr:to>
    <xdr:pic>
      <xdr:nvPicPr>
        <xdr:cNvPr id="32" name="Picture 3955" descr="30-123m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33" name="Picture 3956" descr="30-125m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490</xdr:row>
      <xdr:rowOff>0</xdr:rowOff>
    </xdr:to>
    <xdr:pic>
      <xdr:nvPicPr>
        <xdr:cNvPr id="34" name="Picture 3957" descr="30-128m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484</xdr:row>
      <xdr:rowOff>0</xdr:rowOff>
    </xdr:from>
    <xdr:to>
      <xdr:col>2</xdr:col>
      <xdr:colOff>0</xdr:colOff>
      <xdr:row>485</xdr:row>
      <xdr:rowOff>0</xdr:rowOff>
    </xdr:to>
    <xdr:pic>
      <xdr:nvPicPr>
        <xdr:cNvPr id="35" name="Picture 3959" descr="30-172m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1128</xdr:row>
      <xdr:rowOff>0</xdr:rowOff>
    </xdr:from>
    <xdr:to>
      <xdr:col>2</xdr:col>
      <xdr:colOff>0</xdr:colOff>
      <xdr:row>1128</xdr:row>
      <xdr:rowOff>0</xdr:rowOff>
    </xdr:to>
    <xdr:pic>
      <xdr:nvPicPr>
        <xdr:cNvPr id="36" name="Picture 3960" descr="30-186-1m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658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37" name="Picture 3961" descr="30-417m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486</xdr:row>
      <xdr:rowOff>0</xdr:rowOff>
    </xdr:from>
    <xdr:to>
      <xdr:col>2</xdr:col>
      <xdr:colOff>0</xdr:colOff>
      <xdr:row>487</xdr:row>
      <xdr:rowOff>0</xdr:rowOff>
    </xdr:to>
    <xdr:pic>
      <xdr:nvPicPr>
        <xdr:cNvPr id="38" name="Picture 3962" descr="30-427m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511</xdr:row>
      <xdr:rowOff>0</xdr:rowOff>
    </xdr:from>
    <xdr:to>
      <xdr:col>2</xdr:col>
      <xdr:colOff>0</xdr:colOff>
      <xdr:row>512</xdr:row>
      <xdr:rowOff>0</xdr:rowOff>
    </xdr:to>
    <xdr:pic>
      <xdr:nvPicPr>
        <xdr:cNvPr id="39" name="Picture 3963" descr="34-105m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40" name="Picture 3964" descr="34-121m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512</xdr:row>
      <xdr:rowOff>0</xdr:rowOff>
    </xdr:from>
    <xdr:to>
      <xdr:col>2</xdr:col>
      <xdr:colOff>0</xdr:colOff>
      <xdr:row>513</xdr:row>
      <xdr:rowOff>0</xdr:rowOff>
    </xdr:to>
    <xdr:pic>
      <xdr:nvPicPr>
        <xdr:cNvPr id="41" name="Picture 3965" descr="34-123m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514</xdr:row>
      <xdr:rowOff>0</xdr:rowOff>
    </xdr:to>
    <xdr:pic>
      <xdr:nvPicPr>
        <xdr:cNvPr id="42" name="Picture 3966" descr="34-125m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0</xdr:rowOff>
    </xdr:to>
    <xdr:pic>
      <xdr:nvPicPr>
        <xdr:cNvPr id="43" name="Picture 3967" descr="34-136m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44" name="Picture 3968" descr="34-141m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45" name="Picture 3969" descr="34-170m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46" name="Picture 3970" descr="34-172m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531</xdr:row>
      <xdr:rowOff>0</xdr:rowOff>
    </xdr:from>
    <xdr:to>
      <xdr:col>2</xdr:col>
      <xdr:colOff>0</xdr:colOff>
      <xdr:row>532</xdr:row>
      <xdr:rowOff>0</xdr:rowOff>
    </xdr:to>
    <xdr:pic>
      <xdr:nvPicPr>
        <xdr:cNvPr id="47" name="Picture 3971" descr="34-184m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538</xdr:row>
      <xdr:rowOff>0</xdr:rowOff>
    </xdr:to>
    <xdr:pic>
      <xdr:nvPicPr>
        <xdr:cNvPr id="48" name="Picture 3972" descr="34-248m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551</xdr:row>
      <xdr:rowOff>0</xdr:rowOff>
    </xdr:from>
    <xdr:to>
      <xdr:col>2</xdr:col>
      <xdr:colOff>0</xdr:colOff>
      <xdr:row>552</xdr:row>
      <xdr:rowOff>0</xdr:rowOff>
    </xdr:to>
    <xdr:pic>
      <xdr:nvPicPr>
        <xdr:cNvPr id="49" name="Picture 3974" descr="34-284m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561</xdr:row>
      <xdr:rowOff>0</xdr:rowOff>
    </xdr:from>
    <xdr:to>
      <xdr:col>2</xdr:col>
      <xdr:colOff>0</xdr:colOff>
      <xdr:row>562</xdr:row>
      <xdr:rowOff>0</xdr:rowOff>
    </xdr:to>
    <xdr:pic>
      <xdr:nvPicPr>
        <xdr:cNvPr id="50" name="Picture 3975" descr="34-384m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599</xdr:row>
      <xdr:rowOff>0</xdr:rowOff>
    </xdr:from>
    <xdr:to>
      <xdr:col>2</xdr:col>
      <xdr:colOff>0</xdr:colOff>
      <xdr:row>600</xdr:row>
      <xdr:rowOff>0</xdr:rowOff>
    </xdr:to>
    <xdr:pic>
      <xdr:nvPicPr>
        <xdr:cNvPr id="51" name="Picture 3977" descr="34-922m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601</xdr:row>
      <xdr:rowOff>0</xdr:rowOff>
    </xdr:to>
    <xdr:pic>
      <xdr:nvPicPr>
        <xdr:cNvPr id="52" name="Picture 3978" descr="34-938m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626</xdr:row>
      <xdr:rowOff>0</xdr:rowOff>
    </xdr:to>
    <xdr:pic>
      <xdr:nvPicPr>
        <xdr:cNvPr id="53" name="Picture 3980" descr="36-128m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14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54" name="Picture 3981" descr="36-136m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14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649</xdr:row>
      <xdr:rowOff>0</xdr:rowOff>
    </xdr:from>
    <xdr:to>
      <xdr:col>2</xdr:col>
      <xdr:colOff>0</xdr:colOff>
      <xdr:row>650</xdr:row>
      <xdr:rowOff>0</xdr:rowOff>
    </xdr:to>
    <xdr:pic>
      <xdr:nvPicPr>
        <xdr:cNvPr id="55" name="Picture 3982" descr="36-160m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857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615</xdr:row>
      <xdr:rowOff>0</xdr:rowOff>
    </xdr:from>
    <xdr:to>
      <xdr:col>2</xdr:col>
      <xdr:colOff>0</xdr:colOff>
      <xdr:row>616</xdr:row>
      <xdr:rowOff>0</xdr:rowOff>
    </xdr:to>
    <xdr:pic>
      <xdr:nvPicPr>
        <xdr:cNvPr id="56" name="Picture 3983" descr="36-922m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52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277</xdr:row>
      <xdr:rowOff>0</xdr:rowOff>
    </xdr:to>
    <xdr:pic>
      <xdr:nvPicPr>
        <xdr:cNvPr id="57" name="Picture 3984" descr="38-694m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2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683</xdr:row>
      <xdr:rowOff>0</xdr:rowOff>
    </xdr:from>
    <xdr:to>
      <xdr:col>2</xdr:col>
      <xdr:colOff>0</xdr:colOff>
      <xdr:row>684</xdr:row>
      <xdr:rowOff>0</xdr:rowOff>
    </xdr:to>
    <xdr:pic>
      <xdr:nvPicPr>
        <xdr:cNvPr id="58" name="Picture 3986" descr="41-492m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684</xdr:row>
      <xdr:rowOff>0</xdr:rowOff>
    </xdr:from>
    <xdr:to>
      <xdr:col>2</xdr:col>
      <xdr:colOff>0</xdr:colOff>
      <xdr:row>685</xdr:row>
      <xdr:rowOff>0</xdr:rowOff>
    </xdr:to>
    <xdr:pic>
      <xdr:nvPicPr>
        <xdr:cNvPr id="59" name="Picture 3988" descr="41-692m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879</xdr:row>
      <xdr:rowOff>0</xdr:rowOff>
    </xdr:to>
    <xdr:pic>
      <xdr:nvPicPr>
        <xdr:cNvPr id="60" name="Picture 3989" descr="a-103m">
          <a:hlinkClick xmlns:r="http://schemas.openxmlformats.org/officeDocument/2006/relationships" r:id="rId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879</xdr:row>
      <xdr:rowOff>0</xdr:rowOff>
    </xdr:to>
    <xdr:pic>
      <xdr:nvPicPr>
        <xdr:cNvPr id="61" name="Picture 3991" descr="a-107m">
          <a:hlinkClick xmlns:r="http://schemas.openxmlformats.org/officeDocument/2006/relationships" r:id="rId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879</xdr:row>
      <xdr:rowOff>0</xdr:rowOff>
    </xdr:to>
    <xdr:pic>
      <xdr:nvPicPr>
        <xdr:cNvPr id="62" name="Picture 3992" descr="a-109m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63" name="Picture 4004" descr="41-392m">
          <a:hlinkClick xmlns:r="http://schemas.openxmlformats.org/officeDocument/2006/relationships" r:id="rId100"/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64" name="Picture 4017" descr="14-289m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65" name="Picture 4022" descr="14-879m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0655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481</xdr:row>
      <xdr:rowOff>0</xdr:rowOff>
    </xdr:from>
    <xdr:to>
      <xdr:col>2</xdr:col>
      <xdr:colOff>0</xdr:colOff>
      <xdr:row>482</xdr:row>
      <xdr:rowOff>0</xdr:rowOff>
    </xdr:to>
    <xdr:pic>
      <xdr:nvPicPr>
        <xdr:cNvPr id="66" name="Picture 4023" descr="28-674m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748</xdr:row>
      <xdr:rowOff>0</xdr:rowOff>
    </xdr:to>
    <xdr:pic>
      <xdr:nvPicPr>
        <xdr:cNvPr id="67" name="Picture 4026" descr="11-418m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357</xdr:row>
      <xdr:rowOff>0</xdr:rowOff>
    </xdr:from>
    <xdr:to>
      <xdr:col>2</xdr:col>
      <xdr:colOff>0</xdr:colOff>
      <xdr:row>358</xdr:row>
      <xdr:rowOff>0</xdr:rowOff>
    </xdr:to>
    <xdr:pic>
      <xdr:nvPicPr>
        <xdr:cNvPr id="68" name="Picture 4027" descr="14-374m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753</xdr:row>
      <xdr:rowOff>0</xdr:rowOff>
    </xdr:from>
    <xdr:to>
      <xdr:col>2</xdr:col>
      <xdr:colOff>0</xdr:colOff>
      <xdr:row>753</xdr:row>
      <xdr:rowOff>0</xdr:rowOff>
    </xdr:to>
    <xdr:pic>
      <xdr:nvPicPr>
        <xdr:cNvPr id="69" name="Picture 4029" descr="15-918m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880</xdr:row>
      <xdr:rowOff>0</xdr:rowOff>
    </xdr:from>
    <xdr:to>
      <xdr:col>2</xdr:col>
      <xdr:colOff>0</xdr:colOff>
      <xdr:row>880</xdr:row>
      <xdr:rowOff>0</xdr:rowOff>
    </xdr:to>
    <xdr:pic>
      <xdr:nvPicPr>
        <xdr:cNvPr id="70" name="Picture 4034" descr="a-111m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932</xdr:row>
      <xdr:rowOff>0</xdr:rowOff>
    </xdr:from>
    <xdr:to>
      <xdr:col>2</xdr:col>
      <xdr:colOff>0</xdr:colOff>
      <xdr:row>933</xdr:row>
      <xdr:rowOff>0</xdr:rowOff>
    </xdr:to>
    <xdr:pic>
      <xdr:nvPicPr>
        <xdr:cNvPr id="71" name="Picture 4042" descr="rw-024-bm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933</xdr:row>
      <xdr:rowOff>0</xdr:rowOff>
    </xdr:from>
    <xdr:to>
      <xdr:col>2</xdr:col>
      <xdr:colOff>0</xdr:colOff>
      <xdr:row>934</xdr:row>
      <xdr:rowOff>0</xdr:rowOff>
    </xdr:to>
    <xdr:pic>
      <xdr:nvPicPr>
        <xdr:cNvPr id="72" name="Picture 4043" descr="rw-033-gm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338</xdr:row>
      <xdr:rowOff>0</xdr:rowOff>
    </xdr:to>
    <xdr:pic>
      <xdr:nvPicPr>
        <xdr:cNvPr id="73" name="Picture 4058" descr="14-218m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810</xdr:row>
      <xdr:rowOff>0</xdr:rowOff>
    </xdr:from>
    <xdr:to>
      <xdr:col>2</xdr:col>
      <xdr:colOff>0</xdr:colOff>
      <xdr:row>811</xdr:row>
      <xdr:rowOff>0</xdr:rowOff>
    </xdr:to>
    <xdr:pic>
      <xdr:nvPicPr>
        <xdr:cNvPr id="74" name="Picture 4134" descr="77-en-002m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814</xdr:row>
      <xdr:rowOff>0</xdr:rowOff>
    </xdr:from>
    <xdr:to>
      <xdr:col>2</xdr:col>
      <xdr:colOff>0</xdr:colOff>
      <xdr:row>815</xdr:row>
      <xdr:rowOff>0</xdr:rowOff>
    </xdr:to>
    <xdr:pic>
      <xdr:nvPicPr>
        <xdr:cNvPr id="75" name="Picture 4138" descr="77-fnf-04-bm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815</xdr:row>
      <xdr:rowOff>0</xdr:rowOff>
    </xdr:from>
    <xdr:to>
      <xdr:col>2</xdr:col>
      <xdr:colOff>0</xdr:colOff>
      <xdr:row>816</xdr:row>
      <xdr:rowOff>0</xdr:rowOff>
    </xdr:to>
    <xdr:pic>
      <xdr:nvPicPr>
        <xdr:cNvPr id="76" name="Picture 4140" descr="77-fnf-06-pm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816</xdr:row>
      <xdr:rowOff>0</xdr:rowOff>
    </xdr:from>
    <xdr:to>
      <xdr:col>2</xdr:col>
      <xdr:colOff>0</xdr:colOff>
      <xdr:row>817</xdr:row>
      <xdr:rowOff>0</xdr:rowOff>
    </xdr:to>
    <xdr:pic>
      <xdr:nvPicPr>
        <xdr:cNvPr id="77" name="Picture 4141" descr="77-fnf-06-ym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817</xdr:row>
      <xdr:rowOff>0</xdr:rowOff>
    </xdr:from>
    <xdr:to>
      <xdr:col>2</xdr:col>
      <xdr:colOff>0</xdr:colOff>
      <xdr:row>818</xdr:row>
      <xdr:rowOff>0</xdr:rowOff>
    </xdr:to>
    <xdr:pic>
      <xdr:nvPicPr>
        <xdr:cNvPr id="78" name="Picture 4143" descr="77-fnf-10-gm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824</xdr:row>
      <xdr:rowOff>0</xdr:rowOff>
    </xdr:from>
    <xdr:to>
      <xdr:col>2</xdr:col>
      <xdr:colOff>0</xdr:colOff>
      <xdr:row>825</xdr:row>
      <xdr:rowOff>0</xdr:rowOff>
    </xdr:to>
    <xdr:pic>
      <xdr:nvPicPr>
        <xdr:cNvPr id="79" name="Picture 4144" descr="77-rm-008m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837</xdr:row>
      <xdr:rowOff>0</xdr:rowOff>
    </xdr:from>
    <xdr:to>
      <xdr:col>2</xdr:col>
      <xdr:colOff>0</xdr:colOff>
      <xdr:row>838</xdr:row>
      <xdr:rowOff>0</xdr:rowOff>
    </xdr:to>
    <xdr:pic>
      <xdr:nvPicPr>
        <xdr:cNvPr id="80" name="Picture 4145" descr="77-wl-013m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840</xdr:row>
      <xdr:rowOff>0</xdr:rowOff>
    </xdr:from>
    <xdr:to>
      <xdr:col>2</xdr:col>
      <xdr:colOff>0</xdr:colOff>
      <xdr:row>841</xdr:row>
      <xdr:rowOff>0</xdr:rowOff>
    </xdr:to>
    <xdr:pic>
      <xdr:nvPicPr>
        <xdr:cNvPr id="81" name="Picture 4146" descr="77-wl-051m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508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351</xdr:row>
      <xdr:rowOff>0</xdr:rowOff>
    </xdr:to>
    <xdr:pic>
      <xdr:nvPicPr>
        <xdr:cNvPr id="82" name="Picture 4150" descr="14-298m">
          <a:hlinkClick xmlns:r="http://schemas.openxmlformats.org/officeDocument/2006/relationships" r:id="rId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329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537</xdr:row>
      <xdr:rowOff>0</xdr:rowOff>
    </xdr:to>
    <xdr:pic>
      <xdr:nvPicPr>
        <xdr:cNvPr id="83" name="Picture 4152" descr="34-262m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84" name="Picture 4153" descr="14-235m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337</xdr:row>
      <xdr:rowOff>0</xdr:rowOff>
    </xdr:to>
    <xdr:pic>
      <xdr:nvPicPr>
        <xdr:cNvPr id="85" name="Picture 4154" descr="14-215m">
          <a:hlinkClick xmlns:r="http://schemas.openxmlformats.org/officeDocument/2006/relationships" r:id="rId1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340</xdr:row>
      <xdr:rowOff>0</xdr:rowOff>
    </xdr:to>
    <xdr:pic>
      <xdr:nvPicPr>
        <xdr:cNvPr id="86" name="Picture 4155" descr="14-254m">
          <a:hlinkClick xmlns:r="http://schemas.openxmlformats.org/officeDocument/2006/relationships" r:id="rId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75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839</xdr:row>
      <xdr:rowOff>0</xdr:rowOff>
    </xdr:from>
    <xdr:to>
      <xdr:col>2</xdr:col>
      <xdr:colOff>0</xdr:colOff>
      <xdr:row>840</xdr:row>
      <xdr:rowOff>0</xdr:rowOff>
    </xdr:to>
    <xdr:pic>
      <xdr:nvPicPr>
        <xdr:cNvPr id="87" name="Picture 4157" descr="77-wl-034m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508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88" name="Picture 4164" descr="14-130m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81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89" name="Picture 4166" descr="14-1501m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825</xdr:row>
      <xdr:rowOff>0</xdr:rowOff>
    </xdr:from>
    <xdr:to>
      <xdr:col>2</xdr:col>
      <xdr:colOff>0</xdr:colOff>
      <xdr:row>826</xdr:row>
      <xdr:rowOff>0</xdr:rowOff>
    </xdr:to>
    <xdr:pic>
      <xdr:nvPicPr>
        <xdr:cNvPr id="90" name="Picture 4171" descr="77-vm-101-bm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0698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826</xdr:row>
      <xdr:rowOff>0</xdr:rowOff>
    </xdr:from>
    <xdr:to>
      <xdr:col>2</xdr:col>
      <xdr:colOff>0</xdr:colOff>
      <xdr:row>827</xdr:row>
      <xdr:rowOff>0</xdr:rowOff>
    </xdr:to>
    <xdr:pic>
      <xdr:nvPicPr>
        <xdr:cNvPr id="91" name="Picture 4172" descr="77-vm-101-om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1460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827</xdr:row>
      <xdr:rowOff>0</xdr:rowOff>
    </xdr:from>
    <xdr:to>
      <xdr:col>2</xdr:col>
      <xdr:colOff>0</xdr:colOff>
      <xdr:row>828</xdr:row>
      <xdr:rowOff>0</xdr:rowOff>
    </xdr:to>
    <xdr:pic>
      <xdr:nvPicPr>
        <xdr:cNvPr id="92" name="Picture 4174" descr="77-vm-215-bm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2222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828</xdr:row>
      <xdr:rowOff>0</xdr:rowOff>
    </xdr:from>
    <xdr:to>
      <xdr:col>2</xdr:col>
      <xdr:colOff>0</xdr:colOff>
      <xdr:row>829</xdr:row>
      <xdr:rowOff>0</xdr:rowOff>
    </xdr:to>
    <xdr:pic>
      <xdr:nvPicPr>
        <xdr:cNvPr id="93" name="Picture 4175" descr="77-vm-215-gm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2984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829</xdr:row>
      <xdr:rowOff>0</xdr:rowOff>
    </xdr:from>
    <xdr:to>
      <xdr:col>2</xdr:col>
      <xdr:colOff>0</xdr:colOff>
      <xdr:row>830</xdr:row>
      <xdr:rowOff>0</xdr:rowOff>
    </xdr:to>
    <xdr:pic>
      <xdr:nvPicPr>
        <xdr:cNvPr id="94" name="Picture 4176" descr="77-vw-098-pm">
          <a:hlinkClick xmlns:r="http://schemas.openxmlformats.org/officeDocument/2006/relationships" r:id="rId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830</xdr:row>
      <xdr:rowOff>0</xdr:rowOff>
    </xdr:from>
    <xdr:to>
      <xdr:col>2</xdr:col>
      <xdr:colOff>0</xdr:colOff>
      <xdr:row>831</xdr:row>
      <xdr:rowOff>0</xdr:rowOff>
    </xdr:to>
    <xdr:pic>
      <xdr:nvPicPr>
        <xdr:cNvPr id="95" name="Picture 4177" descr="77-vw-106-bm">
          <a:hlinkClick xmlns:r="http://schemas.openxmlformats.org/officeDocument/2006/relationships" r:id="rId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832</xdr:row>
      <xdr:rowOff>0</xdr:rowOff>
    </xdr:from>
    <xdr:to>
      <xdr:col>2</xdr:col>
      <xdr:colOff>0</xdr:colOff>
      <xdr:row>833</xdr:row>
      <xdr:rowOff>0</xdr:rowOff>
    </xdr:to>
    <xdr:pic>
      <xdr:nvPicPr>
        <xdr:cNvPr id="96" name="Picture 4178" descr="77-vw-121-bm">
          <a:hlinkClick xmlns:r="http://schemas.openxmlformats.org/officeDocument/2006/relationships" r:id="rId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833</xdr:row>
      <xdr:rowOff>0</xdr:rowOff>
    </xdr:from>
    <xdr:to>
      <xdr:col>2</xdr:col>
      <xdr:colOff>0</xdr:colOff>
      <xdr:row>834</xdr:row>
      <xdr:rowOff>0</xdr:rowOff>
    </xdr:to>
    <xdr:pic>
      <xdr:nvPicPr>
        <xdr:cNvPr id="97" name="Picture 4179" descr="77-vw-121-gm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834</xdr:row>
      <xdr:rowOff>0</xdr:rowOff>
    </xdr:from>
    <xdr:to>
      <xdr:col>2</xdr:col>
      <xdr:colOff>0</xdr:colOff>
      <xdr:row>835</xdr:row>
      <xdr:rowOff>0</xdr:rowOff>
    </xdr:to>
    <xdr:pic>
      <xdr:nvPicPr>
        <xdr:cNvPr id="98" name="Picture 4180" descr="77-vw-213-rm">
          <a:hlinkClick xmlns:r="http://schemas.openxmlformats.org/officeDocument/2006/relationships" r:id="rId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835</xdr:row>
      <xdr:rowOff>0</xdr:rowOff>
    </xdr:from>
    <xdr:to>
      <xdr:col>2</xdr:col>
      <xdr:colOff>0</xdr:colOff>
      <xdr:row>836</xdr:row>
      <xdr:rowOff>0</xdr:rowOff>
    </xdr:to>
    <xdr:pic>
      <xdr:nvPicPr>
        <xdr:cNvPr id="99" name="Picture 4181" descr="77-vw-229-gm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836</xdr:row>
      <xdr:rowOff>0</xdr:rowOff>
    </xdr:from>
    <xdr:to>
      <xdr:col>2</xdr:col>
      <xdr:colOff>0</xdr:colOff>
      <xdr:row>837</xdr:row>
      <xdr:rowOff>0</xdr:rowOff>
    </xdr:to>
    <xdr:pic>
      <xdr:nvPicPr>
        <xdr:cNvPr id="100" name="Picture 4184" descr="77-vw-229-pm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838</xdr:row>
      <xdr:rowOff>0</xdr:rowOff>
    </xdr:from>
    <xdr:to>
      <xdr:col>2</xdr:col>
      <xdr:colOff>0</xdr:colOff>
      <xdr:row>839</xdr:row>
      <xdr:rowOff>0</xdr:rowOff>
    </xdr:to>
    <xdr:pic>
      <xdr:nvPicPr>
        <xdr:cNvPr id="101" name="Picture 4186" descr="77-wl-017m">
          <a:hlinkClick xmlns:r="http://schemas.openxmlformats.org/officeDocument/2006/relationships" r:id="rId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813</xdr:row>
      <xdr:rowOff>0</xdr:rowOff>
    </xdr:from>
    <xdr:to>
      <xdr:col>2</xdr:col>
      <xdr:colOff>0</xdr:colOff>
      <xdr:row>814</xdr:row>
      <xdr:rowOff>0</xdr:rowOff>
    </xdr:to>
    <xdr:pic>
      <xdr:nvPicPr>
        <xdr:cNvPr id="102" name="Picture 4187" descr="77-en-154m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03" name="Picture 4191" descr="14-197m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104" name="Picture 4200" descr="34-1502m">
          <a:hlinkClick xmlns:r="http://schemas.openxmlformats.org/officeDocument/2006/relationships" r:id="rId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554</xdr:row>
      <xdr:rowOff>0</xdr:rowOff>
    </xdr:from>
    <xdr:to>
      <xdr:col>2</xdr:col>
      <xdr:colOff>0</xdr:colOff>
      <xdr:row>555</xdr:row>
      <xdr:rowOff>0</xdr:rowOff>
    </xdr:to>
    <xdr:pic>
      <xdr:nvPicPr>
        <xdr:cNvPr id="105" name="Picture 4201" descr="34-3502m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557</xdr:row>
      <xdr:rowOff>0</xdr:rowOff>
    </xdr:to>
    <xdr:pic>
      <xdr:nvPicPr>
        <xdr:cNvPr id="106" name="Picture 4202" descr="34-357m">
          <a:hlinkClick xmlns:r="http://schemas.openxmlformats.org/officeDocument/2006/relationships" r:id="rId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582</xdr:row>
      <xdr:rowOff>0</xdr:rowOff>
    </xdr:from>
    <xdr:to>
      <xdr:col>2</xdr:col>
      <xdr:colOff>0</xdr:colOff>
      <xdr:row>583</xdr:row>
      <xdr:rowOff>0</xdr:rowOff>
    </xdr:to>
    <xdr:pic>
      <xdr:nvPicPr>
        <xdr:cNvPr id="107" name="Picture 4203" descr="34-6502m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585</xdr:row>
      <xdr:rowOff>0</xdr:rowOff>
    </xdr:from>
    <xdr:to>
      <xdr:col>2</xdr:col>
      <xdr:colOff>0</xdr:colOff>
      <xdr:row>586</xdr:row>
      <xdr:rowOff>0</xdr:rowOff>
    </xdr:to>
    <xdr:pic>
      <xdr:nvPicPr>
        <xdr:cNvPr id="108" name="Picture 4204" descr="34-657m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715</xdr:row>
      <xdr:rowOff>0</xdr:rowOff>
    </xdr:from>
    <xdr:to>
      <xdr:col>2</xdr:col>
      <xdr:colOff>0</xdr:colOff>
      <xdr:row>716</xdr:row>
      <xdr:rowOff>0</xdr:rowOff>
    </xdr:to>
    <xdr:pic>
      <xdr:nvPicPr>
        <xdr:cNvPr id="109" name="Picture 4205" descr="44-6502m">
          <a:hlinkClick xmlns:r="http://schemas.openxmlformats.org/officeDocument/2006/relationships" r:id="rId1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708</xdr:row>
      <xdr:rowOff>0</xdr:rowOff>
    </xdr:from>
    <xdr:to>
      <xdr:col>2</xdr:col>
      <xdr:colOff>0</xdr:colOff>
      <xdr:row>709</xdr:row>
      <xdr:rowOff>0</xdr:rowOff>
    </xdr:to>
    <xdr:pic>
      <xdr:nvPicPr>
        <xdr:cNvPr id="110" name="Picture 4206" descr="44-1502m">
          <a:hlinkClick xmlns:r="http://schemas.openxmlformats.org/officeDocument/2006/relationships" r:id="rId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831</xdr:row>
      <xdr:rowOff>0</xdr:rowOff>
    </xdr:from>
    <xdr:to>
      <xdr:col>2</xdr:col>
      <xdr:colOff>0</xdr:colOff>
      <xdr:row>832</xdr:row>
      <xdr:rowOff>0</xdr:rowOff>
    </xdr:to>
    <xdr:pic>
      <xdr:nvPicPr>
        <xdr:cNvPr id="111" name="Picture 5011" descr="77-vw-106-pm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74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12" name="Picture 21372" descr="14-1505-1m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13" name="Picture 21373" descr="14-1505m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14" name="Picture 21374" descr="14-1507m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15" name="Picture 21375" descr="14-1508m">
          <a:hlinkClick xmlns:r="http://schemas.openxmlformats.org/officeDocument/2006/relationships" r:id="rId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16" name="Picture 21376" descr="14-1509m">
          <a:hlinkClick xmlns:r="http://schemas.openxmlformats.org/officeDocument/2006/relationships" r:id="rId2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0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341</xdr:row>
      <xdr:rowOff>0</xdr:rowOff>
    </xdr:from>
    <xdr:to>
      <xdr:col>2</xdr:col>
      <xdr:colOff>0</xdr:colOff>
      <xdr:row>342</xdr:row>
      <xdr:rowOff>0</xdr:rowOff>
    </xdr:to>
    <xdr:pic>
      <xdr:nvPicPr>
        <xdr:cNvPr id="117" name="Picture 21377" descr="14-2508m">
          <a:hlinkClick xmlns:r="http://schemas.openxmlformats.org/officeDocument/2006/relationships" r:id="rId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75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459</xdr:row>
      <xdr:rowOff>0</xdr:rowOff>
    </xdr:from>
    <xdr:to>
      <xdr:col>2</xdr:col>
      <xdr:colOff>0</xdr:colOff>
      <xdr:row>460</xdr:row>
      <xdr:rowOff>0</xdr:rowOff>
    </xdr:to>
    <xdr:pic>
      <xdr:nvPicPr>
        <xdr:cNvPr id="118" name="Picture 21379" descr="28-3503m">
          <a:hlinkClick xmlns:r="http://schemas.openxmlformats.org/officeDocument/2006/relationships" r:id="rId2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119" name="Picture 21380" descr="28-4504m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477</xdr:row>
      <xdr:rowOff>0</xdr:rowOff>
    </xdr:from>
    <xdr:to>
      <xdr:col>2</xdr:col>
      <xdr:colOff>0</xdr:colOff>
      <xdr:row>478</xdr:row>
      <xdr:rowOff>0</xdr:rowOff>
    </xdr:to>
    <xdr:pic>
      <xdr:nvPicPr>
        <xdr:cNvPr id="120" name="Picture 21381" descr="28-6503m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23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479</xdr:row>
      <xdr:rowOff>0</xdr:rowOff>
    </xdr:to>
    <xdr:pic>
      <xdr:nvPicPr>
        <xdr:cNvPr id="121" name="Picture 21382" descr="28-6504m">
          <a:hlinkClick xmlns:r="http://schemas.openxmlformats.org/officeDocument/2006/relationships" r:id="rId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23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22" name="Picture 21383" descr="34-1505m">
          <a:hlinkClick xmlns:r="http://schemas.openxmlformats.org/officeDocument/2006/relationships" r:id="rId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23" name="Picture 21384" descr="34-1505-1m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584</xdr:row>
      <xdr:rowOff>0</xdr:rowOff>
    </xdr:to>
    <xdr:pic>
      <xdr:nvPicPr>
        <xdr:cNvPr id="124" name="Picture 21385" descr="34-6504m">
          <a:hlinkClick xmlns:r="http://schemas.openxmlformats.org/officeDocument/2006/relationships" r:id="rId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602</xdr:row>
      <xdr:rowOff>0</xdr:rowOff>
    </xdr:from>
    <xdr:to>
      <xdr:col>2</xdr:col>
      <xdr:colOff>0</xdr:colOff>
      <xdr:row>603</xdr:row>
      <xdr:rowOff>0</xdr:rowOff>
    </xdr:to>
    <xdr:pic>
      <xdr:nvPicPr>
        <xdr:cNvPr id="125" name="Picture 21386" descr="34-9504m">
          <a:hlinkClick xmlns:r="http://schemas.openxmlformats.org/officeDocument/2006/relationships" r:id="rId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749</xdr:row>
      <xdr:rowOff>0</xdr:rowOff>
    </xdr:to>
    <xdr:pic>
      <xdr:nvPicPr>
        <xdr:cNvPr id="126" name="Picture 21388" descr="50-1509m">
          <a:hlinkClick xmlns:r="http://schemas.openxmlformats.org/officeDocument/2006/relationships" r:id="rId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519</xdr:row>
      <xdr:rowOff>0</xdr:rowOff>
    </xdr:from>
    <xdr:to>
      <xdr:col>2</xdr:col>
      <xdr:colOff>0</xdr:colOff>
      <xdr:row>520</xdr:row>
      <xdr:rowOff>0</xdr:rowOff>
    </xdr:to>
    <xdr:pic>
      <xdr:nvPicPr>
        <xdr:cNvPr id="127" name="Picture 21402" descr="34-1511m">
          <a:hlinkClick xmlns:r="http://schemas.openxmlformats.org/officeDocument/2006/relationships" r:id="rId2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680</xdr:row>
      <xdr:rowOff>0</xdr:rowOff>
    </xdr:from>
    <xdr:to>
      <xdr:col>2</xdr:col>
      <xdr:colOff>0</xdr:colOff>
      <xdr:row>681</xdr:row>
      <xdr:rowOff>0</xdr:rowOff>
    </xdr:to>
    <xdr:pic>
      <xdr:nvPicPr>
        <xdr:cNvPr id="128" name="Picture 21403" descr="41-4504m">
          <a:hlinkClick xmlns:r="http://schemas.openxmlformats.org/officeDocument/2006/relationships" r:id="rId2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720</xdr:row>
      <xdr:rowOff>0</xdr:rowOff>
    </xdr:from>
    <xdr:to>
      <xdr:col>2</xdr:col>
      <xdr:colOff>0</xdr:colOff>
      <xdr:row>721</xdr:row>
      <xdr:rowOff>0</xdr:rowOff>
    </xdr:to>
    <xdr:pic>
      <xdr:nvPicPr>
        <xdr:cNvPr id="129" name="Picture 21407" descr="45-9510m">
          <a:hlinkClick xmlns:r="http://schemas.openxmlformats.org/officeDocument/2006/relationships" r:id="rId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30" name="Picture 21409" descr="14-1506m">
          <a:hlinkClick xmlns:r="http://schemas.openxmlformats.org/officeDocument/2006/relationships" r:id="rId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296</xdr:row>
      <xdr:rowOff>0</xdr:rowOff>
    </xdr:to>
    <xdr:pic>
      <xdr:nvPicPr>
        <xdr:cNvPr id="131" name="Picture 21410" descr="14-1510-1m">
          <a:hlinkClick xmlns:r="http://schemas.openxmlformats.org/officeDocument/2006/relationships" r:id="rId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361</xdr:row>
      <xdr:rowOff>0</xdr:rowOff>
    </xdr:from>
    <xdr:to>
      <xdr:col>2</xdr:col>
      <xdr:colOff>0</xdr:colOff>
      <xdr:row>362</xdr:row>
      <xdr:rowOff>0</xdr:rowOff>
    </xdr:to>
    <xdr:pic>
      <xdr:nvPicPr>
        <xdr:cNvPr id="132" name="Picture 3067" descr="14-4504m">
          <a:hlinkClick xmlns:r="http://schemas.openxmlformats.org/officeDocument/2006/relationships" r:id="rId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133" name="Picture 3068" descr="34-1501m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759</xdr:row>
      <xdr:rowOff>0</xdr:rowOff>
    </xdr:from>
    <xdr:to>
      <xdr:col>2</xdr:col>
      <xdr:colOff>0</xdr:colOff>
      <xdr:row>760</xdr:row>
      <xdr:rowOff>0</xdr:rowOff>
    </xdr:to>
    <xdr:pic>
      <xdr:nvPicPr>
        <xdr:cNvPr id="134" name="Picture 3069" descr="52-1511m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758</xdr:row>
      <xdr:rowOff>0</xdr:rowOff>
    </xdr:from>
    <xdr:to>
      <xdr:col>2</xdr:col>
      <xdr:colOff>0</xdr:colOff>
      <xdr:row>759</xdr:row>
      <xdr:rowOff>0</xdr:rowOff>
    </xdr:to>
    <xdr:pic>
      <xdr:nvPicPr>
        <xdr:cNvPr id="135" name="Picture 3070" descr="52-1510m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749</xdr:row>
      <xdr:rowOff>0</xdr:rowOff>
    </xdr:from>
    <xdr:to>
      <xdr:col>2</xdr:col>
      <xdr:colOff>0</xdr:colOff>
      <xdr:row>750</xdr:row>
      <xdr:rowOff>0</xdr:rowOff>
    </xdr:to>
    <xdr:pic>
      <xdr:nvPicPr>
        <xdr:cNvPr id="136" name="Picture 3071" descr="50-1510m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971</xdr:row>
      <xdr:rowOff>0</xdr:rowOff>
    </xdr:from>
    <xdr:to>
      <xdr:col>2</xdr:col>
      <xdr:colOff>0</xdr:colOff>
      <xdr:row>972</xdr:row>
      <xdr:rowOff>0</xdr:rowOff>
    </xdr:to>
    <xdr:pic>
      <xdr:nvPicPr>
        <xdr:cNvPr id="137" name="Picture 3072" descr="M-14-107m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49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975</xdr:row>
      <xdr:rowOff>0</xdr:rowOff>
    </xdr:from>
    <xdr:to>
      <xdr:col>2</xdr:col>
      <xdr:colOff>0</xdr:colOff>
      <xdr:row>975</xdr:row>
      <xdr:rowOff>0</xdr:rowOff>
    </xdr:to>
    <xdr:pic>
      <xdr:nvPicPr>
        <xdr:cNvPr id="138" name="Picture 3073" descr="M-14-201m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972</xdr:row>
      <xdr:rowOff>0</xdr:rowOff>
    </xdr:from>
    <xdr:to>
      <xdr:col>2</xdr:col>
      <xdr:colOff>0</xdr:colOff>
      <xdr:row>973</xdr:row>
      <xdr:rowOff>0</xdr:rowOff>
    </xdr:to>
    <xdr:pic>
      <xdr:nvPicPr>
        <xdr:cNvPr id="139" name="Picture 3074" descr="M-14-401m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49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973</xdr:row>
      <xdr:rowOff>0</xdr:rowOff>
    </xdr:from>
    <xdr:to>
      <xdr:col>2</xdr:col>
      <xdr:colOff>0</xdr:colOff>
      <xdr:row>974</xdr:row>
      <xdr:rowOff>0</xdr:rowOff>
    </xdr:to>
    <xdr:pic>
      <xdr:nvPicPr>
        <xdr:cNvPr id="140" name="Picture 3075" descr="M-14-407m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974</xdr:row>
      <xdr:rowOff>0</xdr:rowOff>
    </xdr:from>
    <xdr:to>
      <xdr:col>2</xdr:col>
      <xdr:colOff>0</xdr:colOff>
      <xdr:row>975</xdr:row>
      <xdr:rowOff>0</xdr:rowOff>
    </xdr:to>
    <xdr:pic>
      <xdr:nvPicPr>
        <xdr:cNvPr id="141" name="Picture 3076" descr="M-34-204m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1114</xdr:row>
      <xdr:rowOff>0</xdr:rowOff>
    </xdr:from>
    <xdr:to>
      <xdr:col>2</xdr:col>
      <xdr:colOff>0</xdr:colOff>
      <xdr:row>1114</xdr:row>
      <xdr:rowOff>0</xdr:rowOff>
    </xdr:to>
    <xdr:pic>
      <xdr:nvPicPr>
        <xdr:cNvPr id="142" name="Picture 3077" descr="M-34-804m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975</xdr:row>
      <xdr:rowOff>0</xdr:rowOff>
    </xdr:from>
    <xdr:to>
      <xdr:col>2</xdr:col>
      <xdr:colOff>0</xdr:colOff>
      <xdr:row>976</xdr:row>
      <xdr:rowOff>0</xdr:rowOff>
    </xdr:to>
    <xdr:pic>
      <xdr:nvPicPr>
        <xdr:cNvPr id="143" name="Picture 3078" descr="M-44-403m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976</xdr:row>
      <xdr:rowOff>0</xdr:rowOff>
    </xdr:from>
    <xdr:to>
      <xdr:col>2</xdr:col>
      <xdr:colOff>0</xdr:colOff>
      <xdr:row>977</xdr:row>
      <xdr:rowOff>0</xdr:rowOff>
    </xdr:to>
    <xdr:pic>
      <xdr:nvPicPr>
        <xdr:cNvPr id="144" name="Picture 3079" descr="M-44-803m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45" name="Picture 3080" descr="14-117m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146" name="Picture 3082" descr="41-3513m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668</xdr:row>
      <xdr:rowOff>0</xdr:rowOff>
    </xdr:to>
    <xdr:pic>
      <xdr:nvPicPr>
        <xdr:cNvPr id="147" name="Picture 3083" descr="36-9506m">
          <a:hlinkClick xmlns:r="http://schemas.openxmlformats.org/officeDocument/2006/relationships" r:id="rId2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148" name="Picture 3084" descr="14-1512m">
          <a:hlinkClick xmlns:r="http://schemas.openxmlformats.org/officeDocument/2006/relationships" r:id="rId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771</xdr:row>
      <xdr:rowOff>0</xdr:rowOff>
    </xdr:from>
    <xdr:to>
      <xdr:col>2</xdr:col>
      <xdr:colOff>0</xdr:colOff>
      <xdr:row>772</xdr:row>
      <xdr:rowOff>0</xdr:rowOff>
    </xdr:to>
    <xdr:pic>
      <xdr:nvPicPr>
        <xdr:cNvPr id="149" name="Picture 3085" descr="54-1512m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770</xdr:row>
      <xdr:rowOff>0</xdr:rowOff>
    </xdr:from>
    <xdr:to>
      <xdr:col>2</xdr:col>
      <xdr:colOff>0</xdr:colOff>
      <xdr:row>771</xdr:row>
      <xdr:rowOff>0</xdr:rowOff>
    </xdr:to>
    <xdr:pic>
      <xdr:nvPicPr>
        <xdr:cNvPr id="150" name="Picture 3086" descr="54-136m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774</xdr:row>
      <xdr:rowOff>0</xdr:rowOff>
    </xdr:from>
    <xdr:to>
      <xdr:col>2</xdr:col>
      <xdr:colOff>0</xdr:colOff>
      <xdr:row>775</xdr:row>
      <xdr:rowOff>0</xdr:rowOff>
    </xdr:to>
    <xdr:pic>
      <xdr:nvPicPr>
        <xdr:cNvPr id="151" name="Picture 3087" descr="54-5514m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152" name="Picture 3088" descr="14-1514m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718</xdr:row>
      <xdr:rowOff>0</xdr:rowOff>
    </xdr:from>
    <xdr:to>
      <xdr:col>2</xdr:col>
      <xdr:colOff>0</xdr:colOff>
      <xdr:row>719</xdr:row>
      <xdr:rowOff>0</xdr:rowOff>
    </xdr:to>
    <xdr:pic>
      <xdr:nvPicPr>
        <xdr:cNvPr id="153" name="Picture 3089" descr="45-5512m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767</xdr:row>
      <xdr:rowOff>0</xdr:rowOff>
    </xdr:from>
    <xdr:to>
      <xdr:col>2</xdr:col>
      <xdr:colOff>0</xdr:colOff>
      <xdr:row>768</xdr:row>
      <xdr:rowOff>0</xdr:rowOff>
    </xdr:to>
    <xdr:pic>
      <xdr:nvPicPr>
        <xdr:cNvPr id="154" name="Picture 3090" descr="50-125m">
          <a:hlinkClick xmlns:r="http://schemas.openxmlformats.org/officeDocument/2006/relationships" r:id="rId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155" name="Picture 3091" descr="54-9514m">
          <a:hlinkClick xmlns:r="http://schemas.openxmlformats.org/officeDocument/2006/relationships" r:id="rId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630</xdr:row>
      <xdr:rowOff>0</xdr:rowOff>
    </xdr:from>
    <xdr:to>
      <xdr:col>2</xdr:col>
      <xdr:colOff>0</xdr:colOff>
      <xdr:row>631</xdr:row>
      <xdr:rowOff>0</xdr:rowOff>
    </xdr:to>
    <xdr:pic>
      <xdr:nvPicPr>
        <xdr:cNvPr id="156" name="Picture 3092" descr="14-1512m">
          <a:hlinkClick xmlns:r="http://schemas.openxmlformats.org/officeDocument/2006/relationships" r:id="rId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66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657</xdr:row>
      <xdr:rowOff>0</xdr:rowOff>
    </xdr:to>
    <xdr:pic>
      <xdr:nvPicPr>
        <xdr:cNvPr id="157" name="Picture 3093" descr="14-1512m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698</xdr:row>
      <xdr:rowOff>0</xdr:rowOff>
    </xdr:from>
    <xdr:to>
      <xdr:col>2</xdr:col>
      <xdr:colOff>0</xdr:colOff>
      <xdr:row>699</xdr:row>
      <xdr:rowOff>0</xdr:rowOff>
    </xdr:to>
    <xdr:pic>
      <xdr:nvPicPr>
        <xdr:cNvPr id="158" name="Picture 3099" descr="42-943m">
          <a:hlinkClick xmlns:r="http://schemas.openxmlformats.org/officeDocument/2006/relationships" r:id="rId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159" name="Picture 3100" descr="34-143m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160" name="Picture 3101" descr="42-143m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937</xdr:row>
      <xdr:rowOff>0</xdr:rowOff>
    </xdr:from>
    <xdr:to>
      <xdr:col>2</xdr:col>
      <xdr:colOff>0</xdr:colOff>
      <xdr:row>938</xdr:row>
      <xdr:rowOff>0</xdr:rowOff>
    </xdr:to>
    <xdr:pic>
      <xdr:nvPicPr>
        <xdr:cNvPr id="161" name="Picture 3102" descr="rw-22-01m">
          <a:hlinkClick xmlns:r="http://schemas.openxmlformats.org/officeDocument/2006/relationships" r:id="rId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940</xdr:row>
      <xdr:rowOff>0</xdr:rowOff>
    </xdr:from>
    <xdr:to>
      <xdr:col>2</xdr:col>
      <xdr:colOff>0</xdr:colOff>
      <xdr:row>941</xdr:row>
      <xdr:rowOff>0</xdr:rowOff>
    </xdr:to>
    <xdr:pic>
      <xdr:nvPicPr>
        <xdr:cNvPr id="162" name="Picture 3103" descr="rw-42-01m">
          <a:hlinkClick xmlns:r="http://schemas.openxmlformats.org/officeDocument/2006/relationships" r:id="rId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1128</xdr:row>
      <xdr:rowOff>0</xdr:rowOff>
    </xdr:from>
    <xdr:to>
      <xdr:col>2</xdr:col>
      <xdr:colOff>0</xdr:colOff>
      <xdr:row>1129</xdr:row>
      <xdr:rowOff>0</xdr:rowOff>
    </xdr:to>
    <xdr:pic>
      <xdr:nvPicPr>
        <xdr:cNvPr id="163" name="Picture 3104" descr="t-038m">
          <a:hlinkClick xmlns:r="http://schemas.openxmlformats.org/officeDocument/2006/relationships" r:id="rId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658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1129</xdr:row>
      <xdr:rowOff>0</xdr:rowOff>
    </xdr:from>
    <xdr:to>
      <xdr:col>2</xdr:col>
      <xdr:colOff>0</xdr:colOff>
      <xdr:row>1130</xdr:row>
      <xdr:rowOff>0</xdr:rowOff>
    </xdr:to>
    <xdr:pic>
      <xdr:nvPicPr>
        <xdr:cNvPr id="164" name="Picture 3105" descr="t-040m">
          <a:hlinkClick xmlns:r="http://schemas.openxmlformats.org/officeDocument/2006/relationships" r:id="rId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734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1130</xdr:row>
      <xdr:rowOff>0</xdr:rowOff>
    </xdr:from>
    <xdr:to>
      <xdr:col>2</xdr:col>
      <xdr:colOff>0</xdr:colOff>
      <xdr:row>1131</xdr:row>
      <xdr:rowOff>0</xdr:rowOff>
    </xdr:to>
    <xdr:pic>
      <xdr:nvPicPr>
        <xdr:cNvPr id="165" name="Picture 3106" descr="t-041m">
          <a:hlinkClick xmlns:r="http://schemas.openxmlformats.org/officeDocument/2006/relationships" r:id="rId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811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1143</xdr:row>
      <xdr:rowOff>0</xdr:rowOff>
    </xdr:from>
    <xdr:to>
      <xdr:col>2</xdr:col>
      <xdr:colOff>0</xdr:colOff>
      <xdr:row>1144</xdr:row>
      <xdr:rowOff>0</xdr:rowOff>
    </xdr:to>
    <xdr:pic>
      <xdr:nvPicPr>
        <xdr:cNvPr id="166" name="Picture 3107" descr="t-001m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1144</xdr:row>
      <xdr:rowOff>0</xdr:rowOff>
    </xdr:from>
    <xdr:to>
      <xdr:col>2</xdr:col>
      <xdr:colOff>0</xdr:colOff>
      <xdr:row>1145</xdr:row>
      <xdr:rowOff>0</xdr:rowOff>
    </xdr:to>
    <xdr:pic>
      <xdr:nvPicPr>
        <xdr:cNvPr id="167" name="Picture 3108" descr="t-001m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1145</xdr:row>
      <xdr:rowOff>0</xdr:rowOff>
    </xdr:from>
    <xdr:to>
      <xdr:col>2</xdr:col>
      <xdr:colOff>0</xdr:colOff>
      <xdr:row>1146</xdr:row>
      <xdr:rowOff>0</xdr:rowOff>
    </xdr:to>
    <xdr:pic>
      <xdr:nvPicPr>
        <xdr:cNvPr id="168" name="Picture 3109" descr="t-002m">
          <a:hlinkClick xmlns:r="http://schemas.openxmlformats.org/officeDocument/2006/relationships" r:id="rId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1146</xdr:row>
      <xdr:rowOff>0</xdr:rowOff>
    </xdr:from>
    <xdr:to>
      <xdr:col>2</xdr:col>
      <xdr:colOff>0</xdr:colOff>
      <xdr:row>1147</xdr:row>
      <xdr:rowOff>0</xdr:rowOff>
    </xdr:to>
    <xdr:pic>
      <xdr:nvPicPr>
        <xdr:cNvPr id="169" name="Picture 3110" descr="t-002m">
          <a:hlinkClick xmlns:r="http://schemas.openxmlformats.org/officeDocument/2006/relationships" r:id="rId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1147</xdr:row>
      <xdr:rowOff>0</xdr:rowOff>
    </xdr:from>
    <xdr:to>
      <xdr:col>2</xdr:col>
      <xdr:colOff>0</xdr:colOff>
      <xdr:row>1148</xdr:row>
      <xdr:rowOff>0</xdr:rowOff>
    </xdr:to>
    <xdr:pic>
      <xdr:nvPicPr>
        <xdr:cNvPr id="170" name="Picture 3111" descr="t-004m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1148</xdr:row>
      <xdr:rowOff>0</xdr:rowOff>
    </xdr:from>
    <xdr:to>
      <xdr:col>2</xdr:col>
      <xdr:colOff>0</xdr:colOff>
      <xdr:row>1149</xdr:row>
      <xdr:rowOff>0</xdr:rowOff>
    </xdr:to>
    <xdr:pic>
      <xdr:nvPicPr>
        <xdr:cNvPr id="171" name="Picture 3112" descr="t-004m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1149</xdr:row>
      <xdr:rowOff>0</xdr:rowOff>
    </xdr:from>
    <xdr:to>
      <xdr:col>2</xdr:col>
      <xdr:colOff>0</xdr:colOff>
      <xdr:row>1150</xdr:row>
      <xdr:rowOff>0</xdr:rowOff>
    </xdr:to>
    <xdr:pic>
      <xdr:nvPicPr>
        <xdr:cNvPr id="172" name="Picture 3113" descr="t-008m">
          <a:hlinkClick xmlns:r="http://schemas.openxmlformats.org/officeDocument/2006/relationships" r:id="rId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73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1150</xdr:row>
      <xdr:rowOff>0</xdr:rowOff>
    </xdr:from>
    <xdr:to>
      <xdr:col>2</xdr:col>
      <xdr:colOff>0</xdr:colOff>
      <xdr:row>1151</xdr:row>
      <xdr:rowOff>0</xdr:rowOff>
    </xdr:to>
    <xdr:pic>
      <xdr:nvPicPr>
        <xdr:cNvPr id="173" name="Picture 3114" descr="t-008m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649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1151</xdr:row>
      <xdr:rowOff>0</xdr:rowOff>
    </xdr:from>
    <xdr:to>
      <xdr:col>2</xdr:col>
      <xdr:colOff>0</xdr:colOff>
      <xdr:row>1152</xdr:row>
      <xdr:rowOff>0</xdr:rowOff>
    </xdr:to>
    <xdr:pic>
      <xdr:nvPicPr>
        <xdr:cNvPr id="174" name="Picture 3115" descr="t-011m">
          <a:hlinkClick xmlns:r="http://schemas.openxmlformats.org/officeDocument/2006/relationships" r:id="rId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649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1152</xdr:row>
      <xdr:rowOff>0</xdr:rowOff>
    </xdr:from>
    <xdr:to>
      <xdr:col>2</xdr:col>
      <xdr:colOff>0</xdr:colOff>
      <xdr:row>1153</xdr:row>
      <xdr:rowOff>0</xdr:rowOff>
    </xdr:to>
    <xdr:pic>
      <xdr:nvPicPr>
        <xdr:cNvPr id="175" name="Picture 3116" descr="t-011m">
          <a:hlinkClick xmlns:r="http://schemas.openxmlformats.org/officeDocument/2006/relationships" r:id="rId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725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1155</xdr:row>
      <xdr:rowOff>0</xdr:rowOff>
    </xdr:from>
    <xdr:to>
      <xdr:col>2</xdr:col>
      <xdr:colOff>0</xdr:colOff>
      <xdr:row>1156</xdr:row>
      <xdr:rowOff>0</xdr:rowOff>
    </xdr:to>
    <xdr:pic>
      <xdr:nvPicPr>
        <xdr:cNvPr id="176" name="Picture 3117" descr="t-015m">
          <a:hlinkClick xmlns:r="http://schemas.openxmlformats.org/officeDocument/2006/relationships" r:id="rId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01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1156</xdr:row>
      <xdr:rowOff>0</xdr:rowOff>
    </xdr:from>
    <xdr:to>
      <xdr:col>2</xdr:col>
      <xdr:colOff>0</xdr:colOff>
      <xdr:row>1157</xdr:row>
      <xdr:rowOff>0</xdr:rowOff>
    </xdr:to>
    <xdr:pic>
      <xdr:nvPicPr>
        <xdr:cNvPr id="177" name="Picture 3118" descr="t-015m">
          <a:hlinkClick xmlns:r="http://schemas.openxmlformats.org/officeDocument/2006/relationships" r:id="rId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77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1157</xdr:row>
      <xdr:rowOff>0</xdr:rowOff>
    </xdr:from>
    <xdr:to>
      <xdr:col>2</xdr:col>
      <xdr:colOff>0</xdr:colOff>
      <xdr:row>1158</xdr:row>
      <xdr:rowOff>0</xdr:rowOff>
    </xdr:to>
    <xdr:pic>
      <xdr:nvPicPr>
        <xdr:cNvPr id="178" name="Picture 3119" descr="t-020m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77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1158</xdr:row>
      <xdr:rowOff>0</xdr:rowOff>
    </xdr:from>
    <xdr:to>
      <xdr:col>2</xdr:col>
      <xdr:colOff>0</xdr:colOff>
      <xdr:row>1159</xdr:row>
      <xdr:rowOff>0</xdr:rowOff>
    </xdr:to>
    <xdr:pic>
      <xdr:nvPicPr>
        <xdr:cNvPr id="179" name="Picture 3120" descr="t-021m">
          <a:hlinkClick xmlns:r="http://schemas.openxmlformats.org/officeDocument/2006/relationships" r:id="rId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77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1159</xdr:row>
      <xdr:rowOff>0</xdr:rowOff>
    </xdr:from>
    <xdr:to>
      <xdr:col>2</xdr:col>
      <xdr:colOff>0</xdr:colOff>
      <xdr:row>1160</xdr:row>
      <xdr:rowOff>0</xdr:rowOff>
    </xdr:to>
    <xdr:pic>
      <xdr:nvPicPr>
        <xdr:cNvPr id="180" name="Picture 3121" descr="t-021m">
          <a:hlinkClick xmlns:r="http://schemas.openxmlformats.org/officeDocument/2006/relationships" r:id="rId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77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1162</xdr:row>
      <xdr:rowOff>0</xdr:rowOff>
    </xdr:from>
    <xdr:to>
      <xdr:col>2</xdr:col>
      <xdr:colOff>0</xdr:colOff>
      <xdr:row>1163</xdr:row>
      <xdr:rowOff>0</xdr:rowOff>
    </xdr:to>
    <xdr:pic>
      <xdr:nvPicPr>
        <xdr:cNvPr id="181" name="Picture 3122" descr="t-023m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1163</xdr:row>
      <xdr:rowOff>0</xdr:rowOff>
    </xdr:from>
    <xdr:to>
      <xdr:col>2</xdr:col>
      <xdr:colOff>0</xdr:colOff>
      <xdr:row>1164</xdr:row>
      <xdr:rowOff>0</xdr:rowOff>
    </xdr:to>
    <xdr:pic>
      <xdr:nvPicPr>
        <xdr:cNvPr id="182" name="Picture 3123" descr="t-023m">
          <a:hlinkClick xmlns:r="http://schemas.openxmlformats.org/officeDocument/2006/relationships" r:id="rId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1164</xdr:row>
      <xdr:rowOff>0</xdr:rowOff>
    </xdr:from>
    <xdr:to>
      <xdr:col>2</xdr:col>
      <xdr:colOff>0</xdr:colOff>
      <xdr:row>1165</xdr:row>
      <xdr:rowOff>0</xdr:rowOff>
    </xdr:to>
    <xdr:pic>
      <xdr:nvPicPr>
        <xdr:cNvPr id="183" name="Picture 3124" descr="t-030m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1165</xdr:row>
      <xdr:rowOff>0</xdr:rowOff>
    </xdr:from>
    <xdr:to>
      <xdr:col>2</xdr:col>
      <xdr:colOff>0</xdr:colOff>
      <xdr:row>1166</xdr:row>
      <xdr:rowOff>0</xdr:rowOff>
    </xdr:to>
    <xdr:pic>
      <xdr:nvPicPr>
        <xdr:cNvPr id="184" name="Picture 3125" descr="t-030m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1166</xdr:row>
      <xdr:rowOff>0</xdr:rowOff>
    </xdr:from>
    <xdr:to>
      <xdr:col>2</xdr:col>
      <xdr:colOff>0</xdr:colOff>
      <xdr:row>1167</xdr:row>
      <xdr:rowOff>0</xdr:rowOff>
    </xdr:to>
    <xdr:pic>
      <xdr:nvPicPr>
        <xdr:cNvPr id="185" name="Picture 3126" descr="t-031m">
          <a:hlinkClick xmlns:r="http://schemas.openxmlformats.org/officeDocument/2006/relationships" r:id="rId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1167</xdr:row>
      <xdr:rowOff>0</xdr:rowOff>
    </xdr:from>
    <xdr:to>
      <xdr:col>2</xdr:col>
      <xdr:colOff>0</xdr:colOff>
      <xdr:row>1168</xdr:row>
      <xdr:rowOff>0</xdr:rowOff>
    </xdr:to>
    <xdr:pic>
      <xdr:nvPicPr>
        <xdr:cNvPr id="186" name="Picture 3127" descr="t-031m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1168</xdr:row>
      <xdr:rowOff>0</xdr:rowOff>
    </xdr:from>
    <xdr:to>
      <xdr:col>2</xdr:col>
      <xdr:colOff>0</xdr:colOff>
      <xdr:row>1169</xdr:row>
      <xdr:rowOff>0</xdr:rowOff>
    </xdr:to>
    <xdr:pic>
      <xdr:nvPicPr>
        <xdr:cNvPr id="187" name="Picture 3128" descr="t-040m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1169</xdr:row>
      <xdr:rowOff>0</xdr:rowOff>
    </xdr:from>
    <xdr:to>
      <xdr:col>2</xdr:col>
      <xdr:colOff>0</xdr:colOff>
      <xdr:row>1170</xdr:row>
      <xdr:rowOff>0</xdr:rowOff>
    </xdr:to>
    <xdr:pic>
      <xdr:nvPicPr>
        <xdr:cNvPr id="188" name="Picture 3129" descr="t-041m">
          <a:hlinkClick xmlns:r="http://schemas.openxmlformats.org/officeDocument/2006/relationships" r:id="rId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1170</xdr:row>
      <xdr:rowOff>0</xdr:rowOff>
    </xdr:from>
    <xdr:to>
      <xdr:col>2</xdr:col>
      <xdr:colOff>0</xdr:colOff>
      <xdr:row>1171</xdr:row>
      <xdr:rowOff>0</xdr:rowOff>
    </xdr:to>
    <xdr:pic>
      <xdr:nvPicPr>
        <xdr:cNvPr id="189" name="Picture 3130" descr="t-042m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1171</xdr:row>
      <xdr:rowOff>0</xdr:rowOff>
    </xdr:from>
    <xdr:to>
      <xdr:col>2</xdr:col>
      <xdr:colOff>0</xdr:colOff>
      <xdr:row>1172</xdr:row>
      <xdr:rowOff>0</xdr:rowOff>
    </xdr:to>
    <xdr:pic>
      <xdr:nvPicPr>
        <xdr:cNvPr id="190" name="Picture 3131" descr="t-042m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1172</xdr:row>
      <xdr:rowOff>0</xdr:rowOff>
    </xdr:from>
    <xdr:to>
      <xdr:col>2</xdr:col>
      <xdr:colOff>0</xdr:colOff>
      <xdr:row>1173</xdr:row>
      <xdr:rowOff>0</xdr:rowOff>
    </xdr:to>
    <xdr:pic>
      <xdr:nvPicPr>
        <xdr:cNvPr id="191" name="Picture 3132" descr="t-046m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1173</xdr:row>
      <xdr:rowOff>0</xdr:rowOff>
    </xdr:from>
    <xdr:to>
      <xdr:col>2</xdr:col>
      <xdr:colOff>0</xdr:colOff>
      <xdr:row>1174</xdr:row>
      <xdr:rowOff>0</xdr:rowOff>
    </xdr:to>
    <xdr:pic>
      <xdr:nvPicPr>
        <xdr:cNvPr id="192" name="Picture 3133" descr="t-046m">
          <a:hlinkClick xmlns:r="http://schemas.openxmlformats.org/officeDocument/2006/relationships" r:id="rId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030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1180</xdr:row>
      <xdr:rowOff>0</xdr:rowOff>
    </xdr:from>
    <xdr:to>
      <xdr:col>2</xdr:col>
      <xdr:colOff>0</xdr:colOff>
      <xdr:row>1181</xdr:row>
      <xdr:rowOff>0</xdr:rowOff>
    </xdr:to>
    <xdr:pic>
      <xdr:nvPicPr>
        <xdr:cNvPr id="193" name="Picture 3134" descr="t-033m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06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1181</xdr:row>
      <xdr:rowOff>0</xdr:rowOff>
    </xdr:from>
    <xdr:to>
      <xdr:col>2</xdr:col>
      <xdr:colOff>0</xdr:colOff>
      <xdr:row>1182</xdr:row>
      <xdr:rowOff>0</xdr:rowOff>
    </xdr:to>
    <xdr:pic>
      <xdr:nvPicPr>
        <xdr:cNvPr id="194" name="Picture 3135" descr="t-033m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82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1182</xdr:row>
      <xdr:rowOff>0</xdr:rowOff>
    </xdr:from>
    <xdr:to>
      <xdr:col>2</xdr:col>
      <xdr:colOff>0</xdr:colOff>
      <xdr:row>1183</xdr:row>
      <xdr:rowOff>0</xdr:rowOff>
    </xdr:to>
    <xdr:pic>
      <xdr:nvPicPr>
        <xdr:cNvPr id="195" name="Picture 3136" descr="t-001m">
          <a:hlinkClick xmlns:r="http://schemas.openxmlformats.org/officeDocument/2006/relationships" r:id="rId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82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1183</xdr:row>
      <xdr:rowOff>0</xdr:rowOff>
    </xdr:from>
    <xdr:to>
      <xdr:col>2</xdr:col>
      <xdr:colOff>0</xdr:colOff>
      <xdr:row>1184</xdr:row>
      <xdr:rowOff>0</xdr:rowOff>
    </xdr:to>
    <xdr:pic>
      <xdr:nvPicPr>
        <xdr:cNvPr id="196" name="Picture 3137" descr="t-001m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82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1184</xdr:row>
      <xdr:rowOff>0</xdr:rowOff>
    </xdr:from>
    <xdr:to>
      <xdr:col>2</xdr:col>
      <xdr:colOff>0</xdr:colOff>
      <xdr:row>1185</xdr:row>
      <xdr:rowOff>0</xdr:rowOff>
    </xdr:to>
    <xdr:pic>
      <xdr:nvPicPr>
        <xdr:cNvPr id="197" name="Picture 3138" descr="t-001m">
          <a:hlinkClick xmlns:r="http://schemas.openxmlformats.org/officeDocument/2006/relationships" r:id="rId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82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1185</xdr:row>
      <xdr:rowOff>0</xdr:rowOff>
    </xdr:from>
    <xdr:to>
      <xdr:col>2</xdr:col>
      <xdr:colOff>0</xdr:colOff>
      <xdr:row>1186</xdr:row>
      <xdr:rowOff>0</xdr:rowOff>
    </xdr:to>
    <xdr:pic>
      <xdr:nvPicPr>
        <xdr:cNvPr id="198" name="Picture 3139" descr="t-002m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82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1186</xdr:row>
      <xdr:rowOff>0</xdr:rowOff>
    </xdr:from>
    <xdr:to>
      <xdr:col>2</xdr:col>
      <xdr:colOff>0</xdr:colOff>
      <xdr:row>1187</xdr:row>
      <xdr:rowOff>0</xdr:rowOff>
    </xdr:to>
    <xdr:pic>
      <xdr:nvPicPr>
        <xdr:cNvPr id="199" name="Picture 3140" descr="t-002m">
          <a:hlinkClick xmlns:r="http://schemas.openxmlformats.org/officeDocument/2006/relationships" r:id="rId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258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1187</xdr:row>
      <xdr:rowOff>0</xdr:rowOff>
    </xdr:from>
    <xdr:to>
      <xdr:col>2</xdr:col>
      <xdr:colOff>0</xdr:colOff>
      <xdr:row>1188</xdr:row>
      <xdr:rowOff>0</xdr:rowOff>
    </xdr:to>
    <xdr:pic>
      <xdr:nvPicPr>
        <xdr:cNvPr id="200" name="Picture 3141" descr="t-004m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258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1188</xdr:row>
      <xdr:rowOff>0</xdr:rowOff>
    </xdr:from>
    <xdr:to>
      <xdr:col>2</xdr:col>
      <xdr:colOff>0</xdr:colOff>
      <xdr:row>1189</xdr:row>
      <xdr:rowOff>0</xdr:rowOff>
    </xdr:to>
    <xdr:pic>
      <xdr:nvPicPr>
        <xdr:cNvPr id="201" name="Picture 3142" descr="t-004m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35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1189</xdr:row>
      <xdr:rowOff>0</xdr:rowOff>
    </xdr:from>
    <xdr:to>
      <xdr:col>2</xdr:col>
      <xdr:colOff>0</xdr:colOff>
      <xdr:row>1190</xdr:row>
      <xdr:rowOff>0</xdr:rowOff>
    </xdr:to>
    <xdr:pic>
      <xdr:nvPicPr>
        <xdr:cNvPr id="202" name="Picture 3143" descr="t-008m">
          <a:hlinkClick xmlns:r="http://schemas.openxmlformats.org/officeDocument/2006/relationships" r:id="rId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35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1190</xdr:row>
      <xdr:rowOff>0</xdr:rowOff>
    </xdr:from>
    <xdr:to>
      <xdr:col>2</xdr:col>
      <xdr:colOff>0</xdr:colOff>
      <xdr:row>1191</xdr:row>
      <xdr:rowOff>0</xdr:rowOff>
    </xdr:to>
    <xdr:pic>
      <xdr:nvPicPr>
        <xdr:cNvPr id="203" name="Picture 3144" descr="t-008m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11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1191</xdr:row>
      <xdr:rowOff>0</xdr:rowOff>
    </xdr:from>
    <xdr:to>
      <xdr:col>2</xdr:col>
      <xdr:colOff>0</xdr:colOff>
      <xdr:row>1192</xdr:row>
      <xdr:rowOff>0</xdr:rowOff>
    </xdr:to>
    <xdr:pic>
      <xdr:nvPicPr>
        <xdr:cNvPr id="204" name="Picture 3145" descr="t-011m">
          <a:hlinkClick xmlns:r="http://schemas.openxmlformats.org/officeDocument/2006/relationships" r:id="rId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11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1196</xdr:row>
      <xdr:rowOff>0</xdr:rowOff>
    </xdr:from>
    <xdr:to>
      <xdr:col>2</xdr:col>
      <xdr:colOff>0</xdr:colOff>
      <xdr:row>1197</xdr:row>
      <xdr:rowOff>0</xdr:rowOff>
    </xdr:to>
    <xdr:pic>
      <xdr:nvPicPr>
        <xdr:cNvPr id="205" name="Picture 3146" descr="t-015m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1197</xdr:row>
      <xdr:rowOff>0</xdr:rowOff>
    </xdr:from>
    <xdr:to>
      <xdr:col>2</xdr:col>
      <xdr:colOff>0</xdr:colOff>
      <xdr:row>1198</xdr:row>
      <xdr:rowOff>0</xdr:rowOff>
    </xdr:to>
    <xdr:pic>
      <xdr:nvPicPr>
        <xdr:cNvPr id="206" name="Picture 3147" descr="t-015m">
          <a:hlinkClick xmlns:r="http://schemas.openxmlformats.org/officeDocument/2006/relationships" r:id="rId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1198</xdr:row>
      <xdr:rowOff>0</xdr:rowOff>
    </xdr:from>
    <xdr:to>
      <xdr:col>2</xdr:col>
      <xdr:colOff>0</xdr:colOff>
      <xdr:row>1199</xdr:row>
      <xdr:rowOff>0</xdr:rowOff>
    </xdr:to>
    <xdr:pic>
      <xdr:nvPicPr>
        <xdr:cNvPr id="207" name="Picture 3148" descr="t-015m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1200</xdr:row>
      <xdr:rowOff>0</xdr:rowOff>
    </xdr:from>
    <xdr:to>
      <xdr:col>2</xdr:col>
      <xdr:colOff>0</xdr:colOff>
      <xdr:row>1201</xdr:row>
      <xdr:rowOff>0</xdr:rowOff>
    </xdr:to>
    <xdr:pic>
      <xdr:nvPicPr>
        <xdr:cNvPr id="208" name="Picture 3149" descr="t-020m">
          <a:hlinkClick xmlns:r="http://schemas.openxmlformats.org/officeDocument/2006/relationships" r:id="rId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63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1201</xdr:row>
      <xdr:rowOff>0</xdr:rowOff>
    </xdr:from>
    <xdr:to>
      <xdr:col>2</xdr:col>
      <xdr:colOff>0</xdr:colOff>
      <xdr:row>1202</xdr:row>
      <xdr:rowOff>0</xdr:rowOff>
    </xdr:to>
    <xdr:pic>
      <xdr:nvPicPr>
        <xdr:cNvPr id="209" name="Picture 3150" descr="t-021m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63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1202</xdr:row>
      <xdr:rowOff>0</xdr:rowOff>
    </xdr:from>
    <xdr:to>
      <xdr:col>2</xdr:col>
      <xdr:colOff>0</xdr:colOff>
      <xdr:row>1203</xdr:row>
      <xdr:rowOff>0</xdr:rowOff>
    </xdr:to>
    <xdr:pic>
      <xdr:nvPicPr>
        <xdr:cNvPr id="210" name="Picture 3151" descr="t-021m">
          <a:hlinkClick xmlns:r="http://schemas.openxmlformats.org/officeDocument/2006/relationships" r:id="rId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63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1203</xdr:row>
      <xdr:rowOff>0</xdr:rowOff>
    </xdr:from>
    <xdr:to>
      <xdr:col>2</xdr:col>
      <xdr:colOff>0</xdr:colOff>
      <xdr:row>1204</xdr:row>
      <xdr:rowOff>0</xdr:rowOff>
    </xdr:to>
    <xdr:pic>
      <xdr:nvPicPr>
        <xdr:cNvPr id="211" name="Picture 3152" descr="t-021m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63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1206</xdr:row>
      <xdr:rowOff>0</xdr:rowOff>
    </xdr:from>
    <xdr:to>
      <xdr:col>2</xdr:col>
      <xdr:colOff>0</xdr:colOff>
      <xdr:row>1207</xdr:row>
      <xdr:rowOff>0</xdr:rowOff>
    </xdr:to>
    <xdr:pic>
      <xdr:nvPicPr>
        <xdr:cNvPr id="212" name="Picture 3153" descr="t-023m">
          <a:hlinkClick xmlns:r="http://schemas.openxmlformats.org/officeDocument/2006/relationships" r:id="rId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39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1207</xdr:row>
      <xdr:rowOff>0</xdr:rowOff>
    </xdr:from>
    <xdr:to>
      <xdr:col>2</xdr:col>
      <xdr:colOff>0</xdr:colOff>
      <xdr:row>1208</xdr:row>
      <xdr:rowOff>0</xdr:rowOff>
    </xdr:to>
    <xdr:pic>
      <xdr:nvPicPr>
        <xdr:cNvPr id="213" name="Picture 3154" descr="t-027m">
          <a:hlinkClick xmlns:r="http://schemas.openxmlformats.org/officeDocument/2006/relationships" r:id="rId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39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1209</xdr:row>
      <xdr:rowOff>0</xdr:rowOff>
    </xdr:from>
    <xdr:to>
      <xdr:col>2</xdr:col>
      <xdr:colOff>0</xdr:colOff>
      <xdr:row>1210</xdr:row>
      <xdr:rowOff>0</xdr:rowOff>
    </xdr:to>
    <xdr:pic>
      <xdr:nvPicPr>
        <xdr:cNvPr id="214" name="Picture 3155" descr="t-030m">
          <a:hlinkClick xmlns:r="http://schemas.openxmlformats.org/officeDocument/2006/relationships" r:id="rId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792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1210</xdr:row>
      <xdr:rowOff>0</xdr:rowOff>
    </xdr:from>
    <xdr:to>
      <xdr:col>2</xdr:col>
      <xdr:colOff>0</xdr:colOff>
      <xdr:row>1211</xdr:row>
      <xdr:rowOff>0</xdr:rowOff>
    </xdr:to>
    <xdr:pic>
      <xdr:nvPicPr>
        <xdr:cNvPr id="215" name="Picture 3156" descr="t-030m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68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1211</xdr:row>
      <xdr:rowOff>0</xdr:rowOff>
    </xdr:from>
    <xdr:to>
      <xdr:col>2</xdr:col>
      <xdr:colOff>0</xdr:colOff>
      <xdr:row>1212</xdr:row>
      <xdr:rowOff>0</xdr:rowOff>
    </xdr:to>
    <xdr:pic>
      <xdr:nvPicPr>
        <xdr:cNvPr id="216" name="Picture 3157" descr="t-031m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68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1212</xdr:row>
      <xdr:rowOff>0</xdr:rowOff>
    </xdr:from>
    <xdr:to>
      <xdr:col>2</xdr:col>
      <xdr:colOff>0</xdr:colOff>
      <xdr:row>1213</xdr:row>
      <xdr:rowOff>0</xdr:rowOff>
    </xdr:to>
    <xdr:pic>
      <xdr:nvPicPr>
        <xdr:cNvPr id="217" name="Picture 3158" descr="t-031m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944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1213</xdr:row>
      <xdr:rowOff>0</xdr:rowOff>
    </xdr:from>
    <xdr:to>
      <xdr:col>2</xdr:col>
      <xdr:colOff>0</xdr:colOff>
      <xdr:row>1214</xdr:row>
      <xdr:rowOff>0</xdr:rowOff>
    </xdr:to>
    <xdr:pic>
      <xdr:nvPicPr>
        <xdr:cNvPr id="218" name="Picture 3159" descr="t-033m">
          <a:hlinkClick xmlns:r="http://schemas.openxmlformats.org/officeDocument/2006/relationships" r:id="rId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944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1214</xdr:row>
      <xdr:rowOff>0</xdr:rowOff>
    </xdr:from>
    <xdr:to>
      <xdr:col>2</xdr:col>
      <xdr:colOff>0</xdr:colOff>
      <xdr:row>1215</xdr:row>
      <xdr:rowOff>0</xdr:rowOff>
    </xdr:to>
    <xdr:pic>
      <xdr:nvPicPr>
        <xdr:cNvPr id="219" name="Picture 3160" descr="t-033m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0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1216</xdr:row>
      <xdr:rowOff>0</xdr:rowOff>
    </xdr:from>
    <xdr:to>
      <xdr:col>2</xdr:col>
      <xdr:colOff>0</xdr:colOff>
      <xdr:row>1217</xdr:row>
      <xdr:rowOff>0</xdr:rowOff>
    </xdr:to>
    <xdr:pic>
      <xdr:nvPicPr>
        <xdr:cNvPr id="220" name="Picture 3161" descr="t-036m">
          <a:hlinkClick xmlns:r="http://schemas.openxmlformats.org/officeDocument/2006/relationships" r:id="rId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97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1217</xdr:row>
      <xdr:rowOff>0</xdr:rowOff>
    </xdr:from>
    <xdr:to>
      <xdr:col>2</xdr:col>
      <xdr:colOff>0</xdr:colOff>
      <xdr:row>1218</xdr:row>
      <xdr:rowOff>0</xdr:rowOff>
    </xdr:to>
    <xdr:pic>
      <xdr:nvPicPr>
        <xdr:cNvPr id="221" name="Picture 3162" descr="t-036m">
          <a:hlinkClick xmlns:r="http://schemas.openxmlformats.org/officeDocument/2006/relationships" r:id="rId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97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1218</xdr:row>
      <xdr:rowOff>0</xdr:rowOff>
    </xdr:from>
    <xdr:to>
      <xdr:col>2</xdr:col>
      <xdr:colOff>0</xdr:colOff>
      <xdr:row>1219</xdr:row>
      <xdr:rowOff>0</xdr:rowOff>
    </xdr:to>
    <xdr:pic>
      <xdr:nvPicPr>
        <xdr:cNvPr id="222" name="Picture 3163" descr="t-036sm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173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1219</xdr:row>
      <xdr:rowOff>0</xdr:rowOff>
    </xdr:from>
    <xdr:to>
      <xdr:col>2</xdr:col>
      <xdr:colOff>0</xdr:colOff>
      <xdr:row>1220</xdr:row>
      <xdr:rowOff>0</xdr:rowOff>
    </xdr:to>
    <xdr:pic>
      <xdr:nvPicPr>
        <xdr:cNvPr id="223" name="Picture 3164" descr="t-037m">
          <a:hlinkClick xmlns:r="http://schemas.openxmlformats.org/officeDocument/2006/relationships" r:id="rId3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249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1220</xdr:row>
      <xdr:rowOff>0</xdr:rowOff>
    </xdr:from>
    <xdr:to>
      <xdr:col>2</xdr:col>
      <xdr:colOff>0</xdr:colOff>
      <xdr:row>1221</xdr:row>
      <xdr:rowOff>0</xdr:rowOff>
    </xdr:to>
    <xdr:pic>
      <xdr:nvPicPr>
        <xdr:cNvPr id="224" name="Picture 3165" descr="t-037m">
          <a:hlinkClick xmlns:r="http://schemas.openxmlformats.org/officeDocument/2006/relationships" r:id="rId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325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1221</xdr:row>
      <xdr:rowOff>0</xdr:rowOff>
    </xdr:from>
    <xdr:to>
      <xdr:col>2</xdr:col>
      <xdr:colOff>0</xdr:colOff>
      <xdr:row>1222</xdr:row>
      <xdr:rowOff>0</xdr:rowOff>
    </xdr:to>
    <xdr:pic>
      <xdr:nvPicPr>
        <xdr:cNvPr id="225" name="Picture 3166" descr="t-038m">
          <a:hlinkClick xmlns:r="http://schemas.openxmlformats.org/officeDocument/2006/relationships" r:id="rId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325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1222</xdr:row>
      <xdr:rowOff>0</xdr:rowOff>
    </xdr:from>
    <xdr:to>
      <xdr:col>2</xdr:col>
      <xdr:colOff>0</xdr:colOff>
      <xdr:row>1223</xdr:row>
      <xdr:rowOff>0</xdr:rowOff>
    </xdr:to>
    <xdr:pic>
      <xdr:nvPicPr>
        <xdr:cNvPr id="226" name="Picture 3167" descr="t-038m">
          <a:hlinkClick xmlns:r="http://schemas.openxmlformats.org/officeDocument/2006/relationships" r:id="rId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1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1224</xdr:row>
      <xdr:rowOff>0</xdr:rowOff>
    </xdr:from>
    <xdr:to>
      <xdr:col>2</xdr:col>
      <xdr:colOff>0</xdr:colOff>
      <xdr:row>1225</xdr:row>
      <xdr:rowOff>0</xdr:rowOff>
    </xdr:to>
    <xdr:pic>
      <xdr:nvPicPr>
        <xdr:cNvPr id="227" name="Picture 3168" descr="t-040m">
          <a:hlinkClick xmlns:r="http://schemas.openxmlformats.org/officeDocument/2006/relationships" r:id="rId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78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1225</xdr:row>
      <xdr:rowOff>0</xdr:rowOff>
    </xdr:from>
    <xdr:to>
      <xdr:col>2</xdr:col>
      <xdr:colOff>0</xdr:colOff>
      <xdr:row>1226</xdr:row>
      <xdr:rowOff>0</xdr:rowOff>
    </xdr:to>
    <xdr:pic>
      <xdr:nvPicPr>
        <xdr:cNvPr id="228" name="Picture 3169" descr="t-040m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554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1226</xdr:row>
      <xdr:rowOff>0</xdr:rowOff>
    </xdr:from>
    <xdr:to>
      <xdr:col>2</xdr:col>
      <xdr:colOff>0</xdr:colOff>
      <xdr:row>1227</xdr:row>
      <xdr:rowOff>0</xdr:rowOff>
    </xdr:to>
    <xdr:pic>
      <xdr:nvPicPr>
        <xdr:cNvPr id="229" name="Picture 3170" descr="t-041m">
          <a:hlinkClick xmlns:r="http://schemas.openxmlformats.org/officeDocument/2006/relationships" r:id="rId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554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1227</xdr:row>
      <xdr:rowOff>0</xdr:rowOff>
    </xdr:from>
    <xdr:to>
      <xdr:col>2</xdr:col>
      <xdr:colOff>0</xdr:colOff>
      <xdr:row>1228</xdr:row>
      <xdr:rowOff>0</xdr:rowOff>
    </xdr:to>
    <xdr:pic>
      <xdr:nvPicPr>
        <xdr:cNvPr id="230" name="Picture 3171" descr="t-041m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554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1228</xdr:row>
      <xdr:rowOff>0</xdr:rowOff>
    </xdr:from>
    <xdr:to>
      <xdr:col>2</xdr:col>
      <xdr:colOff>0</xdr:colOff>
      <xdr:row>1229</xdr:row>
      <xdr:rowOff>0</xdr:rowOff>
    </xdr:to>
    <xdr:pic>
      <xdr:nvPicPr>
        <xdr:cNvPr id="231" name="Picture 3172" descr="t-042m">
          <a:hlinkClick xmlns:r="http://schemas.openxmlformats.org/officeDocument/2006/relationships" r:id="rId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554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1229</xdr:row>
      <xdr:rowOff>0</xdr:rowOff>
    </xdr:from>
    <xdr:to>
      <xdr:col>2</xdr:col>
      <xdr:colOff>0</xdr:colOff>
      <xdr:row>1230</xdr:row>
      <xdr:rowOff>0</xdr:rowOff>
    </xdr:to>
    <xdr:pic>
      <xdr:nvPicPr>
        <xdr:cNvPr id="232" name="Picture 3173" descr="t-042m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1230</xdr:row>
      <xdr:rowOff>0</xdr:rowOff>
    </xdr:from>
    <xdr:to>
      <xdr:col>2</xdr:col>
      <xdr:colOff>0</xdr:colOff>
      <xdr:row>1231</xdr:row>
      <xdr:rowOff>0</xdr:rowOff>
    </xdr:to>
    <xdr:pic>
      <xdr:nvPicPr>
        <xdr:cNvPr id="233" name="Picture 3174" descr="t-043m">
          <a:hlinkClick xmlns:r="http://schemas.openxmlformats.org/officeDocument/2006/relationships" r:id="rId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1231</xdr:row>
      <xdr:rowOff>0</xdr:rowOff>
    </xdr:from>
    <xdr:to>
      <xdr:col>2</xdr:col>
      <xdr:colOff>0</xdr:colOff>
      <xdr:row>1232</xdr:row>
      <xdr:rowOff>0</xdr:rowOff>
    </xdr:to>
    <xdr:pic>
      <xdr:nvPicPr>
        <xdr:cNvPr id="234" name="Picture 3175" descr="t-043m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1232</xdr:row>
      <xdr:rowOff>0</xdr:rowOff>
    </xdr:from>
    <xdr:to>
      <xdr:col>2</xdr:col>
      <xdr:colOff>0</xdr:colOff>
      <xdr:row>1233</xdr:row>
      <xdr:rowOff>0</xdr:rowOff>
    </xdr:to>
    <xdr:pic>
      <xdr:nvPicPr>
        <xdr:cNvPr id="235" name="Picture 3176" descr="t-044m">
          <a:hlinkClick xmlns:r="http://schemas.openxmlformats.org/officeDocument/2006/relationships" r:id="rId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0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1233</xdr:row>
      <xdr:rowOff>0</xdr:rowOff>
    </xdr:from>
    <xdr:to>
      <xdr:col>2</xdr:col>
      <xdr:colOff>0</xdr:colOff>
      <xdr:row>1234</xdr:row>
      <xdr:rowOff>0</xdr:rowOff>
    </xdr:to>
    <xdr:pic>
      <xdr:nvPicPr>
        <xdr:cNvPr id="236" name="Picture 3177" descr="t-044m">
          <a:hlinkClick xmlns:r="http://schemas.openxmlformats.org/officeDocument/2006/relationships" r:id="rId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06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1234</xdr:row>
      <xdr:rowOff>0</xdr:rowOff>
    </xdr:from>
    <xdr:to>
      <xdr:col>2</xdr:col>
      <xdr:colOff>0</xdr:colOff>
      <xdr:row>1235</xdr:row>
      <xdr:rowOff>0</xdr:rowOff>
    </xdr:to>
    <xdr:pic>
      <xdr:nvPicPr>
        <xdr:cNvPr id="237" name="Picture 3178" descr="t-045m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06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1235</xdr:row>
      <xdr:rowOff>0</xdr:rowOff>
    </xdr:from>
    <xdr:to>
      <xdr:col>2</xdr:col>
      <xdr:colOff>0</xdr:colOff>
      <xdr:row>1236</xdr:row>
      <xdr:rowOff>0</xdr:rowOff>
    </xdr:to>
    <xdr:pic>
      <xdr:nvPicPr>
        <xdr:cNvPr id="238" name="Picture 3179" descr="t-046m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82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1236</xdr:row>
      <xdr:rowOff>0</xdr:rowOff>
    </xdr:from>
    <xdr:to>
      <xdr:col>2</xdr:col>
      <xdr:colOff>0</xdr:colOff>
      <xdr:row>1237</xdr:row>
      <xdr:rowOff>0</xdr:rowOff>
    </xdr:to>
    <xdr:pic>
      <xdr:nvPicPr>
        <xdr:cNvPr id="239" name="Picture 3180" descr="t-046m">
          <a:hlinkClick xmlns:r="http://schemas.openxmlformats.org/officeDocument/2006/relationships" r:id="rId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859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1303</xdr:row>
      <xdr:rowOff>0</xdr:rowOff>
    </xdr:from>
    <xdr:to>
      <xdr:col>2</xdr:col>
      <xdr:colOff>0</xdr:colOff>
      <xdr:row>1304</xdr:row>
      <xdr:rowOff>0</xdr:rowOff>
    </xdr:to>
    <xdr:pic>
      <xdr:nvPicPr>
        <xdr:cNvPr id="240" name="Picture 3181" descr="t-011m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59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1304</xdr:row>
      <xdr:rowOff>0</xdr:rowOff>
    </xdr:from>
    <xdr:to>
      <xdr:col>2</xdr:col>
      <xdr:colOff>0</xdr:colOff>
      <xdr:row>1305</xdr:row>
      <xdr:rowOff>0</xdr:rowOff>
    </xdr:to>
    <xdr:pic>
      <xdr:nvPicPr>
        <xdr:cNvPr id="241" name="Picture 3182" descr="t-011m">
          <a:hlinkClick xmlns:r="http://schemas.openxmlformats.org/officeDocument/2006/relationships" r:id="rId3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135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1153</xdr:row>
      <xdr:rowOff>0</xdr:rowOff>
    </xdr:from>
    <xdr:to>
      <xdr:col>2</xdr:col>
      <xdr:colOff>0</xdr:colOff>
      <xdr:row>1154</xdr:row>
      <xdr:rowOff>0</xdr:rowOff>
    </xdr:to>
    <xdr:pic>
      <xdr:nvPicPr>
        <xdr:cNvPr id="242" name="Picture 3183" descr="t-013m">
          <a:hlinkClick xmlns:r="http://schemas.openxmlformats.org/officeDocument/2006/relationships" r:id="rId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725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1154</xdr:row>
      <xdr:rowOff>0</xdr:rowOff>
    </xdr:from>
    <xdr:to>
      <xdr:col>2</xdr:col>
      <xdr:colOff>0</xdr:colOff>
      <xdr:row>1155</xdr:row>
      <xdr:rowOff>0</xdr:rowOff>
    </xdr:to>
    <xdr:pic>
      <xdr:nvPicPr>
        <xdr:cNvPr id="243" name="Picture 3184" descr="t-013lm">
          <a:hlinkClick xmlns:r="http://schemas.openxmlformats.org/officeDocument/2006/relationships" r:id="rId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01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1223</xdr:row>
      <xdr:rowOff>0</xdr:rowOff>
    </xdr:from>
    <xdr:to>
      <xdr:col>2</xdr:col>
      <xdr:colOff>0</xdr:colOff>
      <xdr:row>1224</xdr:row>
      <xdr:rowOff>0</xdr:rowOff>
    </xdr:to>
    <xdr:pic>
      <xdr:nvPicPr>
        <xdr:cNvPr id="244" name="Picture 3185" descr="t-039m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1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1239</xdr:row>
      <xdr:rowOff>0</xdr:rowOff>
    </xdr:from>
    <xdr:to>
      <xdr:col>2</xdr:col>
      <xdr:colOff>0</xdr:colOff>
      <xdr:row>1240</xdr:row>
      <xdr:rowOff>0</xdr:rowOff>
    </xdr:to>
    <xdr:pic>
      <xdr:nvPicPr>
        <xdr:cNvPr id="245" name="Picture 3186" descr="t-048m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93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1240</xdr:row>
      <xdr:rowOff>0</xdr:rowOff>
    </xdr:from>
    <xdr:to>
      <xdr:col>2</xdr:col>
      <xdr:colOff>0</xdr:colOff>
      <xdr:row>1241</xdr:row>
      <xdr:rowOff>0</xdr:rowOff>
    </xdr:to>
    <xdr:pic>
      <xdr:nvPicPr>
        <xdr:cNvPr id="246" name="Picture 3187" descr="t-048lm">
          <a:hlinkClick xmlns:r="http://schemas.openxmlformats.org/officeDocument/2006/relationships" r:id="rId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93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1134</xdr:row>
      <xdr:rowOff>0</xdr:rowOff>
    </xdr:from>
    <xdr:to>
      <xdr:col>2</xdr:col>
      <xdr:colOff>0</xdr:colOff>
      <xdr:row>1135</xdr:row>
      <xdr:rowOff>0</xdr:rowOff>
    </xdr:to>
    <xdr:pic>
      <xdr:nvPicPr>
        <xdr:cNvPr id="247" name="Picture 3188" descr="t-048m">
          <a:hlinkClick xmlns:r="http://schemas.openxmlformats.org/officeDocument/2006/relationships" r:id="rId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39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1135</xdr:row>
      <xdr:rowOff>0</xdr:rowOff>
    </xdr:from>
    <xdr:to>
      <xdr:col>2</xdr:col>
      <xdr:colOff>0</xdr:colOff>
      <xdr:row>1136</xdr:row>
      <xdr:rowOff>0</xdr:rowOff>
    </xdr:to>
    <xdr:pic>
      <xdr:nvPicPr>
        <xdr:cNvPr id="248" name="Picture 3189" descr="t-048lm">
          <a:hlinkClick xmlns:r="http://schemas.openxmlformats.org/officeDocument/2006/relationships" r:id="rId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115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1237</xdr:row>
      <xdr:rowOff>0</xdr:rowOff>
    </xdr:from>
    <xdr:to>
      <xdr:col>2</xdr:col>
      <xdr:colOff>0</xdr:colOff>
      <xdr:row>1238</xdr:row>
      <xdr:rowOff>0</xdr:rowOff>
    </xdr:to>
    <xdr:pic>
      <xdr:nvPicPr>
        <xdr:cNvPr id="249" name="Picture 3190" descr="t-047m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859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1238</xdr:row>
      <xdr:rowOff>0</xdr:rowOff>
    </xdr:from>
    <xdr:to>
      <xdr:col>2</xdr:col>
      <xdr:colOff>0</xdr:colOff>
      <xdr:row>1239</xdr:row>
      <xdr:rowOff>0</xdr:rowOff>
    </xdr:to>
    <xdr:pic>
      <xdr:nvPicPr>
        <xdr:cNvPr id="250" name="Picture 3191" descr="t-047m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93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470</xdr:row>
      <xdr:rowOff>0</xdr:rowOff>
    </xdr:from>
    <xdr:to>
      <xdr:col>2</xdr:col>
      <xdr:colOff>0</xdr:colOff>
      <xdr:row>471</xdr:row>
      <xdr:rowOff>0</xdr:rowOff>
    </xdr:to>
    <xdr:pic>
      <xdr:nvPicPr>
        <xdr:cNvPr id="251" name="Picture 3192" descr="28-427-1m">
          <a:hlinkClick xmlns:r="http://schemas.openxmlformats.org/officeDocument/2006/relationships" r:id="rId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1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655</xdr:row>
      <xdr:rowOff>0</xdr:rowOff>
    </xdr:from>
    <xdr:to>
      <xdr:col>2</xdr:col>
      <xdr:colOff>0</xdr:colOff>
      <xdr:row>656</xdr:row>
      <xdr:rowOff>0</xdr:rowOff>
    </xdr:to>
    <xdr:pic>
      <xdr:nvPicPr>
        <xdr:cNvPr id="252" name="Picture 3193" descr="36-8505m">
          <a:hlinkClick xmlns:r="http://schemas.openxmlformats.org/officeDocument/2006/relationships" r:id="rId4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776</xdr:row>
      <xdr:rowOff>0</xdr:rowOff>
    </xdr:from>
    <xdr:to>
      <xdr:col>2</xdr:col>
      <xdr:colOff>0</xdr:colOff>
      <xdr:row>777</xdr:row>
      <xdr:rowOff>0</xdr:rowOff>
    </xdr:to>
    <xdr:pic>
      <xdr:nvPicPr>
        <xdr:cNvPr id="253" name="Picture 3194" descr="54-927m">
          <a:hlinkClick xmlns:r="http://schemas.openxmlformats.org/officeDocument/2006/relationships" r:id="rId4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491</xdr:row>
      <xdr:rowOff>0</xdr:rowOff>
    </xdr:from>
    <xdr:to>
      <xdr:col>2</xdr:col>
      <xdr:colOff>0</xdr:colOff>
      <xdr:row>492</xdr:row>
      <xdr:rowOff>0</xdr:rowOff>
    </xdr:to>
    <xdr:pic>
      <xdr:nvPicPr>
        <xdr:cNvPr id="254" name="Picture 21376" descr="14-1509m">
          <a:hlinkClick xmlns:r="http://schemas.openxmlformats.org/officeDocument/2006/relationships" r:id="rId4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690</xdr:row>
      <xdr:rowOff>0</xdr:rowOff>
    </xdr:from>
    <xdr:to>
      <xdr:col>2</xdr:col>
      <xdr:colOff>0</xdr:colOff>
      <xdr:row>691</xdr:row>
      <xdr:rowOff>0</xdr:rowOff>
    </xdr:to>
    <xdr:pic>
      <xdr:nvPicPr>
        <xdr:cNvPr id="255" name="Picture 3196" descr="30-190m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256" name="Picture 3197" descr="30-190m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257" name="Picture 3198" descr="14-190m">
          <a:hlinkClick xmlns:r="http://schemas.openxmlformats.org/officeDocument/2006/relationships" r:id="rId4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696</xdr:row>
      <xdr:rowOff>0</xdr:rowOff>
    </xdr:from>
    <xdr:to>
      <xdr:col>2</xdr:col>
      <xdr:colOff>0</xdr:colOff>
      <xdr:row>697</xdr:row>
      <xdr:rowOff>0</xdr:rowOff>
    </xdr:to>
    <xdr:pic>
      <xdr:nvPicPr>
        <xdr:cNvPr id="258" name="Picture 3199" descr="42-927m">
          <a:hlinkClick xmlns:r="http://schemas.openxmlformats.org/officeDocument/2006/relationships" r:id="rId4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859</xdr:row>
      <xdr:rowOff>0</xdr:rowOff>
    </xdr:from>
    <xdr:to>
      <xdr:col>2</xdr:col>
      <xdr:colOff>0</xdr:colOff>
      <xdr:row>860</xdr:row>
      <xdr:rowOff>0</xdr:rowOff>
    </xdr:to>
    <xdr:pic>
      <xdr:nvPicPr>
        <xdr:cNvPr id="259" name="Picture 3200" descr="82-8516m">
          <a:hlinkClick xmlns:r="http://schemas.openxmlformats.org/officeDocument/2006/relationships" r:id="rId4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441</xdr:row>
      <xdr:rowOff>0</xdr:rowOff>
    </xdr:from>
    <xdr:to>
      <xdr:col>2</xdr:col>
      <xdr:colOff>9525</xdr:colOff>
      <xdr:row>442</xdr:row>
      <xdr:rowOff>0</xdr:rowOff>
    </xdr:to>
    <xdr:pic>
      <xdr:nvPicPr>
        <xdr:cNvPr id="260" name="Picture 3201" descr="14-136m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520</xdr:row>
      <xdr:rowOff>0</xdr:rowOff>
    </xdr:to>
    <xdr:pic>
      <xdr:nvPicPr>
        <xdr:cNvPr id="261" name="Picture 3202" descr="34-1519m">
          <a:hlinkClick xmlns:r="http://schemas.openxmlformats.org/officeDocument/2006/relationships" r:id="rId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521</xdr:row>
      <xdr:rowOff>0</xdr:rowOff>
    </xdr:to>
    <xdr:pic>
      <xdr:nvPicPr>
        <xdr:cNvPr id="262" name="Picture 3203" descr="34-1520m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532</xdr:row>
      <xdr:rowOff>0</xdr:rowOff>
    </xdr:from>
    <xdr:to>
      <xdr:col>2</xdr:col>
      <xdr:colOff>0</xdr:colOff>
      <xdr:row>533</xdr:row>
      <xdr:rowOff>0</xdr:rowOff>
    </xdr:to>
    <xdr:pic>
      <xdr:nvPicPr>
        <xdr:cNvPr id="263" name="Picture 3204" descr="34-190m">
          <a:hlinkClick xmlns:r="http://schemas.openxmlformats.org/officeDocument/2006/relationships" r:id="rId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760</xdr:row>
      <xdr:rowOff>0</xdr:rowOff>
    </xdr:from>
    <xdr:to>
      <xdr:col>2</xdr:col>
      <xdr:colOff>0</xdr:colOff>
      <xdr:row>761</xdr:row>
      <xdr:rowOff>0</xdr:rowOff>
    </xdr:to>
    <xdr:pic>
      <xdr:nvPicPr>
        <xdr:cNvPr id="264" name="Picture 3205" descr="52-1518m">
          <a:hlinkClick xmlns:r="http://schemas.openxmlformats.org/officeDocument/2006/relationships" r:id="rId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65" name="Picture 3206" descr="14-144m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253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304</xdr:row>
      <xdr:rowOff>0</xdr:rowOff>
    </xdr:to>
    <xdr:pic>
      <xdr:nvPicPr>
        <xdr:cNvPr id="266" name="Picture 3207" descr="14-1520m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456</xdr:row>
      <xdr:rowOff>0</xdr:rowOff>
    </xdr:from>
    <xdr:to>
      <xdr:col>2</xdr:col>
      <xdr:colOff>0</xdr:colOff>
      <xdr:row>457</xdr:row>
      <xdr:rowOff>0</xdr:rowOff>
    </xdr:to>
    <xdr:pic>
      <xdr:nvPicPr>
        <xdr:cNvPr id="267" name="Picture 3208" descr="24-1520m">
          <a:hlinkClick xmlns:r="http://schemas.openxmlformats.org/officeDocument/2006/relationships" r:id="rId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18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304</xdr:row>
      <xdr:rowOff>0</xdr:rowOff>
    </xdr:to>
    <xdr:pic>
      <xdr:nvPicPr>
        <xdr:cNvPr id="268" name="Picture 3209" descr="14-1519m">
          <a:hlinkClick xmlns:r="http://schemas.openxmlformats.org/officeDocument/2006/relationships" r:id="rId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445</xdr:row>
      <xdr:rowOff>0</xdr:rowOff>
    </xdr:from>
    <xdr:to>
      <xdr:col>2</xdr:col>
      <xdr:colOff>0</xdr:colOff>
      <xdr:row>446</xdr:row>
      <xdr:rowOff>0</xdr:rowOff>
    </xdr:to>
    <xdr:pic>
      <xdr:nvPicPr>
        <xdr:cNvPr id="269" name="Picture 3210" descr="22-1519m">
          <a:hlinkClick xmlns:r="http://schemas.openxmlformats.org/officeDocument/2006/relationships" r:id="rId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270" name="Picture 3211" descr="34-144m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493</xdr:row>
      <xdr:rowOff>0</xdr:rowOff>
    </xdr:from>
    <xdr:to>
      <xdr:col>2</xdr:col>
      <xdr:colOff>0</xdr:colOff>
      <xdr:row>494</xdr:row>
      <xdr:rowOff>0</xdr:rowOff>
    </xdr:to>
    <xdr:pic>
      <xdr:nvPicPr>
        <xdr:cNvPr id="271" name="Picture 3212" descr="30-1520m">
          <a:hlinkClick xmlns:r="http://schemas.openxmlformats.org/officeDocument/2006/relationships" r:id="rId4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412</xdr:row>
      <xdr:rowOff>0</xdr:rowOff>
    </xdr:from>
    <xdr:to>
      <xdr:col>2</xdr:col>
      <xdr:colOff>0</xdr:colOff>
      <xdr:row>413</xdr:row>
      <xdr:rowOff>0</xdr:rowOff>
    </xdr:to>
    <xdr:pic>
      <xdr:nvPicPr>
        <xdr:cNvPr id="272" name="Picture 21413" descr="14-9506m">
          <a:hlinkClick xmlns:r="http://schemas.openxmlformats.org/officeDocument/2006/relationships" r:id="rId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2179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426</xdr:row>
      <xdr:rowOff>0</xdr:rowOff>
    </xdr:to>
    <xdr:pic>
      <xdr:nvPicPr>
        <xdr:cNvPr id="273" name="Picture 3214" descr="16-5512m">
          <a:hlinkClick xmlns:r="http://schemas.openxmlformats.org/officeDocument/2006/relationships" r:id="rId4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941</xdr:row>
      <xdr:rowOff>0</xdr:rowOff>
    </xdr:from>
    <xdr:to>
      <xdr:col>2</xdr:col>
      <xdr:colOff>9525</xdr:colOff>
      <xdr:row>942</xdr:row>
      <xdr:rowOff>0</xdr:rowOff>
    </xdr:to>
    <xdr:pic>
      <xdr:nvPicPr>
        <xdr:cNvPr id="274" name="Picture 3215" descr="U-100m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812</xdr:row>
      <xdr:rowOff>0</xdr:rowOff>
    </xdr:from>
    <xdr:to>
      <xdr:col>2</xdr:col>
      <xdr:colOff>0</xdr:colOff>
      <xdr:row>813</xdr:row>
      <xdr:rowOff>0</xdr:rowOff>
    </xdr:to>
    <xdr:pic>
      <xdr:nvPicPr>
        <xdr:cNvPr id="275" name="Picture 4137" descr="77-en-138m">
          <a:hlinkClick xmlns:r="http://schemas.openxmlformats.org/officeDocument/2006/relationships" r:id="rId456"/>
        </xdr:cNvPr>
        <xdr:cNvPicPr>
          <a:picLocks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438</xdr:row>
      <xdr:rowOff>0</xdr:rowOff>
    </xdr:from>
    <xdr:to>
      <xdr:col>2</xdr:col>
      <xdr:colOff>0</xdr:colOff>
      <xdr:row>439</xdr:row>
      <xdr:rowOff>0</xdr:rowOff>
    </xdr:to>
    <xdr:pic>
      <xdr:nvPicPr>
        <xdr:cNvPr id="276" name="Picture 3218" descr="22-121m">
          <a:hlinkClick xmlns:r="http://schemas.openxmlformats.org/officeDocument/2006/relationships" r:id="rId4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520</xdr:row>
      <xdr:rowOff>0</xdr:rowOff>
    </xdr:to>
    <xdr:pic>
      <xdr:nvPicPr>
        <xdr:cNvPr id="277" name="Picture 3219" descr="34-1518m">
          <a:hlinkClick xmlns:r="http://schemas.openxmlformats.org/officeDocument/2006/relationships" r:id="rId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765</xdr:row>
      <xdr:rowOff>0</xdr:rowOff>
    </xdr:from>
    <xdr:to>
      <xdr:col>2</xdr:col>
      <xdr:colOff>0</xdr:colOff>
      <xdr:row>766</xdr:row>
      <xdr:rowOff>0</xdr:rowOff>
    </xdr:to>
    <xdr:pic>
      <xdr:nvPicPr>
        <xdr:cNvPr id="278" name="Picture 3220" descr="52-5522m">
          <a:hlinkClick xmlns:r="http://schemas.openxmlformats.org/officeDocument/2006/relationships" r:id="rId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604</xdr:row>
      <xdr:rowOff>0</xdr:rowOff>
    </xdr:from>
    <xdr:to>
      <xdr:col>2</xdr:col>
      <xdr:colOff>0</xdr:colOff>
      <xdr:row>605</xdr:row>
      <xdr:rowOff>0</xdr:rowOff>
    </xdr:to>
    <xdr:pic>
      <xdr:nvPicPr>
        <xdr:cNvPr id="279" name="Picture 3221" descr="34-9525m">
          <a:hlinkClick xmlns:r="http://schemas.openxmlformats.org/officeDocument/2006/relationships" r:id="rId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569</xdr:row>
      <xdr:rowOff>0</xdr:rowOff>
    </xdr:from>
    <xdr:to>
      <xdr:col>2</xdr:col>
      <xdr:colOff>0</xdr:colOff>
      <xdr:row>569</xdr:row>
      <xdr:rowOff>752475</xdr:rowOff>
    </xdr:to>
    <xdr:pic>
      <xdr:nvPicPr>
        <xdr:cNvPr id="280" name="Picture 3222" descr="34-5522m">
          <a:hlinkClick xmlns:r="http://schemas.openxmlformats.org/officeDocument/2006/relationships" r:id="rId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281" name="Picture 3223" descr="34-1522m">
          <a:hlinkClick xmlns:r="http://schemas.openxmlformats.org/officeDocument/2006/relationships" r:id="rId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467</xdr:row>
      <xdr:rowOff>0</xdr:rowOff>
    </xdr:from>
    <xdr:to>
      <xdr:col>2</xdr:col>
      <xdr:colOff>0</xdr:colOff>
      <xdr:row>468</xdr:row>
      <xdr:rowOff>0</xdr:rowOff>
    </xdr:to>
    <xdr:pic>
      <xdr:nvPicPr>
        <xdr:cNvPr id="282" name="Picture 3225" descr="28-409m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1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283" name="Picture 3226" descr="14-116m">
          <a:hlinkClick xmlns:r="http://schemas.openxmlformats.org/officeDocument/2006/relationships" r:id="rId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500</xdr:row>
      <xdr:rowOff>0</xdr:rowOff>
    </xdr:from>
    <xdr:to>
      <xdr:col>2</xdr:col>
      <xdr:colOff>0</xdr:colOff>
      <xdr:row>501</xdr:row>
      <xdr:rowOff>0</xdr:rowOff>
    </xdr:to>
    <xdr:pic>
      <xdr:nvPicPr>
        <xdr:cNvPr id="284" name="Picture 3227" descr="30-5521m">
          <a:hlinkClick xmlns:r="http://schemas.openxmlformats.org/officeDocument/2006/relationships" r:id="rId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285" name="Picture 3228" descr="38-8925m">
          <a:hlinkClick xmlns:r="http://schemas.openxmlformats.org/officeDocument/2006/relationships" r:id="rId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286" name="Picture 3231" descr="34-1524m">
          <a:hlinkClick xmlns:r="http://schemas.openxmlformats.org/officeDocument/2006/relationships" r:id="rId4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633</xdr:row>
      <xdr:rowOff>0</xdr:rowOff>
    </xdr:from>
    <xdr:to>
      <xdr:col>2</xdr:col>
      <xdr:colOff>0</xdr:colOff>
      <xdr:row>634</xdr:row>
      <xdr:rowOff>0</xdr:rowOff>
    </xdr:to>
    <xdr:pic>
      <xdr:nvPicPr>
        <xdr:cNvPr id="287" name="Picture 3232" descr="36-1525m">
          <a:hlinkClick xmlns:r="http://schemas.openxmlformats.org/officeDocument/2006/relationships" r:id="rId4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019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595</xdr:row>
      <xdr:rowOff>0</xdr:rowOff>
    </xdr:from>
    <xdr:to>
      <xdr:col>2</xdr:col>
      <xdr:colOff>0</xdr:colOff>
      <xdr:row>596</xdr:row>
      <xdr:rowOff>0</xdr:rowOff>
    </xdr:to>
    <xdr:pic>
      <xdr:nvPicPr>
        <xdr:cNvPr id="288" name="Picture 3233" descr="34-8524m">
          <a:hlinkClick xmlns:r="http://schemas.openxmlformats.org/officeDocument/2006/relationships" r:id="rId4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89" name="Picture 3236" descr="14-1525m">
          <a:hlinkClick xmlns:r="http://schemas.openxmlformats.org/officeDocument/2006/relationships" r:id="rId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414</xdr:row>
      <xdr:rowOff>0</xdr:rowOff>
    </xdr:from>
    <xdr:to>
      <xdr:col>2</xdr:col>
      <xdr:colOff>0</xdr:colOff>
      <xdr:row>415</xdr:row>
      <xdr:rowOff>0</xdr:rowOff>
    </xdr:to>
    <xdr:pic>
      <xdr:nvPicPr>
        <xdr:cNvPr id="290" name="Picture 3237" descr="14-9525m">
          <a:hlinkClick xmlns:r="http://schemas.openxmlformats.org/officeDocument/2006/relationships" r:id="rId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2179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1" name="Picture 3238" descr="D-470-02m">
          <a:hlinkClick xmlns:r="http://schemas.openxmlformats.org/officeDocument/2006/relationships" r:id="rId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2" name="Picture 3239" descr="D-470-05m">
          <a:hlinkClick xmlns:r="http://schemas.openxmlformats.org/officeDocument/2006/relationships" r:id="rId4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3" name="Picture 3240" descr="D-470-11m">
          <a:hlinkClick xmlns:r="http://schemas.openxmlformats.org/officeDocument/2006/relationships" r:id="rId4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4" name="Picture 3241" descr="D-470-30m">
          <a:hlinkClick xmlns:r="http://schemas.openxmlformats.org/officeDocument/2006/relationships" r:id="rId4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5" name="Picture 3242" descr="D-471-01m">
          <a:hlinkClick xmlns:r="http://schemas.openxmlformats.org/officeDocument/2006/relationships" r:id="rId4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6" name="Picture 3243" descr="D-471-02m">
          <a:hlinkClick xmlns:r="http://schemas.openxmlformats.org/officeDocument/2006/relationships" r:id="rId4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7" name="Picture 3244" descr="D-471-02m">
          <a:hlinkClick xmlns:r="http://schemas.openxmlformats.org/officeDocument/2006/relationships" r:id="rId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8" name="Picture 3245" descr="D-472-02m">
          <a:hlinkClick xmlns:r="http://schemas.openxmlformats.org/officeDocument/2006/relationships" r:id="rId5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99" name="Picture 3246" descr="D-472-0501m">
          <a:hlinkClick xmlns:r="http://schemas.openxmlformats.org/officeDocument/2006/relationships" r:id="rId5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300" name="Picture 3247" descr="D-474-01m">
          <a:hlinkClick xmlns:r="http://schemas.openxmlformats.org/officeDocument/2006/relationships" r:id="rId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1241</xdr:row>
      <xdr:rowOff>0</xdr:rowOff>
    </xdr:from>
    <xdr:to>
      <xdr:col>2</xdr:col>
      <xdr:colOff>0</xdr:colOff>
      <xdr:row>1242</xdr:row>
      <xdr:rowOff>0</xdr:rowOff>
    </xdr:to>
    <xdr:pic>
      <xdr:nvPicPr>
        <xdr:cNvPr id="301" name="Picture 3248" descr="T-TS-049m">
          <a:hlinkClick xmlns:r="http://schemas.openxmlformats.org/officeDocument/2006/relationships" r:id="rId5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93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1242</xdr:row>
      <xdr:rowOff>0</xdr:rowOff>
    </xdr:from>
    <xdr:to>
      <xdr:col>2</xdr:col>
      <xdr:colOff>0</xdr:colOff>
      <xdr:row>1243</xdr:row>
      <xdr:rowOff>0</xdr:rowOff>
    </xdr:to>
    <xdr:pic>
      <xdr:nvPicPr>
        <xdr:cNvPr id="302" name="Picture 3249" descr="T-TS-049-Im">
          <a:hlinkClick xmlns:r="http://schemas.openxmlformats.org/officeDocument/2006/relationships" r:id="rId5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935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1243</xdr:row>
      <xdr:rowOff>0</xdr:rowOff>
    </xdr:from>
    <xdr:to>
      <xdr:col>2</xdr:col>
      <xdr:colOff>0</xdr:colOff>
      <xdr:row>1244</xdr:row>
      <xdr:rowOff>0</xdr:rowOff>
    </xdr:to>
    <xdr:pic>
      <xdr:nvPicPr>
        <xdr:cNvPr id="303" name="Picture 3250" descr="T-TS-049m">
          <a:hlinkClick xmlns:r="http://schemas.openxmlformats.org/officeDocument/2006/relationships" r:id="rId5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1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595</xdr:row>
      <xdr:rowOff>0</xdr:rowOff>
    </xdr:to>
    <xdr:pic>
      <xdr:nvPicPr>
        <xdr:cNvPr id="304" name="Picture 3251" descr="34-843m">
          <a:hlinkClick xmlns:r="http://schemas.openxmlformats.org/officeDocument/2006/relationships" r:id="rId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472</xdr:row>
      <xdr:rowOff>0</xdr:rowOff>
    </xdr:to>
    <xdr:pic>
      <xdr:nvPicPr>
        <xdr:cNvPr id="305" name="Picture 3252" descr="28-598m">
          <a:hlinkClick xmlns:r="http://schemas.openxmlformats.org/officeDocument/2006/relationships" r:id="rId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647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06" name="Picture 3253" descr="14-1526-2m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307" name="Picture 3254" descr="14-1526-1m">
          <a:hlinkClick xmlns:r="http://schemas.openxmlformats.org/officeDocument/2006/relationships" r:id="rId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385</xdr:row>
      <xdr:rowOff>0</xdr:rowOff>
    </xdr:from>
    <xdr:to>
      <xdr:col>2</xdr:col>
      <xdr:colOff>0</xdr:colOff>
      <xdr:row>386</xdr:row>
      <xdr:rowOff>0</xdr:rowOff>
    </xdr:to>
    <xdr:pic>
      <xdr:nvPicPr>
        <xdr:cNvPr id="308" name="Picture 3255" descr="14-6504m">
          <a:hlinkClick xmlns:r="http://schemas.openxmlformats.org/officeDocument/2006/relationships" r:id="rId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309" name="Picture 3256" descr="14-9504m">
          <a:hlinkClick xmlns:r="http://schemas.openxmlformats.org/officeDocument/2006/relationships" r:id="rId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417</xdr:row>
      <xdr:rowOff>0</xdr:rowOff>
    </xdr:to>
    <xdr:pic>
      <xdr:nvPicPr>
        <xdr:cNvPr id="310" name="Picture 3258" descr="14-988m">
          <a:hlinkClick xmlns:r="http://schemas.openxmlformats.org/officeDocument/2006/relationships" r:id="rId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416</xdr:row>
      <xdr:rowOff>0</xdr:rowOff>
    </xdr:to>
    <xdr:pic>
      <xdr:nvPicPr>
        <xdr:cNvPr id="311" name="Picture 3259" descr="14-972m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472</xdr:row>
      <xdr:rowOff>0</xdr:rowOff>
    </xdr:to>
    <xdr:pic>
      <xdr:nvPicPr>
        <xdr:cNvPr id="312" name="Picture 3260" descr="28-599m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647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502</xdr:row>
      <xdr:rowOff>0</xdr:rowOff>
    </xdr:to>
    <xdr:pic>
      <xdr:nvPicPr>
        <xdr:cNvPr id="313" name="Picture 3261" descr="30-598m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607</xdr:row>
      <xdr:rowOff>0</xdr:rowOff>
    </xdr:from>
    <xdr:to>
      <xdr:col>2</xdr:col>
      <xdr:colOff>0</xdr:colOff>
      <xdr:row>608</xdr:row>
      <xdr:rowOff>0</xdr:rowOff>
    </xdr:to>
    <xdr:pic>
      <xdr:nvPicPr>
        <xdr:cNvPr id="314" name="Picture 3262" descr="34-972m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601</xdr:row>
      <xdr:rowOff>0</xdr:rowOff>
    </xdr:from>
    <xdr:to>
      <xdr:col>2</xdr:col>
      <xdr:colOff>0</xdr:colOff>
      <xdr:row>602</xdr:row>
      <xdr:rowOff>0</xdr:rowOff>
    </xdr:to>
    <xdr:pic>
      <xdr:nvPicPr>
        <xdr:cNvPr id="315" name="Picture 3263" descr="34-943m">
          <a:hlinkClick xmlns:r="http://schemas.openxmlformats.org/officeDocument/2006/relationships" r:id="rId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316" name="Picture 3264" descr="14-102SGm">
          <a:hlinkClick xmlns:r="http://schemas.openxmlformats.org/officeDocument/2006/relationships" r:id="rId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0289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694</xdr:row>
      <xdr:rowOff>0</xdr:rowOff>
    </xdr:from>
    <xdr:to>
      <xdr:col>2</xdr:col>
      <xdr:colOff>0</xdr:colOff>
      <xdr:row>695</xdr:row>
      <xdr:rowOff>0</xdr:rowOff>
    </xdr:to>
    <xdr:pic>
      <xdr:nvPicPr>
        <xdr:cNvPr id="317" name="Picture 3265" descr="42-901SGm">
          <a:hlinkClick xmlns:r="http://schemas.openxmlformats.org/officeDocument/2006/relationships" r:id="rId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318" name="Picture 3266" descr="22-901SGm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319" name="Picture 3267" descr="14-101SGm">
          <a:hlinkClick xmlns:r="http://schemas.openxmlformats.org/officeDocument/2006/relationships" r:id="rId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52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369</xdr:row>
      <xdr:rowOff>0</xdr:rowOff>
    </xdr:to>
    <xdr:pic>
      <xdr:nvPicPr>
        <xdr:cNvPr id="320" name="Picture 3268" descr="14-501SGm">
          <a:hlinkClick xmlns:r="http://schemas.openxmlformats.org/officeDocument/2006/relationships" r:id="rId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966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1244</xdr:row>
      <xdr:rowOff>0</xdr:rowOff>
    </xdr:from>
    <xdr:to>
      <xdr:col>2</xdr:col>
      <xdr:colOff>0</xdr:colOff>
      <xdr:row>1245</xdr:row>
      <xdr:rowOff>0</xdr:rowOff>
    </xdr:to>
    <xdr:pic>
      <xdr:nvPicPr>
        <xdr:cNvPr id="321" name="Picture 3269" descr="T-TS-050m">
          <a:hlinkClick xmlns:r="http://schemas.openxmlformats.org/officeDocument/2006/relationships" r:id="rId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1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1245</xdr:row>
      <xdr:rowOff>0</xdr:rowOff>
    </xdr:from>
    <xdr:to>
      <xdr:col>2</xdr:col>
      <xdr:colOff>0</xdr:colOff>
      <xdr:row>1246</xdr:row>
      <xdr:rowOff>0</xdr:rowOff>
    </xdr:to>
    <xdr:pic>
      <xdr:nvPicPr>
        <xdr:cNvPr id="322" name="Picture 3270" descr="T-TS-050m">
          <a:hlinkClick xmlns:r="http://schemas.openxmlformats.org/officeDocument/2006/relationships" r:id="rId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87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819</xdr:row>
      <xdr:rowOff>28575</xdr:rowOff>
    </xdr:from>
    <xdr:to>
      <xdr:col>2</xdr:col>
      <xdr:colOff>0</xdr:colOff>
      <xdr:row>820</xdr:row>
      <xdr:rowOff>28575</xdr:rowOff>
    </xdr:to>
    <xdr:pic>
      <xdr:nvPicPr>
        <xdr:cNvPr id="323" name="Picture 4136" descr="77-en-129m">
          <a:hlinkClick xmlns:r="http://schemas.openxmlformats.org/officeDocument/2006/relationships" r:id="rId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538</xdr:row>
      <xdr:rowOff>0</xdr:rowOff>
    </xdr:from>
    <xdr:to>
      <xdr:col>2</xdr:col>
      <xdr:colOff>0</xdr:colOff>
      <xdr:row>539</xdr:row>
      <xdr:rowOff>0</xdr:rowOff>
    </xdr:to>
    <xdr:pic>
      <xdr:nvPicPr>
        <xdr:cNvPr id="324" name="Picture 21377" descr="14-2508m">
          <a:hlinkClick xmlns:r="http://schemas.openxmlformats.org/officeDocument/2006/relationships" r:id="rId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325" name="Picture 3273" descr="14-993-14m">
          <a:hlinkClick xmlns:r="http://schemas.openxmlformats.org/officeDocument/2006/relationships" r:id="rId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326" name="Picture 3274" descr="14-1529m">
          <a:hlinkClick xmlns:r="http://schemas.openxmlformats.org/officeDocument/2006/relationships" r:id="rId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327" name="Picture 3275" descr="14-1529-1m">
          <a:hlinkClick xmlns:r="http://schemas.openxmlformats.org/officeDocument/2006/relationships" r:id="rId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806</xdr:row>
      <xdr:rowOff>0</xdr:rowOff>
    </xdr:from>
    <xdr:to>
      <xdr:col>2</xdr:col>
      <xdr:colOff>0</xdr:colOff>
      <xdr:row>807</xdr:row>
      <xdr:rowOff>0</xdr:rowOff>
    </xdr:to>
    <xdr:pic>
      <xdr:nvPicPr>
        <xdr:cNvPr id="328" name="Picture 3276" descr="77-89m">
          <a:hlinkClick xmlns:r="http://schemas.openxmlformats.org/officeDocument/2006/relationships" r:id="rId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841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807</xdr:row>
      <xdr:rowOff>0</xdr:rowOff>
    </xdr:from>
    <xdr:to>
      <xdr:col>2</xdr:col>
      <xdr:colOff>0</xdr:colOff>
      <xdr:row>808</xdr:row>
      <xdr:rowOff>0</xdr:rowOff>
    </xdr:to>
    <xdr:pic>
      <xdr:nvPicPr>
        <xdr:cNvPr id="329" name="Picture 3277" descr="77-91m">
          <a:hlinkClick xmlns:r="http://schemas.openxmlformats.org/officeDocument/2006/relationships" r:id="rId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8412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808</xdr:row>
      <xdr:rowOff>0</xdr:rowOff>
    </xdr:from>
    <xdr:to>
      <xdr:col>2</xdr:col>
      <xdr:colOff>0</xdr:colOff>
      <xdr:row>809</xdr:row>
      <xdr:rowOff>0</xdr:rowOff>
    </xdr:to>
    <xdr:pic>
      <xdr:nvPicPr>
        <xdr:cNvPr id="330" name="Picture 3278" descr="77-96m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174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796</xdr:row>
      <xdr:rowOff>0</xdr:rowOff>
    </xdr:from>
    <xdr:to>
      <xdr:col>2</xdr:col>
      <xdr:colOff>0</xdr:colOff>
      <xdr:row>797</xdr:row>
      <xdr:rowOff>0</xdr:rowOff>
    </xdr:to>
    <xdr:pic>
      <xdr:nvPicPr>
        <xdr:cNvPr id="331" name="Picture 3279" descr="77-122m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797</xdr:row>
      <xdr:rowOff>0</xdr:rowOff>
    </xdr:from>
    <xdr:to>
      <xdr:col>2</xdr:col>
      <xdr:colOff>0</xdr:colOff>
      <xdr:row>798</xdr:row>
      <xdr:rowOff>0</xdr:rowOff>
    </xdr:to>
    <xdr:pic>
      <xdr:nvPicPr>
        <xdr:cNvPr id="332" name="Picture 3280" descr="77-124m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798</xdr:row>
      <xdr:rowOff>0</xdr:rowOff>
    </xdr:from>
    <xdr:to>
      <xdr:col>2</xdr:col>
      <xdr:colOff>0</xdr:colOff>
      <xdr:row>799</xdr:row>
      <xdr:rowOff>0</xdr:rowOff>
    </xdr:to>
    <xdr:pic>
      <xdr:nvPicPr>
        <xdr:cNvPr id="333" name="Picture 3281" descr="77-170m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5364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799</xdr:row>
      <xdr:rowOff>0</xdr:rowOff>
    </xdr:from>
    <xdr:to>
      <xdr:col>2</xdr:col>
      <xdr:colOff>0</xdr:colOff>
      <xdr:row>800</xdr:row>
      <xdr:rowOff>0</xdr:rowOff>
    </xdr:to>
    <xdr:pic>
      <xdr:nvPicPr>
        <xdr:cNvPr id="334" name="Picture 3282" descr="77-171m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5364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800</xdr:row>
      <xdr:rowOff>0</xdr:rowOff>
    </xdr:from>
    <xdr:to>
      <xdr:col>2</xdr:col>
      <xdr:colOff>0</xdr:colOff>
      <xdr:row>801</xdr:row>
      <xdr:rowOff>0</xdr:rowOff>
    </xdr:to>
    <xdr:pic>
      <xdr:nvPicPr>
        <xdr:cNvPr id="335" name="Picture 3283" descr="77-177m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801</xdr:row>
      <xdr:rowOff>0</xdr:rowOff>
    </xdr:from>
    <xdr:to>
      <xdr:col>2</xdr:col>
      <xdr:colOff>0</xdr:colOff>
      <xdr:row>802</xdr:row>
      <xdr:rowOff>0</xdr:rowOff>
    </xdr:to>
    <xdr:pic>
      <xdr:nvPicPr>
        <xdr:cNvPr id="336" name="Picture 3284" descr="77-187m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888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802</xdr:row>
      <xdr:rowOff>0</xdr:rowOff>
    </xdr:from>
    <xdr:to>
      <xdr:col>2</xdr:col>
      <xdr:colOff>0</xdr:colOff>
      <xdr:row>803</xdr:row>
      <xdr:rowOff>0</xdr:rowOff>
    </xdr:to>
    <xdr:pic>
      <xdr:nvPicPr>
        <xdr:cNvPr id="337" name="Picture 3286" descr="77-200m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888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803</xdr:row>
      <xdr:rowOff>0</xdr:rowOff>
    </xdr:from>
    <xdr:to>
      <xdr:col>2</xdr:col>
      <xdr:colOff>0</xdr:colOff>
      <xdr:row>804</xdr:row>
      <xdr:rowOff>0</xdr:rowOff>
    </xdr:to>
    <xdr:pic>
      <xdr:nvPicPr>
        <xdr:cNvPr id="338" name="Picture 3287" descr="77-213m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765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804</xdr:row>
      <xdr:rowOff>0</xdr:rowOff>
    </xdr:from>
    <xdr:to>
      <xdr:col>2</xdr:col>
      <xdr:colOff>0</xdr:colOff>
      <xdr:row>805</xdr:row>
      <xdr:rowOff>0</xdr:rowOff>
    </xdr:to>
    <xdr:pic>
      <xdr:nvPicPr>
        <xdr:cNvPr id="339" name="Picture 3288" descr="77-252m">
          <a:hlinkClick xmlns:r="http://schemas.openxmlformats.org/officeDocument/2006/relationships" r:id="rId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7650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805</xdr:row>
      <xdr:rowOff>0</xdr:rowOff>
    </xdr:from>
    <xdr:to>
      <xdr:col>2</xdr:col>
      <xdr:colOff>0</xdr:colOff>
      <xdr:row>806</xdr:row>
      <xdr:rowOff>0</xdr:rowOff>
    </xdr:to>
    <xdr:pic>
      <xdr:nvPicPr>
        <xdr:cNvPr id="340" name="Picture 3289" descr="77-268m">
          <a:hlinkClick xmlns:r="http://schemas.openxmlformats.org/officeDocument/2006/relationships" r:id="rId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841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809</xdr:row>
      <xdr:rowOff>0</xdr:rowOff>
    </xdr:from>
    <xdr:to>
      <xdr:col>2</xdr:col>
      <xdr:colOff>0</xdr:colOff>
      <xdr:row>810</xdr:row>
      <xdr:rowOff>0</xdr:rowOff>
    </xdr:to>
    <xdr:pic>
      <xdr:nvPicPr>
        <xdr:cNvPr id="341" name="Picture 3290" descr="77-A-058m">
          <a:hlinkClick xmlns:r="http://schemas.openxmlformats.org/officeDocument/2006/relationships" r:id="rId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174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818</xdr:row>
      <xdr:rowOff>0</xdr:rowOff>
    </xdr:from>
    <xdr:to>
      <xdr:col>2</xdr:col>
      <xdr:colOff>0</xdr:colOff>
      <xdr:row>819</xdr:row>
      <xdr:rowOff>0</xdr:rowOff>
    </xdr:to>
    <xdr:pic>
      <xdr:nvPicPr>
        <xdr:cNvPr id="342" name="Picture 3291" descr="77-P-007Gm">
          <a:hlinkClick xmlns:r="http://schemas.openxmlformats.org/officeDocument/2006/relationships" r:id="rId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819</xdr:row>
      <xdr:rowOff>0</xdr:rowOff>
    </xdr:from>
    <xdr:to>
      <xdr:col>2</xdr:col>
      <xdr:colOff>0</xdr:colOff>
      <xdr:row>820</xdr:row>
      <xdr:rowOff>0</xdr:rowOff>
    </xdr:to>
    <xdr:pic>
      <xdr:nvPicPr>
        <xdr:cNvPr id="343" name="Picture 3292" descr="77-Pc-40Cm">
          <a:hlinkClick xmlns:r="http://schemas.openxmlformats.org/officeDocument/2006/relationships" r:id="rId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820</xdr:row>
      <xdr:rowOff>0</xdr:rowOff>
    </xdr:from>
    <xdr:to>
      <xdr:col>2</xdr:col>
      <xdr:colOff>0</xdr:colOff>
      <xdr:row>821</xdr:row>
      <xdr:rowOff>0</xdr:rowOff>
    </xdr:to>
    <xdr:pic>
      <xdr:nvPicPr>
        <xdr:cNvPr id="344" name="Picture 3293" descr="77-Pc-43Bm">
          <a:hlinkClick xmlns:r="http://schemas.openxmlformats.org/officeDocument/2006/relationships" r:id="rId5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821</xdr:row>
      <xdr:rowOff>0</xdr:rowOff>
    </xdr:from>
    <xdr:to>
      <xdr:col>2</xdr:col>
      <xdr:colOff>0</xdr:colOff>
      <xdr:row>822</xdr:row>
      <xdr:rowOff>0</xdr:rowOff>
    </xdr:to>
    <xdr:pic>
      <xdr:nvPicPr>
        <xdr:cNvPr id="345" name="Picture 3294" descr="77-Pc-43Wm">
          <a:hlinkClick xmlns:r="http://schemas.openxmlformats.org/officeDocument/2006/relationships" r:id="rId5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822</xdr:row>
      <xdr:rowOff>0</xdr:rowOff>
    </xdr:from>
    <xdr:to>
      <xdr:col>2</xdr:col>
      <xdr:colOff>0</xdr:colOff>
      <xdr:row>823</xdr:row>
      <xdr:rowOff>0</xdr:rowOff>
    </xdr:to>
    <xdr:pic>
      <xdr:nvPicPr>
        <xdr:cNvPr id="346" name="Picture 3295" descr="77-Pc-W5Bm">
          <a:hlinkClick xmlns:r="http://schemas.openxmlformats.org/officeDocument/2006/relationships" r:id="rId5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823</xdr:row>
      <xdr:rowOff>0</xdr:rowOff>
    </xdr:from>
    <xdr:to>
      <xdr:col>2</xdr:col>
      <xdr:colOff>0</xdr:colOff>
      <xdr:row>824</xdr:row>
      <xdr:rowOff>0</xdr:rowOff>
    </xdr:to>
    <xdr:pic>
      <xdr:nvPicPr>
        <xdr:cNvPr id="347" name="Picture 3296" descr="77-Pc-W5Cm">
          <a:hlinkClick xmlns:r="http://schemas.openxmlformats.org/officeDocument/2006/relationships" r:id="rId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93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348" name="Picture 3297" descr="14-134m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813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349" name="Picture 3298" descr="14-285m">
          <a:hlinkClick xmlns:r="http://schemas.openxmlformats.org/officeDocument/2006/relationships" r:id="rId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786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841</xdr:row>
      <xdr:rowOff>0</xdr:rowOff>
    </xdr:from>
    <xdr:to>
      <xdr:col>2</xdr:col>
      <xdr:colOff>0</xdr:colOff>
      <xdr:row>842</xdr:row>
      <xdr:rowOff>0</xdr:rowOff>
    </xdr:to>
    <xdr:pic>
      <xdr:nvPicPr>
        <xdr:cNvPr id="350" name="Picture 3299" descr="79-249m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842</xdr:row>
      <xdr:rowOff>0</xdr:rowOff>
    </xdr:from>
    <xdr:to>
      <xdr:col>2</xdr:col>
      <xdr:colOff>0</xdr:colOff>
      <xdr:row>843</xdr:row>
      <xdr:rowOff>0</xdr:rowOff>
    </xdr:to>
    <xdr:pic>
      <xdr:nvPicPr>
        <xdr:cNvPr id="351" name="Picture 3300" descr="79-5528m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843</xdr:row>
      <xdr:rowOff>0</xdr:rowOff>
    </xdr:from>
    <xdr:to>
      <xdr:col>2</xdr:col>
      <xdr:colOff>0</xdr:colOff>
      <xdr:row>844</xdr:row>
      <xdr:rowOff>0</xdr:rowOff>
    </xdr:to>
    <xdr:pic>
      <xdr:nvPicPr>
        <xdr:cNvPr id="352" name="Picture 3301" descr="79-5528-1m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525</xdr:row>
      <xdr:rowOff>0</xdr:rowOff>
    </xdr:to>
    <xdr:pic>
      <xdr:nvPicPr>
        <xdr:cNvPr id="353" name="Picture 3302" descr="34-1529m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525</xdr:row>
      <xdr:rowOff>0</xdr:rowOff>
    </xdr:from>
    <xdr:to>
      <xdr:col>2</xdr:col>
      <xdr:colOff>0</xdr:colOff>
      <xdr:row>526</xdr:row>
      <xdr:rowOff>0</xdr:rowOff>
    </xdr:to>
    <xdr:pic>
      <xdr:nvPicPr>
        <xdr:cNvPr id="354" name="Picture 3303" descr="34-1529-1m">
          <a:hlinkClick xmlns:r="http://schemas.openxmlformats.org/officeDocument/2006/relationships" r:id="rId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527</xdr:row>
      <xdr:rowOff>0</xdr:rowOff>
    </xdr:to>
    <xdr:pic>
      <xdr:nvPicPr>
        <xdr:cNvPr id="355" name="Picture 3304" descr="34-1NPm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545</xdr:row>
      <xdr:rowOff>0</xdr:rowOff>
    </xdr:from>
    <xdr:to>
      <xdr:col>2</xdr:col>
      <xdr:colOff>0</xdr:colOff>
      <xdr:row>546</xdr:row>
      <xdr:rowOff>0</xdr:rowOff>
    </xdr:to>
    <xdr:pic>
      <xdr:nvPicPr>
        <xdr:cNvPr id="356" name="Picture 3952" descr="28-558m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618</xdr:row>
      <xdr:rowOff>0</xdr:rowOff>
    </xdr:from>
    <xdr:to>
      <xdr:col>2</xdr:col>
      <xdr:colOff>0</xdr:colOff>
      <xdr:row>619</xdr:row>
      <xdr:rowOff>0</xdr:rowOff>
    </xdr:to>
    <xdr:pic>
      <xdr:nvPicPr>
        <xdr:cNvPr id="357" name="Picture 3306" descr="36-172m">
          <a:hlinkClick xmlns:r="http://schemas.openxmlformats.org/officeDocument/2006/relationships" r:id="rId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80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693</xdr:row>
      <xdr:rowOff>0</xdr:rowOff>
    </xdr:from>
    <xdr:to>
      <xdr:col>2</xdr:col>
      <xdr:colOff>0</xdr:colOff>
      <xdr:row>694</xdr:row>
      <xdr:rowOff>0</xdr:rowOff>
    </xdr:to>
    <xdr:pic>
      <xdr:nvPicPr>
        <xdr:cNvPr id="358" name="Picture 3307" descr="42-4531m">
          <a:hlinkClick xmlns:r="http://schemas.openxmlformats.org/officeDocument/2006/relationships" r:id="rId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672</xdr:row>
      <xdr:rowOff>0</xdr:rowOff>
    </xdr:from>
    <xdr:to>
      <xdr:col>2</xdr:col>
      <xdr:colOff>0</xdr:colOff>
      <xdr:row>673</xdr:row>
      <xdr:rowOff>0</xdr:rowOff>
    </xdr:to>
    <xdr:pic>
      <xdr:nvPicPr>
        <xdr:cNvPr id="359" name="Picture 3308" descr="38-8531m">
          <a:hlinkClick xmlns:r="http://schemas.openxmlformats.org/officeDocument/2006/relationships" r:id="rId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1246</xdr:row>
      <xdr:rowOff>0</xdr:rowOff>
    </xdr:from>
    <xdr:to>
      <xdr:col>2</xdr:col>
      <xdr:colOff>0</xdr:colOff>
      <xdr:row>1247</xdr:row>
      <xdr:rowOff>0</xdr:rowOff>
    </xdr:to>
    <xdr:pic>
      <xdr:nvPicPr>
        <xdr:cNvPr id="360" name="Picture 3309" descr="T-TS-051m">
          <a:hlinkClick xmlns:r="http://schemas.openxmlformats.org/officeDocument/2006/relationships" r:id="rId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87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1247</xdr:row>
      <xdr:rowOff>0</xdr:rowOff>
    </xdr:from>
    <xdr:to>
      <xdr:col>2</xdr:col>
      <xdr:colOff>0</xdr:colOff>
      <xdr:row>1248</xdr:row>
      <xdr:rowOff>0</xdr:rowOff>
    </xdr:to>
    <xdr:pic>
      <xdr:nvPicPr>
        <xdr:cNvPr id="361" name="Picture 3310" descr="T-TS-051m">
          <a:hlinkClick xmlns:r="http://schemas.openxmlformats.org/officeDocument/2006/relationships" r:id="rId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163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1174</xdr:row>
      <xdr:rowOff>0</xdr:rowOff>
    </xdr:from>
    <xdr:to>
      <xdr:col>2</xdr:col>
      <xdr:colOff>0</xdr:colOff>
      <xdr:row>1175</xdr:row>
      <xdr:rowOff>0</xdr:rowOff>
    </xdr:to>
    <xdr:pic>
      <xdr:nvPicPr>
        <xdr:cNvPr id="362" name="Picture 3311" descr="T-TS-051m">
          <a:hlinkClick xmlns:r="http://schemas.openxmlformats.org/officeDocument/2006/relationships" r:id="rId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030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1175</xdr:row>
      <xdr:rowOff>0</xdr:rowOff>
    </xdr:from>
    <xdr:to>
      <xdr:col>2</xdr:col>
      <xdr:colOff>0</xdr:colOff>
      <xdr:row>1176</xdr:row>
      <xdr:rowOff>0</xdr:rowOff>
    </xdr:to>
    <xdr:pic>
      <xdr:nvPicPr>
        <xdr:cNvPr id="363" name="Picture 3312" descr="T-TS-051m">
          <a:hlinkClick xmlns:r="http://schemas.openxmlformats.org/officeDocument/2006/relationships" r:id="rId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030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681</xdr:row>
      <xdr:rowOff>0</xdr:rowOff>
    </xdr:from>
    <xdr:to>
      <xdr:col>2</xdr:col>
      <xdr:colOff>0</xdr:colOff>
      <xdr:row>682</xdr:row>
      <xdr:rowOff>0</xdr:rowOff>
    </xdr:to>
    <xdr:pic>
      <xdr:nvPicPr>
        <xdr:cNvPr id="364" name="Picture 3313" descr="41-4531m">
          <a:hlinkClick xmlns:r="http://schemas.openxmlformats.org/officeDocument/2006/relationships" r:id="rId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365" name="Picture 3926" descr="14-128m">
          <a:hlinkClick xmlns:r="http://schemas.openxmlformats.org/officeDocument/2006/relationships" r:id="rId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339</xdr:row>
      <xdr:rowOff>0</xdr:rowOff>
    </xdr:to>
    <xdr:pic>
      <xdr:nvPicPr>
        <xdr:cNvPr id="366" name="Picture 3315" descr="14-227m">
          <a:hlinkClick xmlns:r="http://schemas.openxmlformats.org/officeDocument/2006/relationships" r:id="rId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540</xdr:row>
      <xdr:rowOff>0</xdr:rowOff>
    </xdr:from>
    <xdr:to>
      <xdr:col>2</xdr:col>
      <xdr:colOff>0</xdr:colOff>
      <xdr:row>541</xdr:row>
      <xdr:rowOff>0</xdr:rowOff>
    </xdr:to>
    <xdr:pic>
      <xdr:nvPicPr>
        <xdr:cNvPr id="367" name="Picture 3316" descr="34-2532m">
          <a:hlinkClick xmlns:r="http://schemas.openxmlformats.org/officeDocument/2006/relationships" r:id="rId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535</xdr:row>
      <xdr:rowOff>0</xdr:rowOff>
    </xdr:from>
    <xdr:to>
      <xdr:col>2</xdr:col>
      <xdr:colOff>0</xdr:colOff>
      <xdr:row>536</xdr:row>
      <xdr:rowOff>0</xdr:rowOff>
    </xdr:to>
    <xdr:pic>
      <xdr:nvPicPr>
        <xdr:cNvPr id="368" name="Picture 3317" descr="14-227m">
          <a:hlinkClick xmlns:r="http://schemas.openxmlformats.org/officeDocument/2006/relationships" r:id="rId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460</xdr:row>
      <xdr:rowOff>0</xdr:rowOff>
    </xdr:from>
    <xdr:to>
      <xdr:col>2</xdr:col>
      <xdr:colOff>0</xdr:colOff>
      <xdr:row>461</xdr:row>
      <xdr:rowOff>0</xdr:rowOff>
    </xdr:to>
    <xdr:pic>
      <xdr:nvPicPr>
        <xdr:cNvPr id="369" name="Picture 3318" descr="28-3532m">
          <a:hlinkClick xmlns:r="http://schemas.openxmlformats.org/officeDocument/2006/relationships" r:id="rId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370" name="Picture 3319" descr="14-2532m">
          <a:hlinkClick xmlns:r="http://schemas.openxmlformats.org/officeDocument/2006/relationships" r:id="rId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558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371" name="Picture 3320" descr="14-1530m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372" name="Picture 3321" descr="34-1530m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543</xdr:row>
      <xdr:rowOff>0</xdr:rowOff>
    </xdr:from>
    <xdr:to>
      <xdr:col>2</xdr:col>
      <xdr:colOff>0</xdr:colOff>
      <xdr:row>544</xdr:row>
      <xdr:rowOff>0</xdr:rowOff>
    </xdr:to>
    <xdr:pic>
      <xdr:nvPicPr>
        <xdr:cNvPr id="373" name="Picture 3322" descr="34-257m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587</xdr:row>
      <xdr:rowOff>0</xdr:rowOff>
    </xdr:to>
    <xdr:pic>
      <xdr:nvPicPr>
        <xdr:cNvPr id="374" name="Picture 3323" descr="34-684m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773</xdr:row>
      <xdr:rowOff>0</xdr:rowOff>
    </xdr:from>
    <xdr:to>
      <xdr:col>2</xdr:col>
      <xdr:colOff>0</xdr:colOff>
      <xdr:row>774</xdr:row>
      <xdr:rowOff>0</xdr:rowOff>
    </xdr:to>
    <xdr:pic>
      <xdr:nvPicPr>
        <xdr:cNvPr id="375" name="Picture 3324" descr="54-4531m">
          <a:hlinkClick xmlns:r="http://schemas.openxmlformats.org/officeDocument/2006/relationships" r:id="rId644"/>
        </xdr:cNvPr>
        <xdr:cNvPicPr>
          <a:picLocks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570</xdr:row>
      <xdr:rowOff>0</xdr:rowOff>
    </xdr:from>
    <xdr:to>
      <xdr:col>2</xdr:col>
      <xdr:colOff>0</xdr:colOff>
      <xdr:row>571</xdr:row>
      <xdr:rowOff>0</xdr:rowOff>
    </xdr:to>
    <xdr:pic>
      <xdr:nvPicPr>
        <xdr:cNvPr id="376" name="Picture 3325" descr="34-5528m">
          <a:hlinkClick xmlns:r="http://schemas.openxmlformats.org/officeDocument/2006/relationships" r:id="rId646"/>
        </xdr:cNvPr>
        <xdr:cNvPicPr>
          <a:picLocks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699</xdr:row>
      <xdr:rowOff>0</xdr:rowOff>
    </xdr:from>
    <xdr:to>
      <xdr:col>2</xdr:col>
      <xdr:colOff>0</xdr:colOff>
      <xdr:row>700</xdr:row>
      <xdr:rowOff>0</xdr:rowOff>
    </xdr:to>
    <xdr:pic>
      <xdr:nvPicPr>
        <xdr:cNvPr id="377" name="Picture 3326" descr="42-9533m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403</xdr:row>
      <xdr:rowOff>0</xdr:rowOff>
    </xdr:from>
    <xdr:to>
      <xdr:col>2</xdr:col>
      <xdr:colOff>0</xdr:colOff>
      <xdr:row>404</xdr:row>
      <xdr:rowOff>0</xdr:rowOff>
    </xdr:to>
    <xdr:pic>
      <xdr:nvPicPr>
        <xdr:cNvPr id="378" name="Picture 3327" descr="14-792m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369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453</xdr:row>
      <xdr:rowOff>0</xdr:rowOff>
    </xdr:to>
    <xdr:pic>
      <xdr:nvPicPr>
        <xdr:cNvPr id="379" name="Picture 3328" descr="22-922m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446</xdr:row>
      <xdr:rowOff>0</xdr:rowOff>
    </xdr:to>
    <xdr:pic>
      <xdr:nvPicPr>
        <xdr:cNvPr id="380" name="Picture 3329" descr="24-922m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546</xdr:row>
      <xdr:rowOff>0</xdr:rowOff>
    </xdr:from>
    <xdr:to>
      <xdr:col>2</xdr:col>
      <xdr:colOff>0</xdr:colOff>
      <xdr:row>547</xdr:row>
      <xdr:rowOff>0</xdr:rowOff>
    </xdr:to>
    <xdr:pic>
      <xdr:nvPicPr>
        <xdr:cNvPr id="381" name="Picture 3330" descr="34-259m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382" name="Picture 3331" descr="14-1532m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33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669</xdr:row>
      <xdr:rowOff>0</xdr:rowOff>
    </xdr:from>
    <xdr:to>
      <xdr:col>2</xdr:col>
      <xdr:colOff>0</xdr:colOff>
      <xdr:row>670</xdr:row>
      <xdr:rowOff>0</xdr:rowOff>
    </xdr:to>
    <xdr:pic>
      <xdr:nvPicPr>
        <xdr:cNvPr id="383" name="Picture 3332" descr="38-6533m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1248</xdr:row>
      <xdr:rowOff>0</xdr:rowOff>
    </xdr:from>
    <xdr:to>
      <xdr:col>2</xdr:col>
      <xdr:colOff>0</xdr:colOff>
      <xdr:row>1249</xdr:row>
      <xdr:rowOff>0</xdr:rowOff>
    </xdr:to>
    <xdr:pic>
      <xdr:nvPicPr>
        <xdr:cNvPr id="384" name="Picture 3333" descr="T-TS-052m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163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1249</xdr:row>
      <xdr:rowOff>0</xdr:rowOff>
    </xdr:from>
    <xdr:to>
      <xdr:col>2</xdr:col>
      <xdr:colOff>0</xdr:colOff>
      <xdr:row>1250</xdr:row>
      <xdr:rowOff>0</xdr:rowOff>
    </xdr:to>
    <xdr:pic>
      <xdr:nvPicPr>
        <xdr:cNvPr id="385" name="Picture 3334" descr="T-TS-053m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0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1250</xdr:row>
      <xdr:rowOff>0</xdr:rowOff>
    </xdr:from>
    <xdr:to>
      <xdr:col>2</xdr:col>
      <xdr:colOff>0</xdr:colOff>
      <xdr:row>1251</xdr:row>
      <xdr:rowOff>0</xdr:rowOff>
    </xdr:to>
    <xdr:pic>
      <xdr:nvPicPr>
        <xdr:cNvPr id="386" name="Picture 3335" descr="T-TS-053m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16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1251</xdr:row>
      <xdr:rowOff>0</xdr:rowOff>
    </xdr:from>
    <xdr:to>
      <xdr:col>2</xdr:col>
      <xdr:colOff>0</xdr:colOff>
      <xdr:row>1252</xdr:row>
      <xdr:rowOff>0</xdr:rowOff>
    </xdr:to>
    <xdr:pic>
      <xdr:nvPicPr>
        <xdr:cNvPr id="387" name="Picture 3336" descr="T-TS-053m">
          <a:hlinkClick xmlns:r="http://schemas.openxmlformats.org/officeDocument/2006/relationships" r:id="rId6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16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862</xdr:row>
      <xdr:rowOff>0</xdr:rowOff>
    </xdr:from>
    <xdr:to>
      <xdr:col>2</xdr:col>
      <xdr:colOff>0</xdr:colOff>
      <xdr:row>863</xdr:row>
      <xdr:rowOff>0</xdr:rowOff>
    </xdr:to>
    <xdr:pic>
      <xdr:nvPicPr>
        <xdr:cNvPr id="388" name="Picture 3337" descr="83-207m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863</xdr:row>
      <xdr:rowOff>0</xdr:rowOff>
    </xdr:from>
    <xdr:to>
      <xdr:col>2</xdr:col>
      <xdr:colOff>0</xdr:colOff>
      <xdr:row>864</xdr:row>
      <xdr:rowOff>0</xdr:rowOff>
    </xdr:to>
    <xdr:pic>
      <xdr:nvPicPr>
        <xdr:cNvPr id="389" name="Picture 3338" descr="83-2531m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864</xdr:row>
      <xdr:rowOff>0</xdr:rowOff>
    </xdr:from>
    <xdr:to>
      <xdr:col>2</xdr:col>
      <xdr:colOff>0</xdr:colOff>
      <xdr:row>865</xdr:row>
      <xdr:rowOff>0</xdr:rowOff>
    </xdr:to>
    <xdr:pic>
      <xdr:nvPicPr>
        <xdr:cNvPr id="390" name="Picture 3339" descr="83-2533m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867</xdr:row>
      <xdr:rowOff>0</xdr:rowOff>
    </xdr:from>
    <xdr:to>
      <xdr:col>2</xdr:col>
      <xdr:colOff>0</xdr:colOff>
      <xdr:row>868</xdr:row>
      <xdr:rowOff>0</xdr:rowOff>
    </xdr:to>
    <xdr:pic>
      <xdr:nvPicPr>
        <xdr:cNvPr id="391" name="Picture 3340" descr="83-7524m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541</xdr:row>
      <xdr:rowOff>0</xdr:rowOff>
    </xdr:from>
    <xdr:to>
      <xdr:col>2</xdr:col>
      <xdr:colOff>0</xdr:colOff>
      <xdr:row>542</xdr:row>
      <xdr:rowOff>0</xdr:rowOff>
    </xdr:to>
    <xdr:pic>
      <xdr:nvPicPr>
        <xdr:cNvPr id="392" name="Picture 3341" descr="34-2536m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711</xdr:row>
      <xdr:rowOff>0</xdr:rowOff>
    </xdr:from>
    <xdr:to>
      <xdr:col>2</xdr:col>
      <xdr:colOff>0</xdr:colOff>
      <xdr:row>712</xdr:row>
      <xdr:rowOff>0</xdr:rowOff>
    </xdr:to>
    <xdr:pic>
      <xdr:nvPicPr>
        <xdr:cNvPr id="393" name="Picture 3342" descr="44-2536m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719</xdr:row>
      <xdr:rowOff>0</xdr:rowOff>
    </xdr:from>
    <xdr:to>
      <xdr:col>2</xdr:col>
      <xdr:colOff>0</xdr:colOff>
      <xdr:row>720</xdr:row>
      <xdr:rowOff>0</xdr:rowOff>
    </xdr:to>
    <xdr:pic>
      <xdr:nvPicPr>
        <xdr:cNvPr id="394" name="Picture 3344" descr="45-5524m">
          <a:hlinkClick xmlns:r="http://schemas.openxmlformats.org/officeDocument/2006/relationships" r:id="rId6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865</xdr:row>
      <xdr:rowOff>0</xdr:rowOff>
    </xdr:from>
    <xdr:to>
      <xdr:col>2</xdr:col>
      <xdr:colOff>0</xdr:colOff>
      <xdr:row>866</xdr:row>
      <xdr:rowOff>0</xdr:rowOff>
    </xdr:to>
    <xdr:pic>
      <xdr:nvPicPr>
        <xdr:cNvPr id="395" name="Picture 3345" descr="83-259m">
          <a:hlinkClick xmlns:r="http://schemas.openxmlformats.org/officeDocument/2006/relationships" r:id="rId6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866</xdr:row>
      <xdr:rowOff>0</xdr:rowOff>
    </xdr:from>
    <xdr:to>
      <xdr:col>2</xdr:col>
      <xdr:colOff>0</xdr:colOff>
      <xdr:row>867</xdr:row>
      <xdr:rowOff>0</xdr:rowOff>
    </xdr:to>
    <xdr:pic>
      <xdr:nvPicPr>
        <xdr:cNvPr id="396" name="Picture 3346" descr="83-5528m">
          <a:hlinkClick xmlns:r="http://schemas.openxmlformats.org/officeDocument/2006/relationships" r:id="rId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397" name="Picture 3347" descr="14-1535m">
          <a:hlinkClick xmlns:r="http://schemas.openxmlformats.org/officeDocument/2006/relationships" r:id="rId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337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371</xdr:row>
      <xdr:rowOff>0</xdr:rowOff>
    </xdr:from>
    <xdr:to>
      <xdr:col>2</xdr:col>
      <xdr:colOff>0</xdr:colOff>
      <xdr:row>372</xdr:row>
      <xdr:rowOff>0</xdr:rowOff>
    </xdr:to>
    <xdr:pic>
      <xdr:nvPicPr>
        <xdr:cNvPr id="398" name="Picture 3349" descr="14-5528m">
          <a:hlinkClick xmlns:r="http://schemas.openxmlformats.org/officeDocument/2006/relationships" r:id="rId6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399" name="Picture 3350" descr="14-fuckm">
          <a:hlinkClick xmlns:r="http://schemas.openxmlformats.org/officeDocument/2006/relationships" r:id="rId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400" name="Picture 3351" descr="14-fuckm">
          <a:hlinkClick xmlns:r="http://schemas.openxmlformats.org/officeDocument/2006/relationships" r:id="rId6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1252</xdr:row>
      <xdr:rowOff>0</xdr:rowOff>
    </xdr:from>
    <xdr:to>
      <xdr:col>2</xdr:col>
      <xdr:colOff>0</xdr:colOff>
      <xdr:row>1253</xdr:row>
      <xdr:rowOff>0</xdr:rowOff>
    </xdr:to>
    <xdr:pic>
      <xdr:nvPicPr>
        <xdr:cNvPr id="401" name="Picture 3352" descr="T-TS-054m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16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1253</xdr:row>
      <xdr:rowOff>0</xdr:rowOff>
    </xdr:from>
    <xdr:to>
      <xdr:col>2</xdr:col>
      <xdr:colOff>0</xdr:colOff>
      <xdr:row>1254</xdr:row>
      <xdr:rowOff>0</xdr:rowOff>
    </xdr:to>
    <xdr:pic>
      <xdr:nvPicPr>
        <xdr:cNvPr id="402" name="Picture 3353" descr="T-TS-055m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92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503</xdr:row>
      <xdr:rowOff>0</xdr:rowOff>
    </xdr:from>
    <xdr:to>
      <xdr:col>2</xdr:col>
      <xdr:colOff>0</xdr:colOff>
      <xdr:row>504</xdr:row>
      <xdr:rowOff>0</xdr:rowOff>
    </xdr:to>
    <xdr:pic>
      <xdr:nvPicPr>
        <xdr:cNvPr id="403" name="Picture 3354" descr="32-1534m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505</xdr:row>
      <xdr:rowOff>0</xdr:rowOff>
    </xdr:from>
    <xdr:to>
      <xdr:col>2</xdr:col>
      <xdr:colOff>0</xdr:colOff>
      <xdr:row>506</xdr:row>
      <xdr:rowOff>0</xdr:rowOff>
    </xdr:to>
    <xdr:pic>
      <xdr:nvPicPr>
        <xdr:cNvPr id="404" name="Picture 3355" descr="32-2534m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405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572</xdr:row>
      <xdr:rowOff>0</xdr:rowOff>
    </xdr:from>
    <xdr:to>
      <xdr:col>2</xdr:col>
      <xdr:colOff>0</xdr:colOff>
      <xdr:row>573</xdr:row>
      <xdr:rowOff>0</xdr:rowOff>
    </xdr:to>
    <xdr:pic>
      <xdr:nvPicPr>
        <xdr:cNvPr id="406" name="Picture 3357" descr="44-5538m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575</xdr:row>
      <xdr:rowOff>0</xdr:rowOff>
    </xdr:to>
    <xdr:pic>
      <xdr:nvPicPr>
        <xdr:cNvPr id="407" name="Picture 3358" descr="34-5541m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709</xdr:row>
      <xdr:rowOff>0</xdr:rowOff>
    </xdr:from>
    <xdr:to>
      <xdr:col>2</xdr:col>
      <xdr:colOff>0</xdr:colOff>
      <xdr:row>710</xdr:row>
      <xdr:rowOff>0</xdr:rowOff>
    </xdr:to>
    <xdr:pic>
      <xdr:nvPicPr>
        <xdr:cNvPr id="408" name="Picture 3359" descr="44-1540m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717</xdr:row>
      <xdr:rowOff>0</xdr:rowOff>
    </xdr:from>
    <xdr:to>
      <xdr:col>2</xdr:col>
      <xdr:colOff>0</xdr:colOff>
      <xdr:row>718</xdr:row>
      <xdr:rowOff>0</xdr:rowOff>
    </xdr:to>
    <xdr:pic>
      <xdr:nvPicPr>
        <xdr:cNvPr id="409" name="Picture 3360" descr="44-7541m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1176</xdr:row>
      <xdr:rowOff>0</xdr:rowOff>
    </xdr:from>
    <xdr:to>
      <xdr:col>2</xdr:col>
      <xdr:colOff>0</xdr:colOff>
      <xdr:row>1177</xdr:row>
      <xdr:rowOff>0</xdr:rowOff>
    </xdr:to>
    <xdr:pic>
      <xdr:nvPicPr>
        <xdr:cNvPr id="410" name="Picture 3361" descr="T-NLS-056m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030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1177</xdr:row>
      <xdr:rowOff>0</xdr:rowOff>
    </xdr:from>
    <xdr:to>
      <xdr:col>2</xdr:col>
      <xdr:colOff>0</xdr:colOff>
      <xdr:row>1178</xdr:row>
      <xdr:rowOff>0</xdr:rowOff>
    </xdr:to>
    <xdr:pic>
      <xdr:nvPicPr>
        <xdr:cNvPr id="411" name="Picture 3362" descr="T-NLS-056-Lm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06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1254</xdr:row>
      <xdr:rowOff>0</xdr:rowOff>
    </xdr:from>
    <xdr:to>
      <xdr:col>2</xdr:col>
      <xdr:colOff>0</xdr:colOff>
      <xdr:row>1255</xdr:row>
      <xdr:rowOff>0</xdr:rowOff>
    </xdr:to>
    <xdr:pic>
      <xdr:nvPicPr>
        <xdr:cNvPr id="412" name="Picture 3363" descr="T-NLS-056-Lm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468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1255</xdr:row>
      <xdr:rowOff>0</xdr:rowOff>
    </xdr:from>
    <xdr:to>
      <xdr:col>2</xdr:col>
      <xdr:colOff>0</xdr:colOff>
      <xdr:row>1256</xdr:row>
      <xdr:rowOff>0</xdr:rowOff>
    </xdr:to>
    <xdr:pic>
      <xdr:nvPicPr>
        <xdr:cNvPr id="413" name="Picture 3364" descr="T-TS-056-Gm">
          <a:hlinkClick xmlns:r="http://schemas.openxmlformats.org/officeDocument/2006/relationships" r:id="rId7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544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1256</xdr:row>
      <xdr:rowOff>0</xdr:rowOff>
    </xdr:from>
    <xdr:to>
      <xdr:col>2</xdr:col>
      <xdr:colOff>0</xdr:colOff>
      <xdr:row>1257</xdr:row>
      <xdr:rowOff>0</xdr:rowOff>
    </xdr:to>
    <xdr:pic>
      <xdr:nvPicPr>
        <xdr:cNvPr id="414" name="Picture 3365" descr="T-TS-056-Lm">
          <a:hlinkClick xmlns:r="http://schemas.openxmlformats.org/officeDocument/2006/relationships" r:id="rId7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544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523</xdr:row>
      <xdr:rowOff>0</xdr:rowOff>
    </xdr:from>
    <xdr:to>
      <xdr:col>2</xdr:col>
      <xdr:colOff>0</xdr:colOff>
      <xdr:row>524</xdr:row>
      <xdr:rowOff>0</xdr:rowOff>
    </xdr:to>
    <xdr:pic>
      <xdr:nvPicPr>
        <xdr:cNvPr id="415" name="Picture 3366" descr="34-1526-2m">
          <a:hlinkClick xmlns:r="http://schemas.openxmlformats.org/officeDocument/2006/relationships" r:id="rId7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542</xdr:row>
      <xdr:rowOff>0</xdr:rowOff>
    </xdr:from>
    <xdr:to>
      <xdr:col>2</xdr:col>
      <xdr:colOff>0</xdr:colOff>
      <xdr:row>543</xdr:row>
      <xdr:rowOff>0</xdr:rowOff>
    </xdr:to>
    <xdr:pic>
      <xdr:nvPicPr>
        <xdr:cNvPr id="416" name="Picture 3367" descr="34-2543m">
          <a:hlinkClick xmlns:r="http://schemas.openxmlformats.org/officeDocument/2006/relationships" r:id="rId7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716</xdr:row>
      <xdr:rowOff>0</xdr:rowOff>
    </xdr:from>
    <xdr:to>
      <xdr:col>2</xdr:col>
      <xdr:colOff>0</xdr:colOff>
      <xdr:row>717</xdr:row>
      <xdr:rowOff>0</xdr:rowOff>
    </xdr:to>
    <xdr:pic>
      <xdr:nvPicPr>
        <xdr:cNvPr id="417" name="Picture 3368" descr="44-6543m">
          <a:hlinkClick xmlns:r="http://schemas.openxmlformats.org/officeDocument/2006/relationships" r:id="rId7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787</xdr:row>
      <xdr:rowOff>0</xdr:rowOff>
    </xdr:from>
    <xdr:to>
      <xdr:col>2</xdr:col>
      <xdr:colOff>0</xdr:colOff>
      <xdr:row>788</xdr:row>
      <xdr:rowOff>0</xdr:rowOff>
    </xdr:to>
    <xdr:pic>
      <xdr:nvPicPr>
        <xdr:cNvPr id="418" name="Picture 3369" descr="64-3543m">
          <a:hlinkClick xmlns:r="http://schemas.openxmlformats.org/officeDocument/2006/relationships" r:id="rId7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506</xdr:row>
      <xdr:rowOff>0</xdr:rowOff>
    </xdr:from>
    <xdr:to>
      <xdr:col>2</xdr:col>
      <xdr:colOff>0</xdr:colOff>
      <xdr:row>507</xdr:row>
      <xdr:rowOff>0</xdr:rowOff>
    </xdr:to>
    <xdr:pic>
      <xdr:nvPicPr>
        <xdr:cNvPr id="419" name="Picture 3370" descr="32-2543m">
          <a:hlinkClick xmlns:r="http://schemas.openxmlformats.org/officeDocument/2006/relationships" r:id="rId7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722</xdr:row>
      <xdr:rowOff>0</xdr:rowOff>
    </xdr:from>
    <xdr:to>
      <xdr:col>2</xdr:col>
      <xdr:colOff>0</xdr:colOff>
      <xdr:row>723</xdr:row>
      <xdr:rowOff>0</xdr:rowOff>
    </xdr:to>
    <xdr:pic>
      <xdr:nvPicPr>
        <xdr:cNvPr id="420" name="Picture 3372" descr="46-285m">
          <a:hlinkClick xmlns:r="http://schemas.openxmlformats.org/officeDocument/2006/relationships" r:id="rId7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1001</xdr:row>
      <xdr:rowOff>0</xdr:rowOff>
    </xdr:from>
    <xdr:to>
      <xdr:col>2</xdr:col>
      <xdr:colOff>0</xdr:colOff>
      <xdr:row>1002</xdr:row>
      <xdr:rowOff>0</xdr:rowOff>
    </xdr:to>
    <xdr:pic>
      <xdr:nvPicPr>
        <xdr:cNvPr id="421" name="Picture 3373" descr="sg-024m">
          <a:hlinkClick xmlns:r="http://schemas.openxmlformats.org/officeDocument/2006/relationships" r:id="rId7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1002</xdr:row>
      <xdr:rowOff>0</xdr:rowOff>
    </xdr:from>
    <xdr:to>
      <xdr:col>2</xdr:col>
      <xdr:colOff>0</xdr:colOff>
      <xdr:row>1003</xdr:row>
      <xdr:rowOff>0</xdr:rowOff>
    </xdr:to>
    <xdr:pic>
      <xdr:nvPicPr>
        <xdr:cNvPr id="422" name="Picture 3374" descr="sg-025m">
          <a:hlinkClick xmlns:r="http://schemas.openxmlformats.org/officeDocument/2006/relationships" r:id="rId7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1003</xdr:row>
      <xdr:rowOff>0</xdr:rowOff>
    </xdr:from>
    <xdr:to>
      <xdr:col>2</xdr:col>
      <xdr:colOff>0</xdr:colOff>
      <xdr:row>1004</xdr:row>
      <xdr:rowOff>0</xdr:rowOff>
    </xdr:to>
    <xdr:pic>
      <xdr:nvPicPr>
        <xdr:cNvPr id="423" name="Picture 3375" descr="sg-026m">
          <a:hlinkClick xmlns:r="http://schemas.openxmlformats.org/officeDocument/2006/relationships" r:id="rId7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1004</xdr:row>
      <xdr:rowOff>0</xdr:rowOff>
    </xdr:from>
    <xdr:to>
      <xdr:col>2</xdr:col>
      <xdr:colOff>0</xdr:colOff>
      <xdr:row>1005</xdr:row>
      <xdr:rowOff>0</xdr:rowOff>
    </xdr:to>
    <xdr:pic>
      <xdr:nvPicPr>
        <xdr:cNvPr id="424" name="Picture 3376" descr="sg-027m">
          <a:hlinkClick xmlns:r="http://schemas.openxmlformats.org/officeDocument/2006/relationships" r:id="rId7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1005</xdr:row>
      <xdr:rowOff>0</xdr:rowOff>
    </xdr:from>
    <xdr:to>
      <xdr:col>2</xdr:col>
      <xdr:colOff>0</xdr:colOff>
      <xdr:row>1006</xdr:row>
      <xdr:rowOff>0</xdr:rowOff>
    </xdr:to>
    <xdr:pic>
      <xdr:nvPicPr>
        <xdr:cNvPr id="425" name="Picture 3377" descr="sg-028m">
          <a:hlinkClick xmlns:r="http://schemas.openxmlformats.org/officeDocument/2006/relationships" r:id="rId7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1006</xdr:row>
      <xdr:rowOff>0</xdr:rowOff>
    </xdr:from>
    <xdr:to>
      <xdr:col>2</xdr:col>
      <xdr:colOff>0</xdr:colOff>
      <xdr:row>1007</xdr:row>
      <xdr:rowOff>0</xdr:rowOff>
    </xdr:to>
    <xdr:pic>
      <xdr:nvPicPr>
        <xdr:cNvPr id="426" name="Picture 3378" descr="sg-029m">
          <a:hlinkClick xmlns:r="http://schemas.openxmlformats.org/officeDocument/2006/relationships" r:id="rId7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1007</xdr:row>
      <xdr:rowOff>0</xdr:rowOff>
    </xdr:from>
    <xdr:to>
      <xdr:col>2</xdr:col>
      <xdr:colOff>0</xdr:colOff>
      <xdr:row>1008</xdr:row>
      <xdr:rowOff>0</xdr:rowOff>
    </xdr:to>
    <xdr:pic>
      <xdr:nvPicPr>
        <xdr:cNvPr id="427" name="Picture 3379" descr="sg-030m">
          <a:hlinkClick xmlns:r="http://schemas.openxmlformats.org/officeDocument/2006/relationships" r:id="rId7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1009</xdr:row>
      <xdr:rowOff>0</xdr:rowOff>
    </xdr:from>
    <xdr:to>
      <xdr:col>2</xdr:col>
      <xdr:colOff>0</xdr:colOff>
      <xdr:row>1010</xdr:row>
      <xdr:rowOff>0</xdr:rowOff>
    </xdr:to>
    <xdr:pic>
      <xdr:nvPicPr>
        <xdr:cNvPr id="428" name="Picture 3380" descr="sg-032m">
          <a:hlinkClick xmlns:r="http://schemas.openxmlformats.org/officeDocument/2006/relationships" r:id="rId7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1010</xdr:row>
      <xdr:rowOff>0</xdr:rowOff>
    </xdr:from>
    <xdr:to>
      <xdr:col>2</xdr:col>
      <xdr:colOff>0</xdr:colOff>
      <xdr:row>1011</xdr:row>
      <xdr:rowOff>0</xdr:rowOff>
    </xdr:to>
    <xdr:pic>
      <xdr:nvPicPr>
        <xdr:cNvPr id="429" name="Picture 3381" descr="sg-033-1m">
          <a:hlinkClick xmlns:r="http://schemas.openxmlformats.org/officeDocument/2006/relationships" r:id="rId7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1011</xdr:row>
      <xdr:rowOff>0</xdr:rowOff>
    </xdr:from>
    <xdr:to>
      <xdr:col>2</xdr:col>
      <xdr:colOff>0</xdr:colOff>
      <xdr:row>1012</xdr:row>
      <xdr:rowOff>0</xdr:rowOff>
    </xdr:to>
    <xdr:pic>
      <xdr:nvPicPr>
        <xdr:cNvPr id="430" name="Picture 3382" descr="sg-033-2m">
          <a:hlinkClick xmlns:r="http://schemas.openxmlformats.org/officeDocument/2006/relationships" r:id="rId7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1012</xdr:row>
      <xdr:rowOff>0</xdr:rowOff>
    </xdr:from>
    <xdr:to>
      <xdr:col>2</xdr:col>
      <xdr:colOff>0</xdr:colOff>
      <xdr:row>1013</xdr:row>
      <xdr:rowOff>0</xdr:rowOff>
    </xdr:to>
    <xdr:pic>
      <xdr:nvPicPr>
        <xdr:cNvPr id="431" name="Picture 3383" descr="sg-033-3m">
          <a:hlinkClick xmlns:r="http://schemas.openxmlformats.org/officeDocument/2006/relationships" r:id="rId7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982</xdr:row>
      <xdr:rowOff>0</xdr:rowOff>
    </xdr:from>
    <xdr:to>
      <xdr:col>2</xdr:col>
      <xdr:colOff>0</xdr:colOff>
      <xdr:row>983</xdr:row>
      <xdr:rowOff>0</xdr:rowOff>
    </xdr:to>
    <xdr:pic>
      <xdr:nvPicPr>
        <xdr:cNvPr id="432" name="Picture 3384" descr="sg-005-1m">
          <a:hlinkClick xmlns:r="http://schemas.openxmlformats.org/officeDocument/2006/relationships" r:id="rId7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714</xdr:row>
      <xdr:rowOff>0</xdr:rowOff>
    </xdr:from>
    <xdr:to>
      <xdr:col>2</xdr:col>
      <xdr:colOff>0</xdr:colOff>
      <xdr:row>714</xdr:row>
      <xdr:rowOff>0</xdr:rowOff>
    </xdr:to>
    <xdr:pic>
      <xdr:nvPicPr>
        <xdr:cNvPr id="433" name="Picture 3386" descr="46-400m">
          <a:hlinkClick xmlns:r="http://schemas.openxmlformats.org/officeDocument/2006/relationships" r:id="rId7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716</xdr:row>
      <xdr:rowOff>0</xdr:rowOff>
    </xdr:from>
    <xdr:to>
      <xdr:col>2</xdr:col>
      <xdr:colOff>0</xdr:colOff>
      <xdr:row>716</xdr:row>
      <xdr:rowOff>0</xdr:rowOff>
    </xdr:to>
    <xdr:pic>
      <xdr:nvPicPr>
        <xdr:cNvPr id="434" name="Picture 3387" descr="46-900m">
          <a:hlinkClick xmlns:r="http://schemas.openxmlformats.org/officeDocument/2006/relationships" r:id="rId7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766</xdr:row>
      <xdr:rowOff>0</xdr:rowOff>
    </xdr:from>
    <xdr:to>
      <xdr:col>2</xdr:col>
      <xdr:colOff>0</xdr:colOff>
      <xdr:row>766</xdr:row>
      <xdr:rowOff>0</xdr:rowOff>
    </xdr:to>
    <xdr:pic>
      <xdr:nvPicPr>
        <xdr:cNvPr id="435" name="Picture 3388" descr="47-100m">
          <a:hlinkClick xmlns:r="http://schemas.openxmlformats.org/officeDocument/2006/relationships" r:id="rId7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766</xdr:row>
      <xdr:rowOff>0</xdr:rowOff>
    </xdr:from>
    <xdr:to>
      <xdr:col>2</xdr:col>
      <xdr:colOff>0</xdr:colOff>
      <xdr:row>766</xdr:row>
      <xdr:rowOff>0</xdr:rowOff>
    </xdr:to>
    <xdr:pic>
      <xdr:nvPicPr>
        <xdr:cNvPr id="436" name="Picture 3389" descr="47-900m">
          <a:hlinkClick xmlns:r="http://schemas.openxmlformats.org/officeDocument/2006/relationships" r:id="rId7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868</xdr:row>
      <xdr:rowOff>0</xdr:rowOff>
    </xdr:from>
    <xdr:to>
      <xdr:col>2</xdr:col>
      <xdr:colOff>0</xdr:colOff>
      <xdr:row>869</xdr:row>
      <xdr:rowOff>0</xdr:rowOff>
    </xdr:to>
    <xdr:pic>
      <xdr:nvPicPr>
        <xdr:cNvPr id="437" name="Picture 3390" descr="83-7539m">
          <a:hlinkClick xmlns:r="http://schemas.openxmlformats.org/officeDocument/2006/relationships" r:id="rId7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869</xdr:row>
      <xdr:rowOff>0</xdr:rowOff>
    </xdr:from>
    <xdr:to>
      <xdr:col>2</xdr:col>
      <xdr:colOff>0</xdr:colOff>
      <xdr:row>870</xdr:row>
      <xdr:rowOff>0</xdr:rowOff>
    </xdr:to>
    <xdr:pic>
      <xdr:nvPicPr>
        <xdr:cNvPr id="438" name="Picture 3391" descr="83-9538m">
          <a:hlinkClick xmlns:r="http://schemas.openxmlformats.org/officeDocument/2006/relationships" r:id="rId7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784</xdr:row>
      <xdr:rowOff>0</xdr:rowOff>
    </xdr:from>
    <xdr:to>
      <xdr:col>2</xdr:col>
      <xdr:colOff>0</xdr:colOff>
      <xdr:row>785</xdr:row>
      <xdr:rowOff>0</xdr:rowOff>
    </xdr:to>
    <xdr:pic>
      <xdr:nvPicPr>
        <xdr:cNvPr id="439" name="Picture 3392" descr="62-285m">
          <a:hlinkClick xmlns:r="http://schemas.openxmlformats.org/officeDocument/2006/relationships" r:id="rId7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792</xdr:row>
      <xdr:rowOff>0</xdr:rowOff>
    </xdr:from>
    <xdr:to>
      <xdr:col>2</xdr:col>
      <xdr:colOff>0</xdr:colOff>
      <xdr:row>793</xdr:row>
      <xdr:rowOff>0</xdr:rowOff>
    </xdr:to>
    <xdr:pic>
      <xdr:nvPicPr>
        <xdr:cNvPr id="440" name="Picture 3393" descr="64-5504m">
          <a:hlinkClick xmlns:r="http://schemas.openxmlformats.org/officeDocument/2006/relationships" r:id="rId7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363</xdr:row>
      <xdr:rowOff>0</xdr:rowOff>
    </xdr:to>
    <xdr:pic>
      <xdr:nvPicPr>
        <xdr:cNvPr id="441" name="Picture 3394" descr="41-4531m">
          <a:hlinkClick xmlns:r="http://schemas.openxmlformats.org/officeDocument/2006/relationships" r:id="rId7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389</xdr:row>
      <xdr:rowOff>0</xdr:rowOff>
    </xdr:from>
    <xdr:to>
      <xdr:col>2</xdr:col>
      <xdr:colOff>0</xdr:colOff>
      <xdr:row>390</xdr:row>
      <xdr:rowOff>0</xdr:rowOff>
    </xdr:to>
    <xdr:pic>
      <xdr:nvPicPr>
        <xdr:cNvPr id="442" name="Picture 3395" descr="14-679m">
          <a:hlinkClick xmlns:r="http://schemas.openxmlformats.org/officeDocument/2006/relationships" r:id="rId7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949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358</xdr:row>
      <xdr:rowOff>0</xdr:rowOff>
    </xdr:from>
    <xdr:to>
      <xdr:col>2</xdr:col>
      <xdr:colOff>0</xdr:colOff>
      <xdr:row>359</xdr:row>
      <xdr:rowOff>0</xdr:rowOff>
    </xdr:to>
    <xdr:pic>
      <xdr:nvPicPr>
        <xdr:cNvPr id="443" name="Picture 3396" descr="14-379m">
          <a:hlinkClick xmlns:r="http://schemas.openxmlformats.org/officeDocument/2006/relationships" r:id="rId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44" name="Picture 3397" descr="D-323-01m">
          <a:hlinkClick xmlns:r="http://schemas.openxmlformats.org/officeDocument/2006/relationships" r:id="rId7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45" name="Picture 3398" descr="D-323-02m">
          <a:hlinkClick xmlns:r="http://schemas.openxmlformats.org/officeDocument/2006/relationships" r:id="rId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46" name="Picture 3399" descr="D-323-05m">
          <a:hlinkClick xmlns:r="http://schemas.openxmlformats.org/officeDocument/2006/relationships" r:id="rId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47" name="Picture 3400" descr="D-472-0201m">
          <a:hlinkClick xmlns:r="http://schemas.openxmlformats.org/officeDocument/2006/relationships" r:id="rId7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48" name="Picture 3401" descr="D-323-30m">
          <a:hlinkClick xmlns:r="http://schemas.openxmlformats.org/officeDocument/2006/relationships" r:id="rId7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49" name="Picture 3402" descr="D-593L-02m">
          <a:hlinkClick xmlns:r="http://schemas.openxmlformats.org/officeDocument/2006/relationships" r:id="rId7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50" name="Picture 3403" descr="D-593L-05m">
          <a:hlinkClick xmlns:r="http://schemas.openxmlformats.org/officeDocument/2006/relationships" r:id="rId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51" name="Picture 3404" descr="D-415-01m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52" name="Picture 3405" descr="D-469-01m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53" name="Picture 3406" descr="D-469-01m">
          <a:hlinkClick xmlns:r="http://schemas.openxmlformats.org/officeDocument/2006/relationships" r:id="rId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54" name="Picture 3407" descr="D-489L-01m">
          <a:hlinkClick xmlns:r="http://schemas.openxmlformats.org/officeDocument/2006/relationships" r:id="rId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455" name="Picture 3408" descr="D-495-01m">
          <a:hlinkClick xmlns:r="http://schemas.openxmlformats.org/officeDocument/2006/relationships" r:id="rId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650</xdr:row>
      <xdr:rowOff>0</xdr:rowOff>
    </xdr:from>
    <xdr:to>
      <xdr:col>2</xdr:col>
      <xdr:colOff>0</xdr:colOff>
      <xdr:row>651</xdr:row>
      <xdr:rowOff>0</xdr:rowOff>
    </xdr:to>
    <xdr:pic>
      <xdr:nvPicPr>
        <xdr:cNvPr id="456" name="Picture 3409" descr="36-2545m">
          <a:hlinkClick xmlns:r="http://schemas.openxmlformats.org/officeDocument/2006/relationships" r:id="rId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857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413</xdr:row>
      <xdr:rowOff>0</xdr:rowOff>
    </xdr:from>
    <xdr:to>
      <xdr:col>2</xdr:col>
      <xdr:colOff>0</xdr:colOff>
      <xdr:row>414</xdr:row>
      <xdr:rowOff>0</xdr:rowOff>
    </xdr:to>
    <xdr:pic>
      <xdr:nvPicPr>
        <xdr:cNvPr id="457" name="Picture 3410" descr="14-9508m">
          <a:hlinkClick xmlns:r="http://schemas.openxmlformats.org/officeDocument/2006/relationships" r:id="rId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2179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462</xdr:row>
      <xdr:rowOff>0</xdr:rowOff>
    </xdr:to>
    <xdr:pic>
      <xdr:nvPicPr>
        <xdr:cNvPr id="458" name="Picture 3411" descr="28-3545m">
          <a:hlinkClick xmlns:r="http://schemas.openxmlformats.org/officeDocument/2006/relationships" r:id="rId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785</xdr:row>
      <xdr:rowOff>0</xdr:rowOff>
    </xdr:from>
    <xdr:to>
      <xdr:col>2</xdr:col>
      <xdr:colOff>0</xdr:colOff>
      <xdr:row>786</xdr:row>
      <xdr:rowOff>0</xdr:rowOff>
    </xdr:to>
    <xdr:pic>
      <xdr:nvPicPr>
        <xdr:cNvPr id="459" name="Picture 3412" descr="62-3544m">
          <a:hlinkClick xmlns:r="http://schemas.openxmlformats.org/officeDocument/2006/relationships" r:id="rId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564</xdr:row>
      <xdr:rowOff>0</xdr:rowOff>
    </xdr:from>
    <xdr:to>
      <xdr:col>2</xdr:col>
      <xdr:colOff>0</xdr:colOff>
      <xdr:row>565</xdr:row>
      <xdr:rowOff>0</xdr:rowOff>
    </xdr:to>
    <xdr:pic>
      <xdr:nvPicPr>
        <xdr:cNvPr id="460" name="Picture 3413" descr="34-4545m">
          <a:hlinkClick xmlns:r="http://schemas.openxmlformats.org/officeDocument/2006/relationships" r:id="rId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723</xdr:row>
      <xdr:rowOff>0</xdr:rowOff>
    </xdr:from>
    <xdr:to>
      <xdr:col>2</xdr:col>
      <xdr:colOff>0</xdr:colOff>
      <xdr:row>724</xdr:row>
      <xdr:rowOff>0</xdr:rowOff>
    </xdr:to>
    <xdr:pic>
      <xdr:nvPicPr>
        <xdr:cNvPr id="461" name="Picture 3414" descr="46-4544m">
          <a:hlinkClick xmlns:r="http://schemas.openxmlformats.org/officeDocument/2006/relationships" r:id="rId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3078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603</xdr:row>
      <xdr:rowOff>0</xdr:rowOff>
    </xdr:from>
    <xdr:to>
      <xdr:col>2</xdr:col>
      <xdr:colOff>0</xdr:colOff>
      <xdr:row>604</xdr:row>
      <xdr:rowOff>0</xdr:rowOff>
    </xdr:to>
    <xdr:pic>
      <xdr:nvPicPr>
        <xdr:cNvPr id="462" name="Picture 3415" descr="34-9508m">
          <a:hlinkClick xmlns:r="http://schemas.openxmlformats.org/officeDocument/2006/relationships" r:id="rId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786</xdr:row>
      <xdr:rowOff>0</xdr:rowOff>
    </xdr:from>
    <xdr:to>
      <xdr:col>2</xdr:col>
      <xdr:colOff>0</xdr:colOff>
      <xdr:row>787</xdr:row>
      <xdr:rowOff>0</xdr:rowOff>
    </xdr:to>
    <xdr:pic>
      <xdr:nvPicPr>
        <xdr:cNvPr id="463" name="Picture 3416" descr="64-3538m">
          <a:hlinkClick xmlns:r="http://schemas.openxmlformats.org/officeDocument/2006/relationships" r:id="rId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507</xdr:row>
      <xdr:rowOff>0</xdr:rowOff>
    </xdr:from>
    <xdr:to>
      <xdr:col>2</xdr:col>
      <xdr:colOff>0</xdr:colOff>
      <xdr:row>508</xdr:row>
      <xdr:rowOff>0</xdr:rowOff>
    </xdr:to>
    <xdr:pic>
      <xdr:nvPicPr>
        <xdr:cNvPr id="464" name="Picture 3417" descr="32-365m">
          <a:hlinkClick xmlns:r="http://schemas.openxmlformats.org/officeDocument/2006/relationships" r:id="rId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548</xdr:row>
      <xdr:rowOff>0</xdr:rowOff>
    </xdr:to>
    <xdr:pic>
      <xdr:nvPicPr>
        <xdr:cNvPr id="465" name="Picture 3418" descr="34-265m">
          <a:hlinkClick xmlns:r="http://schemas.openxmlformats.org/officeDocument/2006/relationships" r:id="rId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581</xdr:row>
      <xdr:rowOff>0</xdr:rowOff>
    </xdr:from>
    <xdr:to>
      <xdr:col>2</xdr:col>
      <xdr:colOff>0</xdr:colOff>
      <xdr:row>582</xdr:row>
      <xdr:rowOff>0</xdr:rowOff>
    </xdr:to>
    <xdr:pic>
      <xdr:nvPicPr>
        <xdr:cNvPr id="466" name="Picture 3419" descr="34-565m">
          <a:hlinkClick xmlns:r="http://schemas.openxmlformats.org/officeDocument/2006/relationships" r:id="rId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504</xdr:row>
      <xdr:rowOff>0</xdr:rowOff>
    </xdr:from>
    <xdr:to>
      <xdr:col>2</xdr:col>
      <xdr:colOff>0</xdr:colOff>
      <xdr:row>505</xdr:row>
      <xdr:rowOff>0</xdr:rowOff>
    </xdr:to>
    <xdr:pic>
      <xdr:nvPicPr>
        <xdr:cNvPr id="467" name="Picture 3420" descr="32-165m">
          <a:hlinkClick xmlns:r="http://schemas.openxmlformats.org/officeDocument/2006/relationships" r:id="rId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721</xdr:row>
      <xdr:rowOff>0</xdr:rowOff>
    </xdr:from>
    <xdr:to>
      <xdr:col>2</xdr:col>
      <xdr:colOff>0</xdr:colOff>
      <xdr:row>722</xdr:row>
      <xdr:rowOff>0</xdr:rowOff>
    </xdr:to>
    <xdr:pic>
      <xdr:nvPicPr>
        <xdr:cNvPr id="468" name="Picture 3421" descr="46-1544m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724</xdr:row>
      <xdr:rowOff>0</xdr:rowOff>
    </xdr:from>
    <xdr:to>
      <xdr:col>2</xdr:col>
      <xdr:colOff>0</xdr:colOff>
      <xdr:row>725</xdr:row>
      <xdr:rowOff>0</xdr:rowOff>
    </xdr:to>
    <xdr:pic>
      <xdr:nvPicPr>
        <xdr:cNvPr id="469" name="Picture 3422" descr="46-9544m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38407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795</xdr:row>
      <xdr:rowOff>0</xdr:rowOff>
    </xdr:from>
    <xdr:to>
      <xdr:col>2</xdr:col>
      <xdr:colOff>0</xdr:colOff>
      <xdr:row>796</xdr:row>
      <xdr:rowOff>0</xdr:rowOff>
    </xdr:to>
    <xdr:pic>
      <xdr:nvPicPr>
        <xdr:cNvPr id="470" name="Picture 3423" descr="64-9538m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490</xdr:row>
      <xdr:rowOff>0</xdr:rowOff>
    </xdr:from>
    <xdr:to>
      <xdr:col>2</xdr:col>
      <xdr:colOff>9525</xdr:colOff>
      <xdr:row>491</xdr:row>
      <xdr:rowOff>0</xdr:rowOff>
    </xdr:to>
    <xdr:pic>
      <xdr:nvPicPr>
        <xdr:cNvPr id="471" name="Picture 3927" descr="14-136m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756</xdr:row>
      <xdr:rowOff>0</xdr:rowOff>
    </xdr:from>
    <xdr:to>
      <xdr:col>2</xdr:col>
      <xdr:colOff>9525</xdr:colOff>
      <xdr:row>757</xdr:row>
      <xdr:rowOff>0</xdr:rowOff>
    </xdr:to>
    <xdr:pic>
      <xdr:nvPicPr>
        <xdr:cNvPr id="472" name="Picture 3927" descr="14-136m">
          <a:hlinkClick xmlns:r="http://schemas.openxmlformats.org/officeDocument/2006/relationships" r:id="rId8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494</xdr:row>
      <xdr:rowOff>0</xdr:rowOff>
    </xdr:from>
    <xdr:to>
      <xdr:col>2</xdr:col>
      <xdr:colOff>0</xdr:colOff>
      <xdr:row>495</xdr:row>
      <xdr:rowOff>0</xdr:rowOff>
    </xdr:to>
    <xdr:pic>
      <xdr:nvPicPr>
        <xdr:cNvPr id="473" name="Picture 3426" descr="14-1535m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789</xdr:row>
      <xdr:rowOff>0</xdr:rowOff>
    </xdr:from>
    <xdr:to>
      <xdr:col>2</xdr:col>
      <xdr:colOff>0</xdr:colOff>
      <xdr:row>790</xdr:row>
      <xdr:rowOff>0</xdr:rowOff>
    </xdr:to>
    <xdr:pic>
      <xdr:nvPicPr>
        <xdr:cNvPr id="474" name="Picture 3427" descr="64-4546m">
          <a:hlinkClick xmlns:r="http://schemas.openxmlformats.org/officeDocument/2006/relationships" r:id="rId8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308</xdr:row>
      <xdr:rowOff>0</xdr:rowOff>
    </xdr:to>
    <xdr:pic>
      <xdr:nvPicPr>
        <xdr:cNvPr id="475" name="Picture 3428" descr="14-1537m">
          <a:hlinkClick xmlns:r="http://schemas.openxmlformats.org/officeDocument/2006/relationships" r:id="rId8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09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308</xdr:row>
      <xdr:rowOff>0</xdr:rowOff>
    </xdr:to>
    <xdr:pic>
      <xdr:nvPicPr>
        <xdr:cNvPr id="476" name="Picture 3429" descr="14-1537-1m">
          <a:hlinkClick xmlns:r="http://schemas.openxmlformats.org/officeDocument/2006/relationships" r:id="rId8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09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1132</xdr:row>
      <xdr:rowOff>0</xdr:rowOff>
    </xdr:from>
    <xdr:to>
      <xdr:col>2</xdr:col>
      <xdr:colOff>0</xdr:colOff>
      <xdr:row>1133</xdr:row>
      <xdr:rowOff>0</xdr:rowOff>
    </xdr:to>
    <xdr:pic>
      <xdr:nvPicPr>
        <xdr:cNvPr id="477" name="Picture 3430" descr="T-LS-044m">
          <a:hlinkClick xmlns:r="http://schemas.openxmlformats.org/officeDocument/2006/relationships" r:id="rId8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963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1133</xdr:row>
      <xdr:rowOff>0</xdr:rowOff>
    </xdr:from>
    <xdr:to>
      <xdr:col>2</xdr:col>
      <xdr:colOff>0</xdr:colOff>
      <xdr:row>1134</xdr:row>
      <xdr:rowOff>0</xdr:rowOff>
    </xdr:to>
    <xdr:pic>
      <xdr:nvPicPr>
        <xdr:cNvPr id="478" name="Picture 3431" descr="T-LS-044m">
          <a:hlinkClick xmlns:r="http://schemas.openxmlformats.org/officeDocument/2006/relationships" r:id="rId8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39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479" name="Picture 3432" descr="14-1542m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099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480" name="Picture 3433" descr="14-1543m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309</xdr:row>
      <xdr:rowOff>0</xdr:rowOff>
    </xdr:from>
    <xdr:to>
      <xdr:col>2</xdr:col>
      <xdr:colOff>0</xdr:colOff>
      <xdr:row>310</xdr:row>
      <xdr:rowOff>0</xdr:rowOff>
    </xdr:to>
    <xdr:pic>
      <xdr:nvPicPr>
        <xdr:cNvPr id="481" name="Picture 3434" descr="14-1545m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86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526</xdr:row>
      <xdr:rowOff>0</xdr:rowOff>
    </xdr:from>
    <xdr:to>
      <xdr:col>2</xdr:col>
      <xdr:colOff>0</xdr:colOff>
      <xdr:row>526</xdr:row>
      <xdr:rowOff>0</xdr:rowOff>
    </xdr:to>
    <xdr:pic>
      <xdr:nvPicPr>
        <xdr:cNvPr id="482" name="Picture 3435" descr="14-1542m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483" name="Picture 3436" descr="14-1543m">
          <a:hlinkClick xmlns:r="http://schemas.openxmlformats.org/officeDocument/2006/relationships" r:id="rId8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636</xdr:row>
      <xdr:rowOff>0</xdr:rowOff>
    </xdr:from>
    <xdr:to>
      <xdr:col>2</xdr:col>
      <xdr:colOff>0</xdr:colOff>
      <xdr:row>637</xdr:row>
      <xdr:rowOff>0</xdr:rowOff>
    </xdr:to>
    <xdr:pic>
      <xdr:nvPicPr>
        <xdr:cNvPr id="484" name="Picture 3437" descr="14-1542m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095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637</xdr:row>
      <xdr:rowOff>0</xdr:rowOff>
    </xdr:from>
    <xdr:to>
      <xdr:col>2</xdr:col>
      <xdr:colOff>0</xdr:colOff>
      <xdr:row>638</xdr:row>
      <xdr:rowOff>0</xdr:rowOff>
    </xdr:to>
    <xdr:pic>
      <xdr:nvPicPr>
        <xdr:cNvPr id="485" name="Picture 3438" descr="14-1543m">
          <a:hlinkClick xmlns:r="http://schemas.openxmlformats.org/officeDocument/2006/relationships" r:id="rId8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095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1257</xdr:row>
      <xdr:rowOff>0</xdr:rowOff>
    </xdr:from>
    <xdr:to>
      <xdr:col>2</xdr:col>
      <xdr:colOff>0</xdr:colOff>
      <xdr:row>1258</xdr:row>
      <xdr:rowOff>0</xdr:rowOff>
    </xdr:to>
    <xdr:pic>
      <xdr:nvPicPr>
        <xdr:cNvPr id="486" name="Picture 3439" descr="t-ts-057m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544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232</xdr:row>
      <xdr:rowOff>0</xdr:rowOff>
    </xdr:to>
    <xdr:pic>
      <xdr:nvPicPr>
        <xdr:cNvPr id="487" name="Picture 3440" descr="14-1544m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01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638</xdr:row>
      <xdr:rowOff>0</xdr:rowOff>
    </xdr:from>
    <xdr:to>
      <xdr:col>2</xdr:col>
      <xdr:colOff>0</xdr:colOff>
      <xdr:row>639</xdr:row>
      <xdr:rowOff>0</xdr:rowOff>
    </xdr:to>
    <xdr:pic>
      <xdr:nvPicPr>
        <xdr:cNvPr id="488" name="Picture 3441" descr="14-1544m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71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226</xdr:row>
      <xdr:rowOff>0</xdr:rowOff>
    </xdr:to>
    <xdr:pic>
      <xdr:nvPicPr>
        <xdr:cNvPr id="489" name="Picture 3442" descr="14-1559m">
          <a:hlinkClick xmlns:r="http://schemas.openxmlformats.org/officeDocument/2006/relationships" r:id="rId8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420</xdr:row>
      <xdr:rowOff>0</xdr:rowOff>
    </xdr:from>
    <xdr:to>
      <xdr:col>2</xdr:col>
      <xdr:colOff>0</xdr:colOff>
      <xdr:row>421</xdr:row>
      <xdr:rowOff>0</xdr:rowOff>
    </xdr:to>
    <xdr:pic>
      <xdr:nvPicPr>
        <xdr:cNvPr id="490" name="Picture 3443" descr="14-1559m">
          <a:hlinkClick xmlns:r="http://schemas.openxmlformats.org/officeDocument/2006/relationships" r:id="rId8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491" name="Picture 3444" descr="14-1559m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621</xdr:row>
      <xdr:rowOff>0</xdr:rowOff>
    </xdr:from>
    <xdr:to>
      <xdr:col>2</xdr:col>
      <xdr:colOff>0</xdr:colOff>
      <xdr:row>622</xdr:row>
      <xdr:rowOff>0</xdr:rowOff>
    </xdr:to>
    <xdr:pic>
      <xdr:nvPicPr>
        <xdr:cNvPr id="492" name="Picture 3445" descr="14-1559m">
          <a:hlinkClick xmlns:r="http://schemas.openxmlformats.org/officeDocument/2006/relationships" r:id="rId8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09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664</xdr:row>
      <xdr:rowOff>0</xdr:rowOff>
    </xdr:from>
    <xdr:to>
      <xdr:col>2</xdr:col>
      <xdr:colOff>0</xdr:colOff>
      <xdr:row>665</xdr:row>
      <xdr:rowOff>0</xdr:rowOff>
    </xdr:to>
    <xdr:pic>
      <xdr:nvPicPr>
        <xdr:cNvPr id="493" name="Picture 3446" descr="38-417m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938</xdr:row>
      <xdr:rowOff>0</xdr:rowOff>
    </xdr:from>
    <xdr:to>
      <xdr:col>2</xdr:col>
      <xdr:colOff>0</xdr:colOff>
      <xdr:row>939</xdr:row>
      <xdr:rowOff>0</xdr:rowOff>
    </xdr:to>
    <xdr:pic>
      <xdr:nvPicPr>
        <xdr:cNvPr id="494" name="Picture 3447" descr="RW-22-02m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939</xdr:row>
      <xdr:rowOff>0</xdr:rowOff>
    </xdr:from>
    <xdr:to>
      <xdr:col>2</xdr:col>
      <xdr:colOff>0</xdr:colOff>
      <xdr:row>940</xdr:row>
      <xdr:rowOff>0</xdr:rowOff>
    </xdr:to>
    <xdr:pic>
      <xdr:nvPicPr>
        <xdr:cNvPr id="495" name="Picture 3448" descr="RW-22-03m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751</xdr:row>
      <xdr:rowOff>0</xdr:rowOff>
    </xdr:from>
    <xdr:to>
      <xdr:col>2</xdr:col>
      <xdr:colOff>0</xdr:colOff>
      <xdr:row>752</xdr:row>
      <xdr:rowOff>0</xdr:rowOff>
    </xdr:to>
    <xdr:pic>
      <xdr:nvPicPr>
        <xdr:cNvPr id="496" name="Picture 3449" descr="50-1544m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688</xdr:row>
      <xdr:rowOff>0</xdr:rowOff>
    </xdr:from>
    <xdr:to>
      <xdr:col>2</xdr:col>
      <xdr:colOff>0</xdr:colOff>
      <xdr:row>689</xdr:row>
      <xdr:rowOff>0</xdr:rowOff>
    </xdr:to>
    <xdr:pic>
      <xdr:nvPicPr>
        <xdr:cNvPr id="497" name="Picture 3450" descr="42-1559m">
          <a:hlinkClick xmlns:r="http://schemas.openxmlformats.org/officeDocument/2006/relationships" r:id="rId8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686</xdr:row>
      <xdr:rowOff>0</xdr:rowOff>
    </xdr:from>
    <xdr:to>
      <xdr:col>2</xdr:col>
      <xdr:colOff>0</xdr:colOff>
      <xdr:row>687</xdr:row>
      <xdr:rowOff>0</xdr:rowOff>
    </xdr:to>
    <xdr:pic>
      <xdr:nvPicPr>
        <xdr:cNvPr id="498" name="Picture 3451" descr="42-136m">
          <a:hlinkClick xmlns:r="http://schemas.openxmlformats.org/officeDocument/2006/relationships" r:id="rId8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419</xdr:row>
      <xdr:rowOff>0</xdr:rowOff>
    </xdr:from>
    <xdr:to>
      <xdr:col>2</xdr:col>
      <xdr:colOff>0</xdr:colOff>
      <xdr:row>420</xdr:row>
      <xdr:rowOff>0</xdr:rowOff>
    </xdr:to>
    <xdr:pic>
      <xdr:nvPicPr>
        <xdr:cNvPr id="499" name="Picture 3452" descr="42-136m">
          <a:hlinkClick xmlns:r="http://schemas.openxmlformats.org/officeDocument/2006/relationships" r:id="rId8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394</xdr:row>
      <xdr:rowOff>0</xdr:rowOff>
    </xdr:from>
    <xdr:to>
      <xdr:col>2</xdr:col>
      <xdr:colOff>0</xdr:colOff>
      <xdr:row>395</xdr:row>
      <xdr:rowOff>0</xdr:rowOff>
    </xdr:to>
    <xdr:pic>
      <xdr:nvPicPr>
        <xdr:cNvPr id="500" name="Picture 3453" descr="14-7561m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379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375</xdr:row>
      <xdr:rowOff>0</xdr:rowOff>
    </xdr:from>
    <xdr:to>
      <xdr:col>2</xdr:col>
      <xdr:colOff>0</xdr:colOff>
      <xdr:row>376</xdr:row>
      <xdr:rowOff>0</xdr:rowOff>
    </xdr:to>
    <xdr:pic>
      <xdr:nvPicPr>
        <xdr:cNvPr id="501" name="Picture 3454" descr="14-5561m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450</xdr:row>
      <xdr:rowOff>0</xdr:rowOff>
    </xdr:from>
    <xdr:to>
      <xdr:col>2</xdr:col>
      <xdr:colOff>0</xdr:colOff>
      <xdr:row>451</xdr:row>
      <xdr:rowOff>0</xdr:rowOff>
    </xdr:to>
    <xdr:pic>
      <xdr:nvPicPr>
        <xdr:cNvPr id="502" name="Picture 3455" descr="22-427m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692</xdr:row>
      <xdr:rowOff>0</xdr:rowOff>
    </xdr:from>
    <xdr:to>
      <xdr:col>2</xdr:col>
      <xdr:colOff>0</xdr:colOff>
      <xdr:row>693</xdr:row>
      <xdr:rowOff>0</xdr:rowOff>
    </xdr:to>
    <xdr:pic>
      <xdr:nvPicPr>
        <xdr:cNvPr id="503" name="Picture 3456" descr="42-427m">
          <a:hlinkClick xmlns:r="http://schemas.openxmlformats.org/officeDocument/2006/relationships" r:id="rId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772</xdr:row>
      <xdr:rowOff>0</xdr:rowOff>
    </xdr:from>
    <xdr:to>
      <xdr:col>2</xdr:col>
      <xdr:colOff>0</xdr:colOff>
      <xdr:row>773</xdr:row>
      <xdr:rowOff>0</xdr:rowOff>
    </xdr:to>
    <xdr:pic>
      <xdr:nvPicPr>
        <xdr:cNvPr id="504" name="Picture 3457" descr="54-427m">
          <a:hlinkClick xmlns:r="http://schemas.openxmlformats.org/officeDocument/2006/relationships" r:id="rId8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505" name="Picture 3458" descr="36-1530m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61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424</xdr:row>
      <xdr:rowOff>0</xdr:rowOff>
    </xdr:from>
    <xdr:to>
      <xdr:col>2</xdr:col>
      <xdr:colOff>0</xdr:colOff>
      <xdr:row>425</xdr:row>
      <xdr:rowOff>0</xdr:rowOff>
    </xdr:to>
    <xdr:pic>
      <xdr:nvPicPr>
        <xdr:cNvPr id="506" name="Picture 3459" descr="16-523m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507" name="Picture 3460" descr="14-1560m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639</xdr:row>
      <xdr:rowOff>0</xdr:rowOff>
    </xdr:from>
    <xdr:to>
      <xdr:col>2</xdr:col>
      <xdr:colOff>0</xdr:colOff>
      <xdr:row>640</xdr:row>
      <xdr:rowOff>0</xdr:rowOff>
    </xdr:to>
    <xdr:pic>
      <xdr:nvPicPr>
        <xdr:cNvPr id="508" name="Picture 3461" descr="36-1560m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47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790</xdr:row>
      <xdr:rowOff>0</xdr:rowOff>
    </xdr:from>
    <xdr:to>
      <xdr:col>2</xdr:col>
      <xdr:colOff>0</xdr:colOff>
      <xdr:row>791</xdr:row>
      <xdr:rowOff>0</xdr:rowOff>
    </xdr:to>
    <xdr:pic>
      <xdr:nvPicPr>
        <xdr:cNvPr id="509" name="Picture 3462" descr="64-523m">
          <a:hlinkClick xmlns:r="http://schemas.openxmlformats.org/officeDocument/2006/relationships" r:id="rId8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691</xdr:row>
      <xdr:rowOff>0</xdr:rowOff>
    </xdr:from>
    <xdr:to>
      <xdr:col>2</xdr:col>
      <xdr:colOff>0</xdr:colOff>
      <xdr:row>692</xdr:row>
      <xdr:rowOff>0</xdr:rowOff>
    </xdr:to>
    <xdr:pic>
      <xdr:nvPicPr>
        <xdr:cNvPr id="510" name="Picture 3463" descr="42-423m">
          <a:hlinkClick xmlns:r="http://schemas.openxmlformats.org/officeDocument/2006/relationships" r:id="rId8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848</xdr:row>
      <xdr:rowOff>0</xdr:rowOff>
    </xdr:from>
    <xdr:to>
      <xdr:col>2</xdr:col>
      <xdr:colOff>0</xdr:colOff>
      <xdr:row>849</xdr:row>
      <xdr:rowOff>0</xdr:rowOff>
    </xdr:to>
    <xdr:pic>
      <xdr:nvPicPr>
        <xdr:cNvPr id="511" name="Picture 3464" descr="81-1545m">
          <a:hlinkClick xmlns:r="http://schemas.openxmlformats.org/officeDocument/2006/relationships" r:id="rId8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849</xdr:row>
      <xdr:rowOff>0</xdr:rowOff>
    </xdr:from>
    <xdr:to>
      <xdr:col>2</xdr:col>
      <xdr:colOff>0</xdr:colOff>
      <xdr:row>850</xdr:row>
      <xdr:rowOff>0</xdr:rowOff>
    </xdr:to>
    <xdr:pic>
      <xdr:nvPicPr>
        <xdr:cNvPr id="512" name="Picture 3465" descr="81-1562m">
          <a:hlinkClick xmlns:r="http://schemas.openxmlformats.org/officeDocument/2006/relationships" r:id="rId8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870</xdr:row>
      <xdr:rowOff>0</xdr:rowOff>
    </xdr:from>
    <xdr:to>
      <xdr:col>2</xdr:col>
      <xdr:colOff>0</xdr:colOff>
      <xdr:row>871</xdr:row>
      <xdr:rowOff>0</xdr:rowOff>
    </xdr:to>
    <xdr:pic>
      <xdr:nvPicPr>
        <xdr:cNvPr id="513" name="Picture 3466" descr="84-6563m">
          <a:hlinkClick xmlns:r="http://schemas.openxmlformats.org/officeDocument/2006/relationships" r:id="rId8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872</xdr:row>
      <xdr:rowOff>0</xdr:rowOff>
    </xdr:from>
    <xdr:to>
      <xdr:col>2</xdr:col>
      <xdr:colOff>0</xdr:colOff>
      <xdr:row>873</xdr:row>
      <xdr:rowOff>0</xdr:rowOff>
    </xdr:to>
    <xdr:pic>
      <xdr:nvPicPr>
        <xdr:cNvPr id="514" name="Picture 3467" descr="84-9558m">
          <a:hlinkClick xmlns:r="http://schemas.openxmlformats.org/officeDocument/2006/relationships" r:id="rId8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858</xdr:row>
      <xdr:rowOff>0</xdr:rowOff>
    </xdr:from>
    <xdr:to>
      <xdr:col>2</xdr:col>
      <xdr:colOff>0</xdr:colOff>
      <xdr:row>859</xdr:row>
      <xdr:rowOff>0</xdr:rowOff>
    </xdr:to>
    <xdr:pic>
      <xdr:nvPicPr>
        <xdr:cNvPr id="515" name="Picture 3468" descr="82-6563m">
          <a:hlinkClick xmlns:r="http://schemas.openxmlformats.org/officeDocument/2006/relationships" r:id="rId8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860</xdr:row>
      <xdr:rowOff>0</xdr:rowOff>
    </xdr:from>
    <xdr:to>
      <xdr:col>2</xdr:col>
      <xdr:colOff>0</xdr:colOff>
      <xdr:row>861</xdr:row>
      <xdr:rowOff>0</xdr:rowOff>
    </xdr:to>
    <xdr:pic>
      <xdr:nvPicPr>
        <xdr:cNvPr id="516" name="Picture 3469" descr="82-9558m">
          <a:hlinkClick xmlns:r="http://schemas.openxmlformats.org/officeDocument/2006/relationships" r:id="rId9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856</xdr:row>
      <xdr:rowOff>0</xdr:rowOff>
    </xdr:from>
    <xdr:to>
      <xdr:col>2</xdr:col>
      <xdr:colOff>0</xdr:colOff>
      <xdr:row>857</xdr:row>
      <xdr:rowOff>0</xdr:rowOff>
    </xdr:to>
    <xdr:pic>
      <xdr:nvPicPr>
        <xdr:cNvPr id="517" name="Picture 3470" descr="81-7557m"/>
        <xdr:cNvPicPr>
          <a:picLocks noChangeAspect="1" noChangeArrowheads="1"/>
        </xdr:cNvPicPr>
      </xdr:nvPicPr>
      <xdr:blipFill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871</xdr:row>
      <xdr:rowOff>0</xdr:rowOff>
    </xdr:from>
    <xdr:to>
      <xdr:col>2</xdr:col>
      <xdr:colOff>0</xdr:colOff>
      <xdr:row>872</xdr:row>
      <xdr:rowOff>0</xdr:rowOff>
    </xdr:to>
    <xdr:pic>
      <xdr:nvPicPr>
        <xdr:cNvPr id="518" name="Picture 3471" descr="84-8516m"/>
        <xdr:cNvPicPr>
          <a:picLocks noChangeAspect="1" noChangeArrowheads="1"/>
        </xdr:cNvPicPr>
      </xdr:nvPicPr>
      <xdr:blipFill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412</xdr:row>
      <xdr:rowOff>0</xdr:rowOff>
    </xdr:to>
    <xdr:pic>
      <xdr:nvPicPr>
        <xdr:cNvPr id="519" name="Picture 3472" descr="14-939m">
          <a:hlinkClick xmlns:r="http://schemas.openxmlformats.org/officeDocument/2006/relationships" r:id="rId9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141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794</xdr:row>
      <xdr:rowOff>0</xdr:rowOff>
    </xdr:from>
    <xdr:to>
      <xdr:col>2</xdr:col>
      <xdr:colOff>0</xdr:colOff>
      <xdr:row>795</xdr:row>
      <xdr:rowOff>0</xdr:rowOff>
    </xdr:to>
    <xdr:pic>
      <xdr:nvPicPr>
        <xdr:cNvPr id="520" name="Picture 3473" descr="64-939m">
          <a:hlinkClick xmlns:r="http://schemas.openxmlformats.org/officeDocument/2006/relationships" r:id="rId9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620</xdr:row>
      <xdr:rowOff>0</xdr:rowOff>
    </xdr:to>
    <xdr:pic>
      <xdr:nvPicPr>
        <xdr:cNvPr id="521" name="Picture 3474" descr="36-227m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257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791</xdr:row>
      <xdr:rowOff>0</xdr:rowOff>
    </xdr:from>
    <xdr:to>
      <xdr:col>2</xdr:col>
      <xdr:colOff>0</xdr:colOff>
      <xdr:row>792</xdr:row>
      <xdr:rowOff>0</xdr:rowOff>
    </xdr:to>
    <xdr:pic>
      <xdr:nvPicPr>
        <xdr:cNvPr id="522" name="Picture 3475" descr="64-539m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657</xdr:row>
      <xdr:rowOff>0</xdr:rowOff>
    </xdr:from>
    <xdr:to>
      <xdr:col>2</xdr:col>
      <xdr:colOff>0</xdr:colOff>
      <xdr:row>658</xdr:row>
      <xdr:rowOff>0</xdr:rowOff>
    </xdr:to>
    <xdr:pic>
      <xdr:nvPicPr>
        <xdr:cNvPr id="523" name="Picture 3476" descr="36-9504m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788</xdr:row>
      <xdr:rowOff>0</xdr:rowOff>
    </xdr:from>
    <xdr:to>
      <xdr:col>2</xdr:col>
      <xdr:colOff>0</xdr:colOff>
      <xdr:row>789</xdr:row>
      <xdr:rowOff>0</xdr:rowOff>
    </xdr:to>
    <xdr:pic>
      <xdr:nvPicPr>
        <xdr:cNvPr id="524" name="Picture 3477" descr="64-4505m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846</xdr:row>
      <xdr:rowOff>0</xdr:rowOff>
    </xdr:from>
    <xdr:to>
      <xdr:col>2</xdr:col>
      <xdr:colOff>0</xdr:colOff>
      <xdr:row>847</xdr:row>
      <xdr:rowOff>0</xdr:rowOff>
    </xdr:to>
    <xdr:pic>
      <xdr:nvPicPr>
        <xdr:cNvPr id="525" name="Picture 3480" descr="10-1m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526" name="Picture 3486" descr="14-1566m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335</xdr:row>
      <xdr:rowOff>0</xdr:rowOff>
    </xdr:from>
    <xdr:to>
      <xdr:col>2</xdr:col>
      <xdr:colOff>0</xdr:colOff>
      <xdr:row>336</xdr:row>
      <xdr:rowOff>0</xdr:rowOff>
    </xdr:to>
    <xdr:pic>
      <xdr:nvPicPr>
        <xdr:cNvPr id="527" name="Picture 3487" descr="14-207m">
          <a:hlinkClick xmlns:r="http://schemas.openxmlformats.org/officeDocument/2006/relationships" r:id="rId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528" name="Picture 3488" descr="34-1566m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534</xdr:row>
      <xdr:rowOff>0</xdr:rowOff>
    </xdr:from>
    <xdr:to>
      <xdr:col>2</xdr:col>
      <xdr:colOff>0</xdr:colOff>
      <xdr:row>535</xdr:row>
      <xdr:rowOff>0</xdr:rowOff>
    </xdr:to>
    <xdr:pic>
      <xdr:nvPicPr>
        <xdr:cNvPr id="529" name="Picture 3489" descr="34-207m">
          <a:hlinkClick xmlns:r="http://schemas.openxmlformats.org/officeDocument/2006/relationships" r:id="rId9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536</xdr:row>
      <xdr:rowOff>0</xdr:rowOff>
    </xdr:from>
    <xdr:to>
      <xdr:col>2</xdr:col>
      <xdr:colOff>0</xdr:colOff>
      <xdr:row>537</xdr:row>
      <xdr:rowOff>0</xdr:rowOff>
    </xdr:to>
    <xdr:pic>
      <xdr:nvPicPr>
        <xdr:cNvPr id="530" name="Picture 3490" descr="34-235m">
          <a:hlinkClick xmlns:r="http://schemas.openxmlformats.org/officeDocument/2006/relationships" r:id="rId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1259</xdr:row>
      <xdr:rowOff>0</xdr:rowOff>
    </xdr:from>
    <xdr:to>
      <xdr:col>2</xdr:col>
      <xdr:colOff>0</xdr:colOff>
      <xdr:row>1260</xdr:row>
      <xdr:rowOff>0</xdr:rowOff>
    </xdr:to>
    <xdr:pic>
      <xdr:nvPicPr>
        <xdr:cNvPr id="531" name="Picture 3491" descr="T-TS-058m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621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1260</xdr:row>
      <xdr:rowOff>0</xdr:rowOff>
    </xdr:from>
    <xdr:to>
      <xdr:col>2</xdr:col>
      <xdr:colOff>0</xdr:colOff>
      <xdr:row>1261</xdr:row>
      <xdr:rowOff>0</xdr:rowOff>
    </xdr:to>
    <xdr:pic>
      <xdr:nvPicPr>
        <xdr:cNvPr id="532" name="Picture 3492" descr="T-NLS-058m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697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1178</xdr:row>
      <xdr:rowOff>0</xdr:rowOff>
    </xdr:from>
    <xdr:to>
      <xdr:col>2</xdr:col>
      <xdr:colOff>0</xdr:colOff>
      <xdr:row>1179</xdr:row>
      <xdr:rowOff>0</xdr:rowOff>
    </xdr:to>
    <xdr:pic>
      <xdr:nvPicPr>
        <xdr:cNvPr id="533" name="Picture 3493" descr="T-NLS-058m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06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1179</xdr:row>
      <xdr:rowOff>0</xdr:rowOff>
    </xdr:from>
    <xdr:to>
      <xdr:col>2</xdr:col>
      <xdr:colOff>0</xdr:colOff>
      <xdr:row>1180</xdr:row>
      <xdr:rowOff>0</xdr:rowOff>
    </xdr:to>
    <xdr:pic>
      <xdr:nvPicPr>
        <xdr:cNvPr id="534" name="Picture 3494" descr="T-TS-058-Lm">
          <a:hlinkClick xmlns:r="http://schemas.openxmlformats.org/officeDocument/2006/relationships" r:id="rId9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06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493</xdr:row>
      <xdr:rowOff>0</xdr:rowOff>
    </xdr:to>
    <xdr:pic>
      <xdr:nvPicPr>
        <xdr:cNvPr id="535" name="Picture 3495" descr="30-1514m">
          <a:hlinkClick xmlns:r="http://schemas.openxmlformats.org/officeDocument/2006/relationships" r:id="rId9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249</xdr:row>
      <xdr:rowOff>0</xdr:rowOff>
    </xdr:to>
    <xdr:pic>
      <xdr:nvPicPr>
        <xdr:cNvPr id="536" name="Picture 3496" descr="14-5564m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775</xdr:row>
      <xdr:rowOff>0</xdr:rowOff>
    </xdr:from>
    <xdr:to>
      <xdr:col>2</xdr:col>
      <xdr:colOff>0</xdr:colOff>
      <xdr:row>776</xdr:row>
      <xdr:rowOff>0</xdr:rowOff>
    </xdr:to>
    <xdr:pic>
      <xdr:nvPicPr>
        <xdr:cNvPr id="537" name="Picture 3497" descr="14-5564m">
          <a:hlinkClick xmlns:r="http://schemas.openxmlformats.org/officeDocument/2006/relationships" r:id="rId9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640</xdr:row>
      <xdr:rowOff>0</xdr:rowOff>
    </xdr:to>
    <xdr:pic>
      <xdr:nvPicPr>
        <xdr:cNvPr id="538" name="Picture 3498" descr="36-1566m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47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495</xdr:row>
      <xdr:rowOff>0</xdr:rowOff>
    </xdr:from>
    <xdr:to>
      <xdr:col>2</xdr:col>
      <xdr:colOff>0</xdr:colOff>
      <xdr:row>496</xdr:row>
      <xdr:rowOff>0</xdr:rowOff>
    </xdr:to>
    <xdr:pic>
      <xdr:nvPicPr>
        <xdr:cNvPr id="539" name="Picture 3499" descr="36-1566m">
          <a:hlinkClick xmlns:r="http://schemas.openxmlformats.org/officeDocument/2006/relationships" r:id="rId9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421</xdr:row>
      <xdr:rowOff>0</xdr:rowOff>
    </xdr:from>
    <xdr:to>
      <xdr:col>2</xdr:col>
      <xdr:colOff>0</xdr:colOff>
      <xdr:row>422</xdr:row>
      <xdr:rowOff>0</xdr:rowOff>
    </xdr:to>
    <xdr:pic>
      <xdr:nvPicPr>
        <xdr:cNvPr id="540" name="Picture 3500" descr="36-1566m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515</xdr:row>
      <xdr:rowOff>0</xdr:rowOff>
    </xdr:from>
    <xdr:to>
      <xdr:col>2</xdr:col>
      <xdr:colOff>0</xdr:colOff>
      <xdr:row>516</xdr:row>
      <xdr:rowOff>0</xdr:rowOff>
    </xdr:to>
    <xdr:pic>
      <xdr:nvPicPr>
        <xdr:cNvPr id="541" name="Picture 4164" descr="14-130m">
          <a:hlinkClick xmlns:r="http://schemas.openxmlformats.org/officeDocument/2006/relationships" r:id="rId9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542" name="Picture 3502" descr="14-1569m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543" name="Picture 3503" descr="14-1569m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544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545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546" name="Picture 3506" descr="36-1514m">
          <a:hlinkClick xmlns:r="http://schemas.openxmlformats.org/officeDocument/2006/relationships" r:id="rId9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66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628</xdr:row>
      <xdr:rowOff>0</xdr:rowOff>
    </xdr:from>
    <xdr:to>
      <xdr:col>2</xdr:col>
      <xdr:colOff>0</xdr:colOff>
      <xdr:row>629</xdr:row>
      <xdr:rowOff>0</xdr:rowOff>
    </xdr:to>
    <xdr:pic>
      <xdr:nvPicPr>
        <xdr:cNvPr id="547" name="Picture 3507" descr="36-1509m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90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1261</xdr:row>
      <xdr:rowOff>0</xdr:rowOff>
    </xdr:from>
    <xdr:to>
      <xdr:col>2</xdr:col>
      <xdr:colOff>0</xdr:colOff>
      <xdr:row>1262</xdr:row>
      <xdr:rowOff>0</xdr:rowOff>
    </xdr:to>
    <xdr:pic>
      <xdr:nvPicPr>
        <xdr:cNvPr id="548" name="Picture 3508" descr="t-ts-059m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697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752</xdr:row>
      <xdr:rowOff>0</xdr:rowOff>
    </xdr:from>
    <xdr:to>
      <xdr:col>2</xdr:col>
      <xdr:colOff>0</xdr:colOff>
      <xdr:row>753</xdr:row>
      <xdr:rowOff>0</xdr:rowOff>
    </xdr:to>
    <xdr:pic>
      <xdr:nvPicPr>
        <xdr:cNvPr id="549" name="Picture 3509" descr="14-1566m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511</xdr:row>
      <xdr:rowOff>0</xdr:rowOff>
    </xdr:to>
    <xdr:pic>
      <xdr:nvPicPr>
        <xdr:cNvPr id="550" name="Picture 3510" descr="34-101SGm">
          <a:hlinkClick xmlns:r="http://schemas.openxmlformats.org/officeDocument/2006/relationships" r:id="rId9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844</xdr:row>
      <xdr:rowOff>0</xdr:rowOff>
    </xdr:from>
    <xdr:to>
      <xdr:col>2</xdr:col>
      <xdr:colOff>0</xdr:colOff>
      <xdr:row>845</xdr:row>
      <xdr:rowOff>0</xdr:rowOff>
    </xdr:to>
    <xdr:pic>
      <xdr:nvPicPr>
        <xdr:cNvPr id="551" name="Picture 3513" descr="80-14-108m">
          <a:hlinkClick xmlns:r="http://schemas.openxmlformats.org/officeDocument/2006/relationships" r:id="rId9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847</xdr:row>
      <xdr:rowOff>0</xdr:rowOff>
    </xdr:from>
    <xdr:to>
      <xdr:col>2</xdr:col>
      <xdr:colOff>0</xdr:colOff>
      <xdr:row>848</xdr:row>
      <xdr:rowOff>0</xdr:rowOff>
    </xdr:to>
    <xdr:pic>
      <xdr:nvPicPr>
        <xdr:cNvPr id="552" name="Picture 3515" descr="80-14-710m">
          <a:hlinkClick xmlns:r="http://schemas.openxmlformats.org/officeDocument/2006/relationships" r:id="rId9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845</xdr:row>
      <xdr:rowOff>0</xdr:rowOff>
    </xdr:from>
    <xdr:to>
      <xdr:col>2</xdr:col>
      <xdr:colOff>0</xdr:colOff>
      <xdr:row>846</xdr:row>
      <xdr:rowOff>0</xdr:rowOff>
    </xdr:to>
    <xdr:pic>
      <xdr:nvPicPr>
        <xdr:cNvPr id="553" name="Picture 3517" descr="80-14-109m">
          <a:hlinkClick xmlns:r="http://schemas.openxmlformats.org/officeDocument/2006/relationships" r:id="rId9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554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1262</xdr:row>
      <xdr:rowOff>0</xdr:rowOff>
    </xdr:from>
    <xdr:to>
      <xdr:col>2</xdr:col>
      <xdr:colOff>0</xdr:colOff>
      <xdr:row>1263</xdr:row>
      <xdr:rowOff>0</xdr:rowOff>
    </xdr:to>
    <xdr:pic>
      <xdr:nvPicPr>
        <xdr:cNvPr id="555" name="Picture 3527" descr="t-ts-060m">
          <a:hlinkClick xmlns:r="http://schemas.openxmlformats.org/officeDocument/2006/relationships" r:id="rId9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773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388</xdr:row>
      <xdr:rowOff>0</xdr:rowOff>
    </xdr:to>
    <xdr:pic>
      <xdr:nvPicPr>
        <xdr:cNvPr id="556" name="Picture 3528" descr="14-6532m">
          <a:hlinkClick xmlns:r="http://schemas.openxmlformats.org/officeDocument/2006/relationships" r:id="rId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354</xdr:row>
      <xdr:rowOff>0</xdr:rowOff>
    </xdr:to>
    <xdr:pic>
      <xdr:nvPicPr>
        <xdr:cNvPr id="557" name="Picture 3529" descr="14-3532m">
          <a:hlinkClick xmlns:r="http://schemas.openxmlformats.org/officeDocument/2006/relationships" r:id="rId9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329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572</xdr:row>
      <xdr:rowOff>0</xdr:rowOff>
    </xdr:to>
    <xdr:pic>
      <xdr:nvPicPr>
        <xdr:cNvPr id="558" name="Picture 3530" descr="34-5532m">
          <a:hlinkClick xmlns:r="http://schemas.openxmlformats.org/officeDocument/2006/relationships" r:id="rId9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372</xdr:row>
      <xdr:rowOff>0</xdr:rowOff>
    </xdr:from>
    <xdr:to>
      <xdr:col>2</xdr:col>
      <xdr:colOff>0</xdr:colOff>
      <xdr:row>373</xdr:row>
      <xdr:rowOff>0</xdr:rowOff>
    </xdr:to>
    <xdr:pic>
      <xdr:nvPicPr>
        <xdr:cNvPr id="559" name="Picture 3531" descr="14-5532m">
          <a:hlinkClick xmlns:r="http://schemas.openxmlformats.org/officeDocument/2006/relationships" r:id="rId9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377</xdr:row>
      <xdr:rowOff>0</xdr:rowOff>
    </xdr:from>
    <xdr:to>
      <xdr:col>2</xdr:col>
      <xdr:colOff>0</xdr:colOff>
      <xdr:row>378</xdr:row>
      <xdr:rowOff>0</xdr:rowOff>
    </xdr:to>
    <xdr:pic>
      <xdr:nvPicPr>
        <xdr:cNvPr id="560" name="Picture 3532" descr="14-5568m">
          <a:hlinkClick xmlns:r="http://schemas.openxmlformats.org/officeDocument/2006/relationships" r:id="rId9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561" name="Picture 3533" descr="14-6508m">
          <a:hlinkClick xmlns:r="http://schemas.openxmlformats.org/officeDocument/2006/relationships" r:id="rId9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562" name="Picture 3534" descr="28-4568m">
          <a:hlinkClick xmlns:r="http://schemas.openxmlformats.org/officeDocument/2006/relationships" r:id="rId9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463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576</xdr:row>
      <xdr:rowOff>0</xdr:rowOff>
    </xdr:to>
    <xdr:pic>
      <xdr:nvPicPr>
        <xdr:cNvPr id="563" name="Picture 3535" descr="34-5568m">
          <a:hlinkClick xmlns:r="http://schemas.openxmlformats.org/officeDocument/2006/relationships" r:id="rId9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669</xdr:row>
      <xdr:rowOff>0</xdr:rowOff>
    </xdr:to>
    <xdr:pic>
      <xdr:nvPicPr>
        <xdr:cNvPr id="564" name="Picture 3536" descr="38-4568m">
          <a:hlinkClick xmlns:r="http://schemas.openxmlformats.org/officeDocument/2006/relationships" r:id="rId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793</xdr:row>
      <xdr:rowOff>0</xdr:rowOff>
    </xdr:from>
    <xdr:to>
      <xdr:col>2</xdr:col>
      <xdr:colOff>0</xdr:colOff>
      <xdr:row>794</xdr:row>
      <xdr:rowOff>0</xdr:rowOff>
    </xdr:to>
    <xdr:pic>
      <xdr:nvPicPr>
        <xdr:cNvPr id="565" name="Picture 3537" descr="64-5541m">
          <a:hlinkClick xmlns:r="http://schemas.openxmlformats.org/officeDocument/2006/relationships" r:id="rId9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566" name="Picture 3538" descr="14-1570m">
          <a:hlinkClick xmlns:r="http://schemas.openxmlformats.org/officeDocument/2006/relationships" r:id="rId9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567" name="Picture 3539" descr="14-5541m">
          <a:hlinkClick xmlns:r="http://schemas.openxmlformats.org/officeDocument/2006/relationships" r:id="rId9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575</xdr:row>
      <xdr:rowOff>0</xdr:rowOff>
    </xdr:to>
    <xdr:pic>
      <xdr:nvPicPr>
        <xdr:cNvPr id="568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351</xdr:row>
      <xdr:rowOff>0</xdr:rowOff>
    </xdr:from>
    <xdr:to>
      <xdr:col>2</xdr:col>
      <xdr:colOff>0</xdr:colOff>
      <xdr:row>352</xdr:row>
      <xdr:rowOff>0</xdr:rowOff>
    </xdr:to>
    <xdr:pic>
      <xdr:nvPicPr>
        <xdr:cNvPr id="569" name="Picture 3541" descr="14-2VEGm">
          <a:hlinkClick xmlns:r="http://schemas.openxmlformats.org/officeDocument/2006/relationships" r:id="rId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329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533</xdr:row>
      <xdr:rowOff>0</xdr:rowOff>
    </xdr:to>
    <xdr:pic>
      <xdr:nvPicPr>
        <xdr:cNvPr id="570" name="Picture 3542" descr="34-1VEGm">
          <a:hlinkClick xmlns:r="http://schemas.openxmlformats.org/officeDocument/2006/relationships" r:id="rId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571" name="Picture 3543" descr="34-1570m">
          <a:hlinkClick xmlns:r="http://schemas.openxmlformats.org/officeDocument/2006/relationships" r:id="rId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1125</xdr:row>
      <xdr:rowOff>0</xdr:rowOff>
    </xdr:from>
    <xdr:to>
      <xdr:col>2</xdr:col>
      <xdr:colOff>0</xdr:colOff>
      <xdr:row>1126</xdr:row>
      <xdr:rowOff>0</xdr:rowOff>
    </xdr:to>
    <xdr:pic>
      <xdr:nvPicPr>
        <xdr:cNvPr id="572" name="Picture 3544" descr="t-ls-020m">
          <a:hlinkClick xmlns:r="http://schemas.openxmlformats.org/officeDocument/2006/relationships" r:id="rId9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506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1199</xdr:row>
      <xdr:rowOff>0</xdr:rowOff>
    </xdr:from>
    <xdr:to>
      <xdr:col>2</xdr:col>
      <xdr:colOff>0</xdr:colOff>
      <xdr:row>1200</xdr:row>
      <xdr:rowOff>0</xdr:rowOff>
    </xdr:to>
    <xdr:pic>
      <xdr:nvPicPr>
        <xdr:cNvPr id="573" name="Picture 3545" descr="t-ts-020m">
          <a:hlinkClick xmlns:r="http://schemas.openxmlformats.org/officeDocument/2006/relationships" r:id="rId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665</xdr:row>
      <xdr:rowOff>0</xdr:rowOff>
    </xdr:from>
    <xdr:to>
      <xdr:col>2</xdr:col>
      <xdr:colOff>0</xdr:colOff>
      <xdr:row>666</xdr:row>
      <xdr:rowOff>0</xdr:rowOff>
    </xdr:to>
    <xdr:pic>
      <xdr:nvPicPr>
        <xdr:cNvPr id="574" name="Picture 3553" descr="38-427m">
          <a:hlinkClick xmlns:r="http://schemas.openxmlformats.org/officeDocument/2006/relationships" r:id="rId1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768</xdr:row>
      <xdr:rowOff>0</xdr:rowOff>
    </xdr:from>
    <xdr:to>
      <xdr:col>2</xdr:col>
      <xdr:colOff>0</xdr:colOff>
      <xdr:row>769</xdr:row>
      <xdr:rowOff>0</xdr:rowOff>
    </xdr:to>
    <xdr:pic>
      <xdr:nvPicPr>
        <xdr:cNvPr id="575" name="Picture 3554" descr="53-5565m">
          <a:hlinkClick xmlns:r="http://schemas.openxmlformats.org/officeDocument/2006/relationships" r:id="rId1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769</xdr:row>
      <xdr:rowOff>0</xdr:rowOff>
    </xdr:from>
    <xdr:to>
      <xdr:col>2</xdr:col>
      <xdr:colOff>0</xdr:colOff>
      <xdr:row>770</xdr:row>
      <xdr:rowOff>0</xdr:rowOff>
    </xdr:to>
    <xdr:pic>
      <xdr:nvPicPr>
        <xdr:cNvPr id="576" name="Picture 3555" descr="53-7565m">
          <a:hlinkClick xmlns:r="http://schemas.openxmlformats.org/officeDocument/2006/relationships" r:id="rId1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544</xdr:row>
      <xdr:rowOff>0</xdr:rowOff>
    </xdr:from>
    <xdr:to>
      <xdr:col>2</xdr:col>
      <xdr:colOff>0</xdr:colOff>
      <xdr:row>545</xdr:row>
      <xdr:rowOff>0</xdr:rowOff>
    </xdr:to>
    <xdr:pic>
      <xdr:nvPicPr>
        <xdr:cNvPr id="577" name="Picture 3556" descr="34-2571m">
          <a:hlinkClick xmlns:r="http://schemas.openxmlformats.org/officeDocument/2006/relationships" r:id="rId10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343</xdr:row>
      <xdr:rowOff>0</xdr:rowOff>
    </xdr:from>
    <xdr:to>
      <xdr:col>2</xdr:col>
      <xdr:colOff>0</xdr:colOff>
      <xdr:row>344</xdr:row>
      <xdr:rowOff>0</xdr:rowOff>
    </xdr:to>
    <xdr:pic>
      <xdr:nvPicPr>
        <xdr:cNvPr id="578" name="Picture 3557" descr="14-2571m">
          <a:hlinkClick xmlns:r="http://schemas.openxmlformats.org/officeDocument/2006/relationships" r:id="rId1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0519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661</xdr:row>
      <xdr:rowOff>0</xdr:rowOff>
    </xdr:from>
    <xdr:to>
      <xdr:col>2</xdr:col>
      <xdr:colOff>0</xdr:colOff>
      <xdr:row>662</xdr:row>
      <xdr:rowOff>0</xdr:rowOff>
    </xdr:to>
    <xdr:pic>
      <xdr:nvPicPr>
        <xdr:cNvPr id="579" name="Picture 3558" descr="38-3571m">
          <a:hlinkClick xmlns:r="http://schemas.openxmlformats.org/officeDocument/2006/relationships" r:id="rId1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712</xdr:row>
      <xdr:rowOff>0</xdr:rowOff>
    </xdr:from>
    <xdr:to>
      <xdr:col>2</xdr:col>
      <xdr:colOff>0</xdr:colOff>
      <xdr:row>713</xdr:row>
      <xdr:rowOff>0</xdr:rowOff>
    </xdr:to>
    <xdr:pic>
      <xdr:nvPicPr>
        <xdr:cNvPr id="580" name="Picture 3559" descr="44-2571m">
          <a:hlinkClick xmlns:r="http://schemas.openxmlformats.org/officeDocument/2006/relationships" r:id="rId10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581" name="Picture 3560" descr="34-197m">
          <a:hlinkClick xmlns:r="http://schemas.openxmlformats.org/officeDocument/2006/relationships" r:id="rId10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1136</xdr:row>
      <xdr:rowOff>0</xdr:rowOff>
    </xdr:from>
    <xdr:to>
      <xdr:col>2</xdr:col>
      <xdr:colOff>0</xdr:colOff>
      <xdr:row>1137</xdr:row>
      <xdr:rowOff>0</xdr:rowOff>
    </xdr:to>
    <xdr:pic>
      <xdr:nvPicPr>
        <xdr:cNvPr id="582" name="Picture 3561" descr="T-TS-061-Lm">
          <a:hlinkClick xmlns:r="http://schemas.openxmlformats.org/officeDocument/2006/relationships" r:id="rId10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115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1264</xdr:row>
      <xdr:rowOff>0</xdr:rowOff>
    </xdr:from>
    <xdr:to>
      <xdr:col>2</xdr:col>
      <xdr:colOff>0</xdr:colOff>
      <xdr:row>1265</xdr:row>
      <xdr:rowOff>0</xdr:rowOff>
    </xdr:to>
    <xdr:pic>
      <xdr:nvPicPr>
        <xdr:cNvPr id="583" name="Picture 3562" descr="T-TS-061m">
          <a:hlinkClick xmlns:r="http://schemas.openxmlformats.org/officeDocument/2006/relationships" r:id="rId1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49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1265</xdr:row>
      <xdr:rowOff>0</xdr:rowOff>
    </xdr:from>
    <xdr:to>
      <xdr:col>2</xdr:col>
      <xdr:colOff>0</xdr:colOff>
      <xdr:row>1266</xdr:row>
      <xdr:rowOff>0</xdr:rowOff>
    </xdr:to>
    <xdr:pic>
      <xdr:nvPicPr>
        <xdr:cNvPr id="584" name="Picture 3563" descr="T-TS-061-Lm">
          <a:hlinkClick xmlns:r="http://schemas.openxmlformats.org/officeDocument/2006/relationships" r:id="rId10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925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1266</xdr:row>
      <xdr:rowOff>0</xdr:rowOff>
    </xdr:from>
    <xdr:to>
      <xdr:col>2</xdr:col>
      <xdr:colOff>0</xdr:colOff>
      <xdr:row>1267</xdr:row>
      <xdr:rowOff>0</xdr:rowOff>
    </xdr:to>
    <xdr:pic>
      <xdr:nvPicPr>
        <xdr:cNvPr id="585" name="Picture 3564" descr="T-TS-062m">
          <a:hlinkClick xmlns:r="http://schemas.openxmlformats.org/officeDocument/2006/relationships" r:id="rId10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925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586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587" name="Picture 3566" descr="14-1575m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588" name="Picture 3567" descr="14-1574m">
          <a:hlinkClick xmlns:r="http://schemas.openxmlformats.org/officeDocument/2006/relationships" r:id="rId10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589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232</xdr:row>
      <xdr:rowOff>0</xdr:rowOff>
    </xdr:to>
    <xdr:pic>
      <xdr:nvPicPr>
        <xdr:cNvPr id="590" name="Picture 3571" descr="14-1574m">
          <a:hlinkClick xmlns:r="http://schemas.openxmlformats.org/officeDocument/2006/relationships" r:id="rId1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01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591" name="Picture 3572" descr="14-1574m">
          <a:hlinkClick xmlns:r="http://schemas.openxmlformats.org/officeDocument/2006/relationships" r:id="rId10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485</xdr:row>
      <xdr:rowOff>0</xdr:rowOff>
    </xdr:from>
    <xdr:to>
      <xdr:col>2</xdr:col>
      <xdr:colOff>0</xdr:colOff>
      <xdr:row>486</xdr:row>
      <xdr:rowOff>0</xdr:rowOff>
    </xdr:to>
    <xdr:pic>
      <xdr:nvPicPr>
        <xdr:cNvPr id="592" name="Picture 3573" descr="14-5564m">
          <a:hlinkClick xmlns:r="http://schemas.openxmlformats.org/officeDocument/2006/relationships" r:id="rId10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1121</xdr:row>
      <xdr:rowOff>0</xdr:rowOff>
    </xdr:from>
    <xdr:to>
      <xdr:col>2</xdr:col>
      <xdr:colOff>19050</xdr:colOff>
      <xdr:row>1122</xdr:row>
      <xdr:rowOff>0</xdr:rowOff>
    </xdr:to>
    <xdr:pic>
      <xdr:nvPicPr>
        <xdr:cNvPr id="593" name="Picture 3574" descr="T-LS-002m">
          <a:hlinkClick xmlns:r="http://schemas.openxmlformats.org/officeDocument/2006/relationships" r:id="rId10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2014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762</xdr:row>
      <xdr:rowOff>0</xdr:rowOff>
    </xdr:from>
    <xdr:to>
      <xdr:col>2</xdr:col>
      <xdr:colOff>19050</xdr:colOff>
      <xdr:row>763</xdr:row>
      <xdr:rowOff>0</xdr:rowOff>
    </xdr:to>
    <xdr:pic>
      <xdr:nvPicPr>
        <xdr:cNvPr id="594" name="Picture 3575" descr="52-1559m">
          <a:hlinkClick xmlns:r="http://schemas.openxmlformats.org/officeDocument/2006/relationships" r:id="rId10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1270</xdr:row>
      <xdr:rowOff>0</xdr:rowOff>
    </xdr:from>
    <xdr:to>
      <xdr:col>2</xdr:col>
      <xdr:colOff>19050</xdr:colOff>
      <xdr:row>1271</xdr:row>
      <xdr:rowOff>0</xdr:rowOff>
    </xdr:to>
    <xdr:pic>
      <xdr:nvPicPr>
        <xdr:cNvPr id="595" name="Picture 3576" descr="T-TS-064-Om">
          <a:hlinkClick xmlns:r="http://schemas.openxmlformats.org/officeDocument/2006/relationships" r:id="rId10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078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1269</xdr:row>
      <xdr:rowOff>0</xdr:rowOff>
    </xdr:from>
    <xdr:to>
      <xdr:col>2</xdr:col>
      <xdr:colOff>19050</xdr:colOff>
      <xdr:row>1270</xdr:row>
      <xdr:rowOff>0</xdr:rowOff>
    </xdr:to>
    <xdr:pic>
      <xdr:nvPicPr>
        <xdr:cNvPr id="596" name="Picture 3577" descr="T-TS-064-LBm">
          <a:hlinkClick xmlns:r="http://schemas.openxmlformats.org/officeDocument/2006/relationships" r:id="rId10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078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1268</xdr:row>
      <xdr:rowOff>0</xdr:rowOff>
    </xdr:from>
    <xdr:to>
      <xdr:col>2</xdr:col>
      <xdr:colOff>19050</xdr:colOff>
      <xdr:row>1269</xdr:row>
      <xdr:rowOff>0</xdr:rowOff>
    </xdr:to>
    <xdr:pic>
      <xdr:nvPicPr>
        <xdr:cNvPr id="597" name="Picture 3578" descr="T-TS-064-Gm">
          <a:hlinkClick xmlns:r="http://schemas.openxmlformats.org/officeDocument/2006/relationships" r:id="rId10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078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1267</xdr:row>
      <xdr:rowOff>0</xdr:rowOff>
    </xdr:from>
    <xdr:to>
      <xdr:col>2</xdr:col>
      <xdr:colOff>19050</xdr:colOff>
      <xdr:row>1268</xdr:row>
      <xdr:rowOff>0</xdr:rowOff>
    </xdr:to>
    <xdr:pic>
      <xdr:nvPicPr>
        <xdr:cNvPr id="598" name="Picture 3579" descr="T-TS-063m">
          <a:hlinkClick xmlns:r="http://schemas.openxmlformats.org/officeDocument/2006/relationships" r:id="rId1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0020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482</xdr:row>
      <xdr:rowOff>0</xdr:rowOff>
    </xdr:from>
    <xdr:to>
      <xdr:col>2</xdr:col>
      <xdr:colOff>0</xdr:colOff>
      <xdr:row>483</xdr:row>
      <xdr:rowOff>0</xdr:rowOff>
    </xdr:to>
    <xdr:pic>
      <xdr:nvPicPr>
        <xdr:cNvPr id="599" name="Picture 3580" descr="14-1530m">
          <a:hlinkClick xmlns:r="http://schemas.openxmlformats.org/officeDocument/2006/relationships" r:id="rId1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682</xdr:row>
      <xdr:rowOff>0</xdr:rowOff>
    </xdr:from>
    <xdr:to>
      <xdr:col>2</xdr:col>
      <xdr:colOff>19050</xdr:colOff>
      <xdr:row>683</xdr:row>
      <xdr:rowOff>0</xdr:rowOff>
    </xdr:to>
    <xdr:pic>
      <xdr:nvPicPr>
        <xdr:cNvPr id="600" name="Picture 3581" descr="41-4576m">
          <a:hlinkClick xmlns:r="http://schemas.openxmlformats.org/officeDocument/2006/relationships" r:id="rId1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246</xdr:row>
      <xdr:rowOff>0</xdr:rowOff>
    </xdr:to>
    <xdr:pic>
      <xdr:nvPicPr>
        <xdr:cNvPr id="601" name="Picture 3582" descr="28-4576m">
          <a:hlinkClick xmlns:r="http://schemas.openxmlformats.org/officeDocument/2006/relationships" r:id="rId1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395</xdr:row>
      <xdr:rowOff>0</xdr:rowOff>
    </xdr:from>
    <xdr:to>
      <xdr:col>2</xdr:col>
      <xdr:colOff>19050</xdr:colOff>
      <xdr:row>396</xdr:row>
      <xdr:rowOff>0</xdr:rowOff>
    </xdr:to>
    <xdr:pic>
      <xdr:nvPicPr>
        <xdr:cNvPr id="602" name="Picture 3583" descr="14-7573m">
          <a:hlinkClick xmlns:r="http://schemas.openxmlformats.org/officeDocument/2006/relationships" r:id="rId1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559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560</xdr:row>
      <xdr:rowOff>0</xdr:rowOff>
    </xdr:from>
    <xdr:to>
      <xdr:col>2</xdr:col>
      <xdr:colOff>0</xdr:colOff>
      <xdr:row>561</xdr:row>
      <xdr:rowOff>0</xdr:rowOff>
    </xdr:to>
    <xdr:pic>
      <xdr:nvPicPr>
        <xdr:cNvPr id="603" name="Picture 3584" descr="34-379m">
          <a:hlinkClick xmlns:r="http://schemas.openxmlformats.org/officeDocument/2006/relationships" r:id="rId1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604" name="Picture 3585" descr="14-1577m">
          <a:hlinkClick xmlns:r="http://schemas.openxmlformats.org/officeDocument/2006/relationships" r:id="rId1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266</xdr:row>
      <xdr:rowOff>0</xdr:rowOff>
    </xdr:from>
    <xdr:to>
      <xdr:col>2</xdr:col>
      <xdr:colOff>19050</xdr:colOff>
      <xdr:row>267</xdr:row>
      <xdr:rowOff>0</xdr:rowOff>
    </xdr:to>
    <xdr:pic>
      <xdr:nvPicPr>
        <xdr:cNvPr id="605" name="Picture 3586" descr="14-1577m">
          <a:hlinkClick xmlns:r="http://schemas.openxmlformats.org/officeDocument/2006/relationships" r:id="rId10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590</xdr:row>
      <xdr:rowOff>0</xdr:rowOff>
    </xdr:from>
    <xdr:to>
      <xdr:col>2</xdr:col>
      <xdr:colOff>19050</xdr:colOff>
      <xdr:row>591</xdr:row>
      <xdr:rowOff>0</xdr:rowOff>
    </xdr:to>
    <xdr:pic>
      <xdr:nvPicPr>
        <xdr:cNvPr id="606" name="Picture 3587" descr="14-7573m">
          <a:hlinkClick xmlns:r="http://schemas.openxmlformats.org/officeDocument/2006/relationships" r:id="rId10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253</xdr:row>
      <xdr:rowOff>0</xdr:rowOff>
    </xdr:from>
    <xdr:to>
      <xdr:col>2</xdr:col>
      <xdr:colOff>19050</xdr:colOff>
      <xdr:row>254</xdr:row>
      <xdr:rowOff>0</xdr:rowOff>
    </xdr:to>
    <xdr:pic>
      <xdr:nvPicPr>
        <xdr:cNvPr id="607" name="Picture 3588" descr="28-215m">
          <a:hlinkClick xmlns:r="http://schemas.openxmlformats.org/officeDocument/2006/relationships" r:id="rId10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15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885</xdr:row>
      <xdr:rowOff>0</xdr:rowOff>
    </xdr:from>
    <xdr:to>
      <xdr:col>2</xdr:col>
      <xdr:colOff>19050</xdr:colOff>
      <xdr:row>886</xdr:row>
      <xdr:rowOff>0</xdr:rowOff>
    </xdr:to>
    <xdr:pic>
      <xdr:nvPicPr>
        <xdr:cNvPr id="608" name="Picture 3589" descr="BR-711-12m">
          <a:hlinkClick xmlns:r="http://schemas.openxmlformats.org/officeDocument/2006/relationships" r:id="rId10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918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886</xdr:row>
      <xdr:rowOff>0</xdr:rowOff>
    </xdr:from>
    <xdr:to>
      <xdr:col>2</xdr:col>
      <xdr:colOff>19050</xdr:colOff>
      <xdr:row>887</xdr:row>
      <xdr:rowOff>0</xdr:rowOff>
    </xdr:to>
    <xdr:pic>
      <xdr:nvPicPr>
        <xdr:cNvPr id="609" name="Picture 3590" descr="BR-712-09m">
          <a:hlinkClick xmlns:r="http://schemas.openxmlformats.org/officeDocument/2006/relationships" r:id="rId10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887</xdr:row>
      <xdr:rowOff>0</xdr:rowOff>
    </xdr:from>
    <xdr:to>
      <xdr:col>2</xdr:col>
      <xdr:colOff>19050</xdr:colOff>
      <xdr:row>888</xdr:row>
      <xdr:rowOff>0</xdr:rowOff>
    </xdr:to>
    <xdr:pic>
      <xdr:nvPicPr>
        <xdr:cNvPr id="610" name="Picture 3591" descr="BR-712-11m">
          <a:hlinkClick xmlns:r="http://schemas.openxmlformats.org/officeDocument/2006/relationships" r:id="rId10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888</xdr:row>
      <xdr:rowOff>0</xdr:rowOff>
    </xdr:from>
    <xdr:to>
      <xdr:col>2</xdr:col>
      <xdr:colOff>19050</xdr:colOff>
      <xdr:row>889</xdr:row>
      <xdr:rowOff>0</xdr:rowOff>
    </xdr:to>
    <xdr:pic>
      <xdr:nvPicPr>
        <xdr:cNvPr id="611" name="Picture 3592" descr="BR-720-12m">
          <a:hlinkClick xmlns:r="http://schemas.openxmlformats.org/officeDocument/2006/relationships" r:id="rId10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875</xdr:row>
      <xdr:rowOff>0</xdr:rowOff>
    </xdr:from>
    <xdr:to>
      <xdr:col>2</xdr:col>
      <xdr:colOff>0</xdr:colOff>
      <xdr:row>876</xdr:row>
      <xdr:rowOff>0</xdr:rowOff>
    </xdr:to>
    <xdr:pic>
      <xdr:nvPicPr>
        <xdr:cNvPr id="612" name="Picture 3593" descr="14-1530m">
          <a:hlinkClick xmlns:r="http://schemas.openxmlformats.org/officeDocument/2006/relationships" r:id="rId10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876</xdr:row>
      <xdr:rowOff>0</xdr:rowOff>
    </xdr:from>
    <xdr:to>
      <xdr:col>2</xdr:col>
      <xdr:colOff>0</xdr:colOff>
      <xdr:row>877</xdr:row>
      <xdr:rowOff>0</xdr:rowOff>
    </xdr:to>
    <xdr:pic>
      <xdr:nvPicPr>
        <xdr:cNvPr id="613" name="Picture 3594" descr="14-1532m">
          <a:hlinkClick xmlns:r="http://schemas.openxmlformats.org/officeDocument/2006/relationships" r:id="rId10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877</xdr:row>
      <xdr:rowOff>0</xdr:rowOff>
    </xdr:from>
    <xdr:to>
      <xdr:col>2</xdr:col>
      <xdr:colOff>0</xdr:colOff>
      <xdr:row>878</xdr:row>
      <xdr:rowOff>0</xdr:rowOff>
    </xdr:to>
    <xdr:pic>
      <xdr:nvPicPr>
        <xdr:cNvPr id="614" name="Picture 3595" descr="14-1559m">
          <a:hlinkClick xmlns:r="http://schemas.openxmlformats.org/officeDocument/2006/relationships" r:id="rId10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15" name="Picture 3596" descr="D-300-02m">
          <a:hlinkClick xmlns:r="http://schemas.openxmlformats.org/officeDocument/2006/relationships" r:id="rId10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16" name="Picture 3597" descr="D-498-01m">
          <a:hlinkClick xmlns:r="http://schemas.openxmlformats.org/officeDocument/2006/relationships" r:id="rId10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17" name="Picture 3598" descr="D-562-01m">
          <a:hlinkClick xmlns:r="http://schemas.openxmlformats.org/officeDocument/2006/relationships" r:id="rId1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18" name="Picture 3599" descr="D-567-01m">
          <a:hlinkClick xmlns:r="http://schemas.openxmlformats.org/officeDocument/2006/relationships" r:id="rId1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19" name="Picture 3600" descr="D-602-01m">
          <a:hlinkClick xmlns:r="http://schemas.openxmlformats.org/officeDocument/2006/relationships" r:id="rId1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408</xdr:row>
      <xdr:rowOff>0</xdr:rowOff>
    </xdr:from>
    <xdr:to>
      <xdr:col>2</xdr:col>
      <xdr:colOff>19050</xdr:colOff>
      <xdr:row>409</xdr:row>
      <xdr:rowOff>0</xdr:rowOff>
    </xdr:to>
    <xdr:pic>
      <xdr:nvPicPr>
        <xdr:cNvPr id="620" name="Picture 3601" descr="14-901SGm">
          <a:hlinkClick xmlns:r="http://schemas.openxmlformats.org/officeDocument/2006/relationships" r:id="rId10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0655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598</xdr:row>
      <xdr:rowOff>0</xdr:rowOff>
    </xdr:from>
    <xdr:to>
      <xdr:col>2</xdr:col>
      <xdr:colOff>19050</xdr:colOff>
      <xdr:row>599</xdr:row>
      <xdr:rowOff>0</xdr:rowOff>
    </xdr:to>
    <xdr:pic>
      <xdr:nvPicPr>
        <xdr:cNvPr id="621" name="Picture 3602" descr="34-901SGm">
          <a:hlinkClick xmlns:r="http://schemas.openxmlformats.org/officeDocument/2006/relationships" r:id="rId10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292</xdr:row>
      <xdr:rowOff>0</xdr:rowOff>
    </xdr:from>
    <xdr:to>
      <xdr:col>2</xdr:col>
      <xdr:colOff>19050</xdr:colOff>
      <xdr:row>293</xdr:row>
      <xdr:rowOff>0</xdr:rowOff>
    </xdr:to>
    <xdr:pic>
      <xdr:nvPicPr>
        <xdr:cNvPr id="622" name="Picture 3603" descr="14-136-1m">
          <a:hlinkClick xmlns:r="http://schemas.openxmlformats.org/officeDocument/2006/relationships" r:id="rId1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462</xdr:row>
      <xdr:rowOff>0</xdr:rowOff>
    </xdr:from>
    <xdr:to>
      <xdr:col>2</xdr:col>
      <xdr:colOff>19050</xdr:colOff>
      <xdr:row>463</xdr:row>
      <xdr:rowOff>0</xdr:rowOff>
    </xdr:to>
    <xdr:pic>
      <xdr:nvPicPr>
        <xdr:cNvPr id="623" name="Picture 3604" descr="28-3578m">
          <a:hlinkClick xmlns:r="http://schemas.openxmlformats.org/officeDocument/2006/relationships" r:id="rId1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209</xdr:row>
      <xdr:rowOff>0</xdr:rowOff>
    </xdr:from>
    <xdr:to>
      <xdr:col>2</xdr:col>
      <xdr:colOff>19050</xdr:colOff>
      <xdr:row>210</xdr:row>
      <xdr:rowOff>0</xdr:rowOff>
    </xdr:to>
    <xdr:pic>
      <xdr:nvPicPr>
        <xdr:cNvPr id="624" name="Picture 3605" descr="38-4536m">
          <a:hlinkClick xmlns:r="http://schemas.openxmlformats.org/officeDocument/2006/relationships" r:id="rId10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167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874</xdr:row>
      <xdr:rowOff>0</xdr:rowOff>
    </xdr:from>
    <xdr:to>
      <xdr:col>2</xdr:col>
      <xdr:colOff>0</xdr:colOff>
      <xdr:row>875</xdr:row>
      <xdr:rowOff>0</xdr:rowOff>
    </xdr:to>
    <xdr:pic>
      <xdr:nvPicPr>
        <xdr:cNvPr id="625" name="Picture 3927" descr="14-136m">
          <a:hlinkClick xmlns:r="http://schemas.openxmlformats.org/officeDocument/2006/relationships" r:id="rId10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873</xdr:row>
      <xdr:rowOff>0</xdr:rowOff>
    </xdr:from>
    <xdr:to>
      <xdr:col>2</xdr:col>
      <xdr:colOff>0</xdr:colOff>
      <xdr:row>874</xdr:row>
      <xdr:rowOff>0</xdr:rowOff>
    </xdr:to>
    <xdr:pic>
      <xdr:nvPicPr>
        <xdr:cNvPr id="626" name="Picture 3926" descr="14-128m">
          <a:hlinkClick xmlns:r="http://schemas.openxmlformats.org/officeDocument/2006/relationships" r:id="rId10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391</xdr:row>
      <xdr:rowOff>0</xdr:rowOff>
    </xdr:from>
    <xdr:to>
      <xdr:col>2</xdr:col>
      <xdr:colOff>19050</xdr:colOff>
      <xdr:row>392</xdr:row>
      <xdr:rowOff>0</xdr:rowOff>
    </xdr:to>
    <xdr:pic>
      <xdr:nvPicPr>
        <xdr:cNvPr id="627" name="Picture 3608" descr="14-749m">
          <a:hlinkClick xmlns:r="http://schemas.openxmlformats.org/officeDocument/2006/relationships" r:id="rId10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273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458</xdr:row>
      <xdr:rowOff>0</xdr:rowOff>
    </xdr:from>
    <xdr:to>
      <xdr:col>2</xdr:col>
      <xdr:colOff>19050</xdr:colOff>
      <xdr:row>459</xdr:row>
      <xdr:rowOff>0</xdr:rowOff>
    </xdr:to>
    <xdr:pic>
      <xdr:nvPicPr>
        <xdr:cNvPr id="628" name="Picture 3609" descr="28-349m">
          <a:hlinkClick xmlns:r="http://schemas.openxmlformats.org/officeDocument/2006/relationships" r:id="rId10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189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553</xdr:row>
      <xdr:rowOff>0</xdr:rowOff>
    </xdr:from>
    <xdr:to>
      <xdr:col>2</xdr:col>
      <xdr:colOff>19050</xdr:colOff>
      <xdr:row>554</xdr:row>
      <xdr:rowOff>0</xdr:rowOff>
    </xdr:to>
    <xdr:pic>
      <xdr:nvPicPr>
        <xdr:cNvPr id="629" name="Picture 3611" descr="34-349m">
          <a:hlinkClick xmlns:r="http://schemas.openxmlformats.org/officeDocument/2006/relationships" r:id="rId10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587</xdr:row>
      <xdr:rowOff>0</xdr:rowOff>
    </xdr:from>
    <xdr:to>
      <xdr:col>2</xdr:col>
      <xdr:colOff>19050</xdr:colOff>
      <xdr:row>588</xdr:row>
      <xdr:rowOff>0</xdr:rowOff>
    </xdr:to>
    <xdr:pic>
      <xdr:nvPicPr>
        <xdr:cNvPr id="630" name="Picture 3612" descr="34-749m">
          <a:hlinkClick xmlns:r="http://schemas.openxmlformats.org/officeDocument/2006/relationships" r:id="rId10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200</xdr:row>
      <xdr:rowOff>0</xdr:rowOff>
    </xdr:from>
    <xdr:to>
      <xdr:col>2</xdr:col>
      <xdr:colOff>19050</xdr:colOff>
      <xdr:row>201</xdr:row>
      <xdr:rowOff>0</xdr:rowOff>
    </xdr:to>
    <xdr:pic>
      <xdr:nvPicPr>
        <xdr:cNvPr id="631" name="Picture 3614" descr="28-5578m">
          <a:hlinkClick xmlns:r="http://schemas.openxmlformats.org/officeDocument/2006/relationships" r:id="rId10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710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881</xdr:row>
      <xdr:rowOff>0</xdr:rowOff>
    </xdr:from>
    <xdr:to>
      <xdr:col>2</xdr:col>
      <xdr:colOff>19050</xdr:colOff>
      <xdr:row>882</xdr:row>
      <xdr:rowOff>0</xdr:rowOff>
    </xdr:to>
    <xdr:pic>
      <xdr:nvPicPr>
        <xdr:cNvPr id="632" name="Picture 3615" descr="87-227m">
          <a:hlinkClick xmlns:r="http://schemas.openxmlformats.org/officeDocument/2006/relationships" r:id="rId1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882</xdr:row>
      <xdr:rowOff>0</xdr:rowOff>
    </xdr:from>
    <xdr:to>
      <xdr:col>2</xdr:col>
      <xdr:colOff>19050</xdr:colOff>
      <xdr:row>883</xdr:row>
      <xdr:rowOff>0</xdr:rowOff>
    </xdr:to>
    <xdr:pic>
      <xdr:nvPicPr>
        <xdr:cNvPr id="633" name="Picture 3616" descr="87-235m">
          <a:hlinkClick xmlns:r="http://schemas.openxmlformats.org/officeDocument/2006/relationships" r:id="rId1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634" name="Picture 3617" descr="14-1581m">
          <a:hlinkClick xmlns:r="http://schemas.openxmlformats.org/officeDocument/2006/relationships" r:id="rId1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710</xdr:row>
      <xdr:rowOff>0</xdr:rowOff>
    </xdr:from>
    <xdr:to>
      <xdr:col>2</xdr:col>
      <xdr:colOff>19050</xdr:colOff>
      <xdr:row>711</xdr:row>
      <xdr:rowOff>0</xdr:rowOff>
    </xdr:to>
    <xdr:pic>
      <xdr:nvPicPr>
        <xdr:cNvPr id="635" name="Picture 3618" descr="44-1581m">
          <a:hlinkClick xmlns:r="http://schemas.openxmlformats.org/officeDocument/2006/relationships" r:id="rId1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184</xdr:row>
      <xdr:rowOff>0</xdr:rowOff>
    </xdr:from>
    <xdr:to>
      <xdr:col>2</xdr:col>
      <xdr:colOff>19050</xdr:colOff>
      <xdr:row>185</xdr:row>
      <xdr:rowOff>0</xdr:rowOff>
    </xdr:to>
    <xdr:pic>
      <xdr:nvPicPr>
        <xdr:cNvPr id="636" name="Picture 3619" descr="14-2579m">
          <a:hlinkClick xmlns:r="http://schemas.openxmlformats.org/officeDocument/2006/relationships" r:id="rId1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20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667</xdr:row>
      <xdr:rowOff>0</xdr:rowOff>
    </xdr:from>
    <xdr:to>
      <xdr:col>2</xdr:col>
      <xdr:colOff>19050</xdr:colOff>
      <xdr:row>668</xdr:row>
      <xdr:rowOff>0</xdr:rowOff>
    </xdr:to>
    <xdr:pic>
      <xdr:nvPicPr>
        <xdr:cNvPr id="637" name="Picture 3620" descr="38-4505m">
          <a:hlinkClick xmlns:r="http://schemas.openxmlformats.org/officeDocument/2006/relationships" r:id="rId1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1271</xdr:row>
      <xdr:rowOff>0</xdr:rowOff>
    </xdr:from>
    <xdr:to>
      <xdr:col>2</xdr:col>
      <xdr:colOff>19050</xdr:colOff>
      <xdr:row>1272</xdr:row>
      <xdr:rowOff>0</xdr:rowOff>
    </xdr:to>
    <xdr:pic>
      <xdr:nvPicPr>
        <xdr:cNvPr id="638" name="Picture 3621" descr="T-TS-065m">
          <a:hlinkClick xmlns:r="http://schemas.openxmlformats.org/officeDocument/2006/relationships" r:id="rId1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0782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1272</xdr:row>
      <xdr:rowOff>0</xdr:rowOff>
    </xdr:from>
    <xdr:to>
      <xdr:col>2</xdr:col>
      <xdr:colOff>19050</xdr:colOff>
      <xdr:row>1273</xdr:row>
      <xdr:rowOff>0</xdr:rowOff>
    </xdr:to>
    <xdr:pic>
      <xdr:nvPicPr>
        <xdr:cNvPr id="639" name="Picture 3622" descr="T-TS-065-Lm">
          <a:hlinkClick xmlns:r="http://schemas.openxmlformats.org/officeDocument/2006/relationships" r:id="rId1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544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1273</xdr:row>
      <xdr:rowOff>0</xdr:rowOff>
    </xdr:from>
    <xdr:to>
      <xdr:col>2</xdr:col>
      <xdr:colOff>19050</xdr:colOff>
      <xdr:row>1274</xdr:row>
      <xdr:rowOff>0</xdr:rowOff>
    </xdr:to>
    <xdr:pic>
      <xdr:nvPicPr>
        <xdr:cNvPr id="640" name="Picture 3623" descr="T-TS-066m">
          <a:hlinkClick xmlns:r="http://schemas.openxmlformats.org/officeDocument/2006/relationships" r:id="rId1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544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1137</xdr:row>
      <xdr:rowOff>0</xdr:rowOff>
    </xdr:from>
    <xdr:to>
      <xdr:col>2</xdr:col>
      <xdr:colOff>19050</xdr:colOff>
      <xdr:row>1138</xdr:row>
      <xdr:rowOff>0</xdr:rowOff>
    </xdr:to>
    <xdr:pic>
      <xdr:nvPicPr>
        <xdr:cNvPr id="641" name="Picture 3624" descr="T-LS-065m">
          <a:hlinkClick xmlns:r="http://schemas.openxmlformats.org/officeDocument/2006/relationships" r:id="rId1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192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214</xdr:row>
      <xdr:rowOff>0</xdr:rowOff>
    </xdr:from>
    <xdr:to>
      <xdr:col>2</xdr:col>
      <xdr:colOff>19050</xdr:colOff>
      <xdr:row>215</xdr:row>
      <xdr:rowOff>0</xdr:rowOff>
    </xdr:to>
    <xdr:pic>
      <xdr:nvPicPr>
        <xdr:cNvPr id="642" name="Picture 3625" descr="64-457m">
          <a:hlinkClick xmlns:r="http://schemas.openxmlformats.org/officeDocument/2006/relationships" r:id="rId1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213</xdr:row>
      <xdr:rowOff>0</xdr:rowOff>
    </xdr:from>
    <xdr:to>
      <xdr:col>2</xdr:col>
      <xdr:colOff>19050</xdr:colOff>
      <xdr:row>214</xdr:row>
      <xdr:rowOff>0</xdr:rowOff>
    </xdr:to>
    <xdr:pic>
      <xdr:nvPicPr>
        <xdr:cNvPr id="643" name="Picture 3626" descr="64-357m">
          <a:hlinkClick xmlns:r="http://schemas.openxmlformats.org/officeDocument/2006/relationships" r:id="rId1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1258</xdr:row>
      <xdr:rowOff>0</xdr:rowOff>
    </xdr:from>
    <xdr:to>
      <xdr:col>2</xdr:col>
      <xdr:colOff>0</xdr:colOff>
      <xdr:row>1259</xdr:row>
      <xdr:rowOff>0</xdr:rowOff>
    </xdr:to>
    <xdr:pic>
      <xdr:nvPicPr>
        <xdr:cNvPr id="644" name="Picture 3627" descr="t-ts-057m">
          <a:hlinkClick xmlns:r="http://schemas.openxmlformats.org/officeDocument/2006/relationships" r:id="rId1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621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1263</xdr:row>
      <xdr:rowOff>0</xdr:rowOff>
    </xdr:from>
    <xdr:to>
      <xdr:col>2</xdr:col>
      <xdr:colOff>0</xdr:colOff>
      <xdr:row>1264</xdr:row>
      <xdr:rowOff>0</xdr:rowOff>
    </xdr:to>
    <xdr:pic>
      <xdr:nvPicPr>
        <xdr:cNvPr id="645" name="Picture 3628" descr="t-ts-060m">
          <a:hlinkClick xmlns:r="http://schemas.openxmlformats.org/officeDocument/2006/relationships" r:id="rId1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49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1047</xdr:row>
      <xdr:rowOff>0</xdr:rowOff>
    </xdr:from>
    <xdr:to>
      <xdr:col>2</xdr:col>
      <xdr:colOff>19050</xdr:colOff>
      <xdr:row>1048</xdr:row>
      <xdr:rowOff>0</xdr:rowOff>
    </xdr:to>
    <xdr:pic>
      <xdr:nvPicPr>
        <xdr:cNvPr id="646" name="Picture 3629" descr="SL-NIm">
          <a:hlinkClick xmlns:r="http://schemas.openxmlformats.org/officeDocument/2006/relationships" r:id="rId1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1057</xdr:row>
      <xdr:rowOff>0</xdr:rowOff>
    </xdr:from>
    <xdr:to>
      <xdr:col>2</xdr:col>
      <xdr:colOff>19050</xdr:colOff>
      <xdr:row>1058</xdr:row>
      <xdr:rowOff>0</xdr:rowOff>
    </xdr:to>
    <xdr:pic>
      <xdr:nvPicPr>
        <xdr:cNvPr id="647" name="Picture 3630" descr="SL-NI-M-1m">
          <a:hlinkClick xmlns:r="http://schemas.openxmlformats.org/officeDocument/2006/relationships" r:id="rId1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1058</xdr:row>
      <xdr:rowOff>0</xdr:rowOff>
    </xdr:from>
    <xdr:to>
      <xdr:col>2</xdr:col>
      <xdr:colOff>19050</xdr:colOff>
      <xdr:row>1059</xdr:row>
      <xdr:rowOff>0</xdr:rowOff>
    </xdr:to>
    <xdr:pic>
      <xdr:nvPicPr>
        <xdr:cNvPr id="648" name="Picture 3631" descr="SL-NI-M-2m">
          <a:hlinkClick xmlns:r="http://schemas.openxmlformats.org/officeDocument/2006/relationships" r:id="rId1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1059</xdr:row>
      <xdr:rowOff>0</xdr:rowOff>
    </xdr:from>
    <xdr:to>
      <xdr:col>2</xdr:col>
      <xdr:colOff>19050</xdr:colOff>
      <xdr:row>1060</xdr:row>
      <xdr:rowOff>0</xdr:rowOff>
    </xdr:to>
    <xdr:pic>
      <xdr:nvPicPr>
        <xdr:cNvPr id="649" name="Picture 3632" descr="SL-NI-M-3m">
          <a:hlinkClick xmlns:r="http://schemas.openxmlformats.org/officeDocument/2006/relationships" r:id="rId1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1060</xdr:row>
      <xdr:rowOff>0</xdr:rowOff>
    </xdr:from>
    <xdr:to>
      <xdr:col>2</xdr:col>
      <xdr:colOff>19050</xdr:colOff>
      <xdr:row>1061</xdr:row>
      <xdr:rowOff>0</xdr:rowOff>
    </xdr:to>
    <xdr:pic>
      <xdr:nvPicPr>
        <xdr:cNvPr id="650" name="Picture 3633" descr="SL-NI-M-4m">
          <a:hlinkClick xmlns:r="http://schemas.openxmlformats.org/officeDocument/2006/relationships" r:id="rId1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1061</xdr:row>
      <xdr:rowOff>0</xdr:rowOff>
    </xdr:from>
    <xdr:to>
      <xdr:col>2</xdr:col>
      <xdr:colOff>19050</xdr:colOff>
      <xdr:row>1062</xdr:row>
      <xdr:rowOff>0</xdr:rowOff>
    </xdr:to>
    <xdr:pic>
      <xdr:nvPicPr>
        <xdr:cNvPr id="651" name="Picture 3634" descr="SL-NI-M-5m">
          <a:hlinkClick xmlns:r="http://schemas.openxmlformats.org/officeDocument/2006/relationships" r:id="rId1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1062</xdr:row>
      <xdr:rowOff>0</xdr:rowOff>
    </xdr:from>
    <xdr:to>
      <xdr:col>2</xdr:col>
      <xdr:colOff>19050</xdr:colOff>
      <xdr:row>1063</xdr:row>
      <xdr:rowOff>0</xdr:rowOff>
    </xdr:to>
    <xdr:pic>
      <xdr:nvPicPr>
        <xdr:cNvPr id="652" name="Picture 3635" descr="SL-NI-M-6m">
          <a:hlinkClick xmlns:r="http://schemas.openxmlformats.org/officeDocument/2006/relationships" r:id="rId1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1063</xdr:row>
      <xdr:rowOff>0</xdr:rowOff>
    </xdr:from>
    <xdr:to>
      <xdr:col>2</xdr:col>
      <xdr:colOff>19050</xdr:colOff>
      <xdr:row>1064</xdr:row>
      <xdr:rowOff>0</xdr:rowOff>
    </xdr:to>
    <xdr:pic>
      <xdr:nvPicPr>
        <xdr:cNvPr id="653" name="Picture 3636" descr="SL-NI-M-7m">
          <a:hlinkClick xmlns:r="http://schemas.openxmlformats.org/officeDocument/2006/relationships" r:id="rId1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1064</xdr:row>
      <xdr:rowOff>0</xdr:rowOff>
    </xdr:from>
    <xdr:to>
      <xdr:col>2</xdr:col>
      <xdr:colOff>19050</xdr:colOff>
      <xdr:row>1065</xdr:row>
      <xdr:rowOff>0</xdr:rowOff>
    </xdr:to>
    <xdr:pic>
      <xdr:nvPicPr>
        <xdr:cNvPr id="654" name="Picture 3637" descr="SL-NI-M-8m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1066</xdr:row>
      <xdr:rowOff>0</xdr:rowOff>
    </xdr:from>
    <xdr:to>
      <xdr:col>2</xdr:col>
      <xdr:colOff>19050</xdr:colOff>
      <xdr:row>1067</xdr:row>
      <xdr:rowOff>0</xdr:rowOff>
    </xdr:to>
    <xdr:pic>
      <xdr:nvPicPr>
        <xdr:cNvPr id="655" name="Picture 3638" descr="SL-NI-M-9m">
          <a:hlinkClick xmlns:r="http://schemas.openxmlformats.org/officeDocument/2006/relationships" r:id="rId1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1067</xdr:row>
      <xdr:rowOff>0</xdr:rowOff>
    </xdr:from>
    <xdr:to>
      <xdr:col>2</xdr:col>
      <xdr:colOff>19050</xdr:colOff>
      <xdr:row>1068</xdr:row>
      <xdr:rowOff>0</xdr:rowOff>
    </xdr:to>
    <xdr:pic>
      <xdr:nvPicPr>
        <xdr:cNvPr id="656" name="Picture 3639" descr="SL-NI-M-10m">
          <a:hlinkClick xmlns:r="http://schemas.openxmlformats.org/officeDocument/2006/relationships" r:id="rId1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1014</xdr:row>
      <xdr:rowOff>0</xdr:rowOff>
    </xdr:from>
    <xdr:to>
      <xdr:col>2</xdr:col>
      <xdr:colOff>19050</xdr:colOff>
      <xdr:row>1015</xdr:row>
      <xdr:rowOff>0</xdr:rowOff>
    </xdr:to>
    <xdr:pic>
      <xdr:nvPicPr>
        <xdr:cNvPr id="657" name="Picture 3640" descr="SL-K-Mm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1015</xdr:row>
      <xdr:rowOff>0</xdr:rowOff>
    </xdr:from>
    <xdr:to>
      <xdr:col>2</xdr:col>
      <xdr:colOff>19050</xdr:colOff>
      <xdr:row>1016</xdr:row>
      <xdr:rowOff>0</xdr:rowOff>
    </xdr:to>
    <xdr:pic>
      <xdr:nvPicPr>
        <xdr:cNvPr id="658" name="Picture 3641" descr="SL-K-Mm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1013</xdr:row>
      <xdr:rowOff>0</xdr:rowOff>
    </xdr:from>
    <xdr:to>
      <xdr:col>2</xdr:col>
      <xdr:colOff>19050</xdr:colOff>
      <xdr:row>1014</xdr:row>
      <xdr:rowOff>0</xdr:rowOff>
    </xdr:to>
    <xdr:pic>
      <xdr:nvPicPr>
        <xdr:cNvPr id="659" name="Picture 3642" descr="SL-K-Mm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1018</xdr:row>
      <xdr:rowOff>0</xdr:rowOff>
    </xdr:from>
    <xdr:to>
      <xdr:col>2</xdr:col>
      <xdr:colOff>19050</xdr:colOff>
      <xdr:row>1019</xdr:row>
      <xdr:rowOff>0</xdr:rowOff>
    </xdr:to>
    <xdr:pic>
      <xdr:nvPicPr>
        <xdr:cNvPr id="660" name="Picture 3643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1019</xdr:row>
      <xdr:rowOff>0</xdr:rowOff>
    </xdr:from>
    <xdr:to>
      <xdr:col>2</xdr:col>
      <xdr:colOff>19050</xdr:colOff>
      <xdr:row>1020</xdr:row>
      <xdr:rowOff>0</xdr:rowOff>
    </xdr:to>
    <xdr:pic>
      <xdr:nvPicPr>
        <xdr:cNvPr id="661" name="Picture 3644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1068</xdr:row>
      <xdr:rowOff>0</xdr:rowOff>
    </xdr:from>
    <xdr:to>
      <xdr:col>2</xdr:col>
      <xdr:colOff>19050</xdr:colOff>
      <xdr:row>1069</xdr:row>
      <xdr:rowOff>0</xdr:rowOff>
    </xdr:to>
    <xdr:pic>
      <xdr:nvPicPr>
        <xdr:cNvPr id="662" name="Picture 3645" descr="SL-Wm">
          <a:hlinkClick xmlns:r="http://schemas.openxmlformats.org/officeDocument/2006/relationships" r:id="rId1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1021</xdr:row>
      <xdr:rowOff>0</xdr:rowOff>
    </xdr:from>
    <xdr:to>
      <xdr:col>2</xdr:col>
      <xdr:colOff>19050</xdr:colOff>
      <xdr:row>1022</xdr:row>
      <xdr:rowOff>0</xdr:rowOff>
    </xdr:to>
    <xdr:pic>
      <xdr:nvPicPr>
        <xdr:cNvPr id="663" name="Picture 3646" descr="SL-Mm">
          <a:hlinkClick xmlns:r="http://schemas.openxmlformats.org/officeDocument/2006/relationships" r:id="rId1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664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195</xdr:row>
      <xdr:rowOff>0</xdr:rowOff>
    </xdr:from>
    <xdr:to>
      <xdr:col>2</xdr:col>
      <xdr:colOff>19050</xdr:colOff>
      <xdr:row>195</xdr:row>
      <xdr:rowOff>0</xdr:rowOff>
    </xdr:to>
    <xdr:pic>
      <xdr:nvPicPr>
        <xdr:cNvPr id="665" name="Picture 3648" descr="14-1583m">
          <a:hlinkClick xmlns:r="http://schemas.openxmlformats.org/officeDocument/2006/relationships" r:id="rId1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405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527</xdr:row>
      <xdr:rowOff>0</xdr:rowOff>
    </xdr:from>
    <xdr:to>
      <xdr:col>2</xdr:col>
      <xdr:colOff>19050</xdr:colOff>
      <xdr:row>528</xdr:row>
      <xdr:rowOff>0</xdr:rowOff>
    </xdr:to>
    <xdr:pic>
      <xdr:nvPicPr>
        <xdr:cNvPr id="666" name="Picture 3649" descr="14-1583m">
          <a:hlinkClick xmlns:r="http://schemas.openxmlformats.org/officeDocument/2006/relationships" r:id="rId1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317</xdr:row>
      <xdr:rowOff>0</xdr:rowOff>
    </xdr:from>
    <xdr:to>
      <xdr:col>2</xdr:col>
      <xdr:colOff>19050</xdr:colOff>
      <xdr:row>318</xdr:row>
      <xdr:rowOff>0</xdr:rowOff>
    </xdr:to>
    <xdr:pic>
      <xdr:nvPicPr>
        <xdr:cNvPr id="667" name="Picture 3650" descr="14-1584m">
          <a:hlinkClick xmlns:r="http://schemas.openxmlformats.org/officeDocument/2006/relationships" r:id="rId1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1479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250</xdr:row>
      <xdr:rowOff>0</xdr:rowOff>
    </xdr:from>
    <xdr:to>
      <xdr:col>2</xdr:col>
      <xdr:colOff>19050</xdr:colOff>
      <xdr:row>251</xdr:row>
      <xdr:rowOff>0</xdr:rowOff>
    </xdr:to>
    <xdr:pic>
      <xdr:nvPicPr>
        <xdr:cNvPr id="668" name="Picture 3651" descr="28-3584m">
          <a:hlinkClick xmlns:r="http://schemas.openxmlformats.org/officeDocument/2006/relationships" r:id="rId1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87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479</xdr:row>
      <xdr:rowOff>0</xdr:rowOff>
    </xdr:from>
    <xdr:to>
      <xdr:col>2</xdr:col>
      <xdr:colOff>19050</xdr:colOff>
      <xdr:row>480</xdr:row>
      <xdr:rowOff>0</xdr:rowOff>
    </xdr:to>
    <xdr:pic>
      <xdr:nvPicPr>
        <xdr:cNvPr id="669" name="Picture 3652" descr="28-6584m">
          <a:hlinkClick xmlns:r="http://schemas.openxmlformats.org/officeDocument/2006/relationships" r:id="rId1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999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662</xdr:row>
      <xdr:rowOff>0</xdr:rowOff>
    </xdr:from>
    <xdr:to>
      <xdr:col>2</xdr:col>
      <xdr:colOff>19050</xdr:colOff>
      <xdr:row>663</xdr:row>
      <xdr:rowOff>0</xdr:rowOff>
    </xdr:to>
    <xdr:pic>
      <xdr:nvPicPr>
        <xdr:cNvPr id="670" name="Picture 3653" descr="38-3584m">
          <a:hlinkClick xmlns:r="http://schemas.openxmlformats.org/officeDocument/2006/relationships" r:id="rId1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671</xdr:row>
      <xdr:rowOff>0</xdr:rowOff>
    </xdr:from>
    <xdr:to>
      <xdr:col>2</xdr:col>
      <xdr:colOff>19050</xdr:colOff>
      <xdr:row>672</xdr:row>
      <xdr:rowOff>0</xdr:rowOff>
    </xdr:to>
    <xdr:pic>
      <xdr:nvPicPr>
        <xdr:cNvPr id="671" name="Picture 3654" descr="38-6584m">
          <a:hlinkClick xmlns:r="http://schemas.openxmlformats.org/officeDocument/2006/relationships" r:id="rId1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465</xdr:row>
      <xdr:rowOff>0</xdr:rowOff>
    </xdr:from>
    <xdr:to>
      <xdr:col>2</xdr:col>
      <xdr:colOff>19050</xdr:colOff>
      <xdr:row>466</xdr:row>
      <xdr:rowOff>0</xdr:rowOff>
    </xdr:to>
    <xdr:pic>
      <xdr:nvPicPr>
        <xdr:cNvPr id="672" name="Picture 3655" descr="28-385m">
          <a:hlinkClick xmlns:r="http://schemas.openxmlformats.org/officeDocument/2006/relationships" r:id="rId1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659</xdr:row>
      <xdr:rowOff>0</xdr:rowOff>
    </xdr:from>
    <xdr:to>
      <xdr:col>2</xdr:col>
      <xdr:colOff>19050</xdr:colOff>
      <xdr:row>660</xdr:row>
      <xdr:rowOff>0</xdr:rowOff>
    </xdr:to>
    <xdr:pic>
      <xdr:nvPicPr>
        <xdr:cNvPr id="673" name="Picture 3656" descr="38-3541m">
          <a:hlinkClick xmlns:r="http://schemas.openxmlformats.org/officeDocument/2006/relationships" r:id="rId1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210</xdr:row>
      <xdr:rowOff>0</xdr:rowOff>
    </xdr:from>
    <xdr:to>
      <xdr:col>2</xdr:col>
      <xdr:colOff>19050</xdr:colOff>
      <xdr:row>211</xdr:row>
      <xdr:rowOff>0</xdr:rowOff>
    </xdr:to>
    <xdr:pic>
      <xdr:nvPicPr>
        <xdr:cNvPr id="674" name="Picture 3657" descr="38-4541m">
          <a:hlinkClick xmlns:r="http://schemas.openxmlformats.org/officeDocument/2006/relationships" r:id="rId1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167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670</xdr:row>
      <xdr:rowOff>0</xdr:rowOff>
    </xdr:from>
    <xdr:to>
      <xdr:col>2</xdr:col>
      <xdr:colOff>19050</xdr:colOff>
      <xdr:row>671</xdr:row>
      <xdr:rowOff>0</xdr:rowOff>
    </xdr:to>
    <xdr:pic>
      <xdr:nvPicPr>
        <xdr:cNvPr id="675" name="Picture 3658" descr="38-6541m">
          <a:hlinkClick xmlns:r="http://schemas.openxmlformats.org/officeDocument/2006/relationships" r:id="rId1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483</xdr:row>
      <xdr:rowOff>0</xdr:rowOff>
    </xdr:from>
    <xdr:to>
      <xdr:col>2</xdr:col>
      <xdr:colOff>0</xdr:colOff>
      <xdr:row>484</xdr:row>
      <xdr:rowOff>0</xdr:rowOff>
    </xdr:to>
    <xdr:pic>
      <xdr:nvPicPr>
        <xdr:cNvPr id="676" name="Picture 3659" descr="14-1570m">
          <a:hlinkClick xmlns:r="http://schemas.openxmlformats.org/officeDocument/2006/relationships" r:id="rId1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761</xdr:row>
      <xdr:rowOff>0</xdr:rowOff>
    </xdr:from>
    <xdr:to>
      <xdr:col>2</xdr:col>
      <xdr:colOff>0</xdr:colOff>
      <xdr:row>762</xdr:row>
      <xdr:rowOff>0</xdr:rowOff>
    </xdr:to>
    <xdr:pic>
      <xdr:nvPicPr>
        <xdr:cNvPr id="677" name="Picture 3660" descr="14-1530m">
          <a:hlinkClick xmlns:r="http://schemas.openxmlformats.org/officeDocument/2006/relationships" r:id="rId1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418</xdr:row>
      <xdr:rowOff>0</xdr:rowOff>
    </xdr:to>
    <xdr:pic>
      <xdr:nvPicPr>
        <xdr:cNvPr id="678" name="Picture 3661" descr="14-1530m">
          <a:hlinkClick xmlns:r="http://schemas.openxmlformats.org/officeDocument/2006/relationships" r:id="rId1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679" name="Picture 21372" descr="14-1505-1m">
          <a:hlinkClick xmlns:r="http://schemas.openxmlformats.org/officeDocument/2006/relationships" r:id="rId1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61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680" name="Picture 21373" descr="14-1505m">
          <a:hlinkClick xmlns:r="http://schemas.openxmlformats.org/officeDocument/2006/relationships" r:id="rId1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61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622</xdr:row>
      <xdr:rowOff>0</xdr:rowOff>
    </xdr:from>
    <xdr:to>
      <xdr:col>2</xdr:col>
      <xdr:colOff>0</xdr:colOff>
      <xdr:row>623</xdr:row>
      <xdr:rowOff>0</xdr:rowOff>
    </xdr:to>
    <xdr:pic>
      <xdr:nvPicPr>
        <xdr:cNvPr id="681" name="Picture 3664" descr="14-1570m">
          <a:hlinkClick xmlns:r="http://schemas.openxmlformats.org/officeDocument/2006/relationships" r:id="rId1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85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654</xdr:row>
      <xdr:rowOff>0</xdr:rowOff>
    </xdr:to>
    <xdr:pic>
      <xdr:nvPicPr>
        <xdr:cNvPr id="682" name="Picture 3666" descr="14-5564m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3" name="Picture 3667" descr="D-1302-0108m">
          <a:hlinkClick xmlns:r="http://schemas.openxmlformats.org/officeDocument/2006/relationships" r:id="rId1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4" name="Picture 3668" descr="D-1302-01m">
          <a:hlinkClick xmlns:r="http://schemas.openxmlformats.org/officeDocument/2006/relationships" r:id="rId1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5" name="Picture 3669" descr="D-1402-01m">
          <a:hlinkClick xmlns:r="http://schemas.openxmlformats.org/officeDocument/2006/relationships" r:id="rId1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6" name="Picture 3670" descr="D-1416-01m">
          <a:hlinkClick xmlns:r="http://schemas.openxmlformats.org/officeDocument/2006/relationships" r:id="rId1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7" name="Picture 3671" descr="D-1421-01m">
          <a:hlinkClick xmlns:r="http://schemas.openxmlformats.org/officeDocument/2006/relationships" r:id="rId1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8" name="Picture 3672" descr="D-1424-01m">
          <a:hlinkClick xmlns:r="http://schemas.openxmlformats.org/officeDocument/2006/relationships" r:id="rId1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89" name="Picture 3673" descr="D-1424-02m">
          <a:hlinkClick xmlns:r="http://schemas.openxmlformats.org/officeDocument/2006/relationships" r:id="rId1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0" name="Picture 3674" descr="D-291-01m">
          <a:hlinkClick xmlns:r="http://schemas.openxmlformats.org/officeDocument/2006/relationships" r:id="rId1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1" name="Picture 3675" descr="D-415-02m">
          <a:hlinkClick xmlns:r="http://schemas.openxmlformats.org/officeDocument/2006/relationships" r:id="rId1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2" name="Picture 3676" descr="D-415-05m">
          <a:hlinkClick xmlns:r="http://schemas.openxmlformats.org/officeDocument/2006/relationships" r:id="rId1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3" name="Picture 3677" descr="D-415-09m">
          <a:hlinkClick xmlns:r="http://schemas.openxmlformats.org/officeDocument/2006/relationships" r:id="rId1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4" name="Picture 3678" descr="D-415-30m">
          <a:hlinkClick xmlns:r="http://schemas.openxmlformats.org/officeDocument/2006/relationships" r:id="rId1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5" name="Picture 3679" descr="D-415-39m">
          <a:hlinkClick xmlns:r="http://schemas.openxmlformats.org/officeDocument/2006/relationships" r:id="rId1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6" name="Picture 3680" descr="D-462-01m">
          <a:hlinkClick xmlns:r="http://schemas.openxmlformats.org/officeDocument/2006/relationships" r:id="rId1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7" name="Picture 3681" descr="D-520-01m">
          <a:hlinkClick xmlns:r="http://schemas.openxmlformats.org/officeDocument/2006/relationships" r:id="rId1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8" name="Picture 3682" descr="D-520-02m">
          <a:hlinkClick xmlns:r="http://schemas.openxmlformats.org/officeDocument/2006/relationships" r:id="rId1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699" name="Picture 3683" descr="D-563-02m">
          <a:hlinkClick xmlns:r="http://schemas.openxmlformats.org/officeDocument/2006/relationships" r:id="rId1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00" name="Picture 3684" descr="D-563-09m">
          <a:hlinkClick xmlns:r="http://schemas.openxmlformats.org/officeDocument/2006/relationships" r:id="rId1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01" name="Picture 3685" descr="D-592-01m">
          <a:hlinkClick xmlns:r="http://schemas.openxmlformats.org/officeDocument/2006/relationships" r:id="rId1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294</xdr:row>
      <xdr:rowOff>0</xdr:rowOff>
    </xdr:from>
    <xdr:to>
      <xdr:col>2</xdr:col>
      <xdr:colOff>19050</xdr:colOff>
      <xdr:row>295</xdr:row>
      <xdr:rowOff>0</xdr:rowOff>
    </xdr:to>
    <xdr:pic>
      <xdr:nvPicPr>
        <xdr:cNvPr id="702" name="Picture 3686" descr="14-1504m">
          <a:hlinkClick xmlns:r="http://schemas.openxmlformats.org/officeDocument/2006/relationships" r:id="rId1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318</xdr:row>
      <xdr:rowOff>0</xdr:rowOff>
    </xdr:from>
    <xdr:to>
      <xdr:col>2</xdr:col>
      <xdr:colOff>19050</xdr:colOff>
      <xdr:row>319</xdr:row>
      <xdr:rowOff>0</xdr:rowOff>
    </xdr:to>
    <xdr:pic>
      <xdr:nvPicPr>
        <xdr:cNvPr id="703" name="Picture 3687" descr="14-1585m">
          <a:hlinkClick xmlns:r="http://schemas.openxmlformats.org/officeDocument/2006/relationships" r:id="rId1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247</xdr:row>
      <xdr:rowOff>0</xdr:rowOff>
    </xdr:to>
    <xdr:pic>
      <xdr:nvPicPr>
        <xdr:cNvPr id="704" name="Picture 3688" descr="14-5504m">
          <a:hlinkClick xmlns:r="http://schemas.openxmlformats.org/officeDocument/2006/relationships" r:id="rId1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400</xdr:row>
      <xdr:rowOff>0</xdr:rowOff>
    </xdr:from>
    <xdr:to>
      <xdr:col>2</xdr:col>
      <xdr:colOff>19050</xdr:colOff>
      <xdr:row>401</xdr:row>
      <xdr:rowOff>0</xdr:rowOff>
    </xdr:to>
    <xdr:pic>
      <xdr:nvPicPr>
        <xdr:cNvPr id="705" name="Picture 3689" descr="14-7512m">
          <a:hlinkClick xmlns:r="http://schemas.openxmlformats.org/officeDocument/2006/relationships" r:id="rId1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6845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444</xdr:row>
      <xdr:rowOff>0</xdr:rowOff>
    </xdr:from>
    <xdr:to>
      <xdr:col>2</xdr:col>
      <xdr:colOff>19050</xdr:colOff>
      <xdr:row>445</xdr:row>
      <xdr:rowOff>0</xdr:rowOff>
    </xdr:to>
    <xdr:pic>
      <xdr:nvPicPr>
        <xdr:cNvPr id="706" name="Picture 3690" descr="22-1512m">
          <a:hlinkClick xmlns:r="http://schemas.openxmlformats.org/officeDocument/2006/relationships" r:id="rId1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568</xdr:row>
      <xdr:rowOff>0</xdr:rowOff>
    </xdr:from>
    <xdr:to>
      <xdr:col>2</xdr:col>
      <xdr:colOff>19050</xdr:colOff>
      <xdr:row>569</xdr:row>
      <xdr:rowOff>0</xdr:rowOff>
    </xdr:to>
    <xdr:pic>
      <xdr:nvPicPr>
        <xdr:cNvPr id="707" name="Picture 3691" descr="34-5512m">
          <a:hlinkClick xmlns:r="http://schemas.openxmlformats.org/officeDocument/2006/relationships" r:id="rId1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658</xdr:row>
      <xdr:rowOff>0</xdr:rowOff>
    </xdr:from>
    <xdr:to>
      <xdr:col>2</xdr:col>
      <xdr:colOff>19050</xdr:colOff>
      <xdr:row>659</xdr:row>
      <xdr:rowOff>0</xdr:rowOff>
    </xdr:to>
    <xdr:pic>
      <xdr:nvPicPr>
        <xdr:cNvPr id="708" name="Picture 3692" descr="36-9512m">
          <a:hlinkClick xmlns:r="http://schemas.openxmlformats.org/officeDocument/2006/relationships" r:id="rId1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766</xdr:row>
      <xdr:rowOff>0</xdr:rowOff>
    </xdr:from>
    <xdr:to>
      <xdr:col>2</xdr:col>
      <xdr:colOff>19050</xdr:colOff>
      <xdr:row>767</xdr:row>
      <xdr:rowOff>0</xdr:rowOff>
    </xdr:to>
    <xdr:pic>
      <xdr:nvPicPr>
        <xdr:cNvPr id="709" name="Picture 3693" descr="52-5564m">
          <a:hlinkClick xmlns:r="http://schemas.openxmlformats.org/officeDocument/2006/relationships" r:id="rId1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0" name="Picture 3694" descr="D-1201-01m">
          <a:hlinkClick xmlns:r="http://schemas.openxmlformats.org/officeDocument/2006/relationships" r:id="rId1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1" name="Picture 3695" descr="D-426-0501m">
          <a:hlinkClick xmlns:r="http://schemas.openxmlformats.org/officeDocument/2006/relationships" r:id="rId1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2" name="Picture 3696" descr="D-426-0901m">
          <a:hlinkClick xmlns:r="http://schemas.openxmlformats.org/officeDocument/2006/relationships" r:id="rId1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3" name="Picture 3697" descr="D-426-3001m">
          <a:hlinkClick xmlns:r="http://schemas.openxmlformats.org/officeDocument/2006/relationships" r:id="rId1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4" name="Picture 3698" descr="D-426-3209m">
          <a:hlinkClick xmlns:r="http://schemas.openxmlformats.org/officeDocument/2006/relationships" r:id="rId1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5" name="Picture 3699" descr="D-507-01m">
          <a:hlinkClick xmlns:r="http://schemas.openxmlformats.org/officeDocument/2006/relationships" r:id="rId1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6" name="Picture 3700" descr="D-530-01m">
          <a:hlinkClick xmlns:r="http://schemas.openxmlformats.org/officeDocument/2006/relationships" r:id="rId1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7" name="Picture 3701" descr="D-594-01m">
          <a:hlinkClick xmlns:r="http://schemas.openxmlformats.org/officeDocument/2006/relationships" r:id="rId1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8" name="Picture 3702" descr="D-822-01m">
          <a:hlinkClick xmlns:r="http://schemas.openxmlformats.org/officeDocument/2006/relationships" r:id="rId1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719" name="Picture 3703" descr="D-822-0639m">
          <a:hlinkClick xmlns:r="http://schemas.openxmlformats.org/officeDocument/2006/relationships" r:id="rId1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528</xdr:row>
      <xdr:rowOff>0</xdr:rowOff>
    </xdr:from>
    <xdr:to>
      <xdr:col>2</xdr:col>
      <xdr:colOff>19050</xdr:colOff>
      <xdr:row>529</xdr:row>
      <xdr:rowOff>0</xdr:rowOff>
    </xdr:to>
    <xdr:pic>
      <xdr:nvPicPr>
        <xdr:cNvPr id="720" name="Picture 3704" descr="14-1584m">
          <a:hlinkClick xmlns:r="http://schemas.openxmlformats.org/officeDocument/2006/relationships" r:id="rId1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620</xdr:row>
      <xdr:rowOff>0</xdr:rowOff>
    </xdr:from>
    <xdr:to>
      <xdr:col>2</xdr:col>
      <xdr:colOff>19050</xdr:colOff>
      <xdr:row>621</xdr:row>
      <xdr:rowOff>0</xdr:rowOff>
    </xdr:to>
    <xdr:pic>
      <xdr:nvPicPr>
        <xdr:cNvPr id="721" name="Picture 3705" descr="14-1584m">
          <a:hlinkClick xmlns:r="http://schemas.openxmlformats.org/officeDocument/2006/relationships" r:id="rId1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3333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722" name="Picture 3706" descr="14-1587m">
          <a:hlinkClick xmlns:r="http://schemas.openxmlformats.org/officeDocument/2006/relationships" r:id="rId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220</xdr:row>
      <xdr:rowOff>0</xdr:rowOff>
    </xdr:from>
    <xdr:to>
      <xdr:col>2</xdr:col>
      <xdr:colOff>19050</xdr:colOff>
      <xdr:row>221</xdr:row>
      <xdr:rowOff>0</xdr:rowOff>
    </xdr:to>
    <xdr:pic>
      <xdr:nvPicPr>
        <xdr:cNvPr id="723" name="Picture 3707" descr="14-1587m">
          <a:hlinkClick xmlns:r="http://schemas.openxmlformats.org/officeDocument/2006/relationships" r:id="rId1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396</xdr:row>
      <xdr:rowOff>0</xdr:rowOff>
    </xdr:from>
    <xdr:to>
      <xdr:col>2</xdr:col>
      <xdr:colOff>19050</xdr:colOff>
      <xdr:row>397</xdr:row>
      <xdr:rowOff>0</xdr:rowOff>
    </xdr:to>
    <xdr:pic>
      <xdr:nvPicPr>
        <xdr:cNvPr id="724" name="Picture 3708" descr="14-7580m">
          <a:hlinkClick xmlns:r="http://schemas.openxmlformats.org/officeDocument/2006/relationships" r:id="rId1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321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319</xdr:row>
      <xdr:rowOff>0</xdr:rowOff>
    </xdr:from>
    <xdr:to>
      <xdr:col>2</xdr:col>
      <xdr:colOff>19050</xdr:colOff>
      <xdr:row>320</xdr:row>
      <xdr:rowOff>0</xdr:rowOff>
    </xdr:to>
    <xdr:pic>
      <xdr:nvPicPr>
        <xdr:cNvPr id="725" name="Picture 3709" descr="14-1586m">
          <a:hlinkClick xmlns:r="http://schemas.openxmlformats.org/officeDocument/2006/relationships" r:id="rId1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449</xdr:row>
      <xdr:rowOff>0</xdr:rowOff>
    </xdr:from>
    <xdr:to>
      <xdr:col>2</xdr:col>
      <xdr:colOff>19050</xdr:colOff>
      <xdr:row>450</xdr:row>
      <xdr:rowOff>0</xdr:rowOff>
    </xdr:to>
    <xdr:pic>
      <xdr:nvPicPr>
        <xdr:cNvPr id="726" name="Picture 3710" descr="22-422m">
          <a:hlinkClick xmlns:r="http://schemas.openxmlformats.org/officeDocument/2006/relationships" r:id="rId1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378</xdr:row>
      <xdr:rowOff>0</xdr:rowOff>
    </xdr:from>
    <xdr:to>
      <xdr:col>2</xdr:col>
      <xdr:colOff>19050</xdr:colOff>
      <xdr:row>379</xdr:row>
      <xdr:rowOff>0</xdr:rowOff>
    </xdr:to>
    <xdr:pic>
      <xdr:nvPicPr>
        <xdr:cNvPr id="727" name="Picture 3711" descr="14-5584m">
          <a:hlinkClick xmlns:r="http://schemas.openxmlformats.org/officeDocument/2006/relationships" r:id="rId1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397</xdr:row>
      <xdr:rowOff>0</xdr:rowOff>
    </xdr:from>
    <xdr:to>
      <xdr:col>2</xdr:col>
      <xdr:colOff>19050</xdr:colOff>
      <xdr:row>398</xdr:row>
      <xdr:rowOff>0</xdr:rowOff>
    </xdr:to>
    <xdr:pic>
      <xdr:nvPicPr>
        <xdr:cNvPr id="728" name="Picture 3712" descr="14-7584m">
          <a:hlinkClick xmlns:r="http://schemas.openxmlformats.org/officeDocument/2006/relationships" r:id="rId1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321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415</xdr:row>
      <xdr:rowOff>0</xdr:rowOff>
    </xdr:from>
    <xdr:to>
      <xdr:col>2</xdr:col>
      <xdr:colOff>19050</xdr:colOff>
      <xdr:row>416</xdr:row>
      <xdr:rowOff>0</xdr:rowOff>
    </xdr:to>
    <xdr:pic>
      <xdr:nvPicPr>
        <xdr:cNvPr id="729" name="Picture 3713" descr="14-9584m">
          <a:hlinkClick xmlns:r="http://schemas.openxmlformats.org/officeDocument/2006/relationships" r:id="rId1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2941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591</xdr:row>
      <xdr:rowOff>0</xdr:rowOff>
    </xdr:from>
    <xdr:to>
      <xdr:col>2</xdr:col>
      <xdr:colOff>19050</xdr:colOff>
      <xdr:row>592</xdr:row>
      <xdr:rowOff>0</xdr:rowOff>
    </xdr:to>
    <xdr:pic>
      <xdr:nvPicPr>
        <xdr:cNvPr id="730" name="Picture 3714" descr="34-7584m">
          <a:hlinkClick xmlns:r="http://schemas.openxmlformats.org/officeDocument/2006/relationships" r:id="rId1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651</xdr:row>
      <xdr:rowOff>0</xdr:rowOff>
    </xdr:from>
    <xdr:to>
      <xdr:col>2</xdr:col>
      <xdr:colOff>19050</xdr:colOff>
      <xdr:row>652</xdr:row>
      <xdr:rowOff>0</xdr:rowOff>
    </xdr:to>
    <xdr:pic>
      <xdr:nvPicPr>
        <xdr:cNvPr id="731" name="Picture 3715" descr="36-2584m">
          <a:hlinkClick xmlns:r="http://schemas.openxmlformats.org/officeDocument/2006/relationships" r:id="rId1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8573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1277</xdr:row>
      <xdr:rowOff>0</xdr:rowOff>
    </xdr:from>
    <xdr:to>
      <xdr:col>2</xdr:col>
      <xdr:colOff>19050</xdr:colOff>
      <xdr:row>1278</xdr:row>
      <xdr:rowOff>0</xdr:rowOff>
    </xdr:to>
    <xdr:pic>
      <xdr:nvPicPr>
        <xdr:cNvPr id="732" name="Picture 3716" descr="T-TS-069m">
          <a:hlinkClick xmlns:r="http://schemas.openxmlformats.org/officeDocument/2006/relationships" r:id="rId1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3830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1274</xdr:row>
      <xdr:rowOff>0</xdr:rowOff>
    </xdr:from>
    <xdr:to>
      <xdr:col>2</xdr:col>
      <xdr:colOff>19050</xdr:colOff>
      <xdr:row>1275</xdr:row>
      <xdr:rowOff>0</xdr:rowOff>
    </xdr:to>
    <xdr:pic>
      <xdr:nvPicPr>
        <xdr:cNvPr id="733" name="Picture 3717" descr="T-TS-067m">
          <a:hlinkClick xmlns:r="http://schemas.openxmlformats.org/officeDocument/2006/relationships" r:id="rId1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2306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1275</xdr:row>
      <xdr:rowOff>0</xdr:rowOff>
    </xdr:from>
    <xdr:to>
      <xdr:col>2</xdr:col>
      <xdr:colOff>19050</xdr:colOff>
      <xdr:row>1276</xdr:row>
      <xdr:rowOff>0</xdr:rowOff>
    </xdr:to>
    <xdr:pic>
      <xdr:nvPicPr>
        <xdr:cNvPr id="734" name="Picture 3718" descr="T-TS-068m">
          <a:hlinkClick xmlns:r="http://schemas.openxmlformats.org/officeDocument/2006/relationships" r:id="rId1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3068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1276</xdr:row>
      <xdr:rowOff>0</xdr:rowOff>
    </xdr:from>
    <xdr:to>
      <xdr:col>2</xdr:col>
      <xdr:colOff>19050</xdr:colOff>
      <xdr:row>1277</xdr:row>
      <xdr:rowOff>0</xdr:rowOff>
    </xdr:to>
    <xdr:pic>
      <xdr:nvPicPr>
        <xdr:cNvPr id="735" name="Picture 3719" descr="T-TS-068-Lm">
          <a:hlinkClick xmlns:r="http://schemas.openxmlformats.org/officeDocument/2006/relationships" r:id="rId1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3830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1138</xdr:row>
      <xdr:rowOff>0</xdr:rowOff>
    </xdr:from>
    <xdr:to>
      <xdr:col>2</xdr:col>
      <xdr:colOff>19050</xdr:colOff>
      <xdr:row>1139</xdr:row>
      <xdr:rowOff>0</xdr:rowOff>
    </xdr:to>
    <xdr:pic>
      <xdr:nvPicPr>
        <xdr:cNvPr id="736" name="Picture 3720" descr="T-LS-068m">
          <a:hlinkClick xmlns:r="http://schemas.openxmlformats.org/officeDocument/2006/relationships" r:id="rId1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1920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1108</xdr:row>
      <xdr:rowOff>0</xdr:rowOff>
    </xdr:from>
    <xdr:to>
      <xdr:col>2</xdr:col>
      <xdr:colOff>19050</xdr:colOff>
      <xdr:row>1109</xdr:row>
      <xdr:rowOff>0</xdr:rowOff>
    </xdr:to>
    <xdr:pic>
      <xdr:nvPicPr>
        <xdr:cNvPr id="737" name="Picture 3721" descr="T-JH-001m">
          <a:hlinkClick xmlns:r="http://schemas.openxmlformats.org/officeDocument/2006/relationships" r:id="rId1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1112</xdr:row>
      <xdr:rowOff>0</xdr:rowOff>
    </xdr:from>
    <xdr:to>
      <xdr:col>2</xdr:col>
      <xdr:colOff>19050</xdr:colOff>
      <xdr:row>1113</xdr:row>
      <xdr:rowOff>0</xdr:rowOff>
    </xdr:to>
    <xdr:pic>
      <xdr:nvPicPr>
        <xdr:cNvPr id="738" name="Picture 3722" descr="T-JH-033m">
          <a:hlinkClick xmlns:r="http://schemas.openxmlformats.org/officeDocument/2006/relationships" r:id="rId1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1113</xdr:row>
      <xdr:rowOff>0</xdr:rowOff>
    </xdr:from>
    <xdr:to>
      <xdr:col>2</xdr:col>
      <xdr:colOff>19050</xdr:colOff>
      <xdr:row>1114</xdr:row>
      <xdr:rowOff>0</xdr:rowOff>
    </xdr:to>
    <xdr:pic>
      <xdr:nvPicPr>
        <xdr:cNvPr id="739" name="Picture 3723" descr="T-JH-033m">
          <a:hlinkClick xmlns:r="http://schemas.openxmlformats.org/officeDocument/2006/relationships" r:id="rId1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1115</xdr:row>
      <xdr:rowOff>0</xdr:rowOff>
    </xdr:from>
    <xdr:to>
      <xdr:col>2</xdr:col>
      <xdr:colOff>19050</xdr:colOff>
      <xdr:row>1116</xdr:row>
      <xdr:rowOff>0</xdr:rowOff>
    </xdr:to>
    <xdr:pic>
      <xdr:nvPicPr>
        <xdr:cNvPr id="740" name="Picture 3724" descr="T-JH-058m">
          <a:hlinkClick xmlns:r="http://schemas.openxmlformats.org/officeDocument/2006/relationships" r:id="rId1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1116</xdr:row>
      <xdr:rowOff>0</xdr:rowOff>
    </xdr:from>
    <xdr:to>
      <xdr:col>2</xdr:col>
      <xdr:colOff>19050</xdr:colOff>
      <xdr:row>1117</xdr:row>
      <xdr:rowOff>0</xdr:rowOff>
    </xdr:to>
    <xdr:pic>
      <xdr:nvPicPr>
        <xdr:cNvPr id="741" name="Picture 3725" descr="T-JH-065m">
          <a:hlinkClick xmlns:r="http://schemas.openxmlformats.org/officeDocument/2006/relationships" r:id="rId1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1117</xdr:row>
      <xdr:rowOff>0</xdr:rowOff>
    </xdr:from>
    <xdr:to>
      <xdr:col>2</xdr:col>
      <xdr:colOff>19050</xdr:colOff>
      <xdr:row>1118</xdr:row>
      <xdr:rowOff>0</xdr:rowOff>
    </xdr:to>
    <xdr:pic>
      <xdr:nvPicPr>
        <xdr:cNvPr id="742" name="Picture 3726" descr="T-JH-068m">
          <a:hlinkClick xmlns:r="http://schemas.openxmlformats.org/officeDocument/2006/relationships" r:id="rId1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1120</xdr:row>
      <xdr:rowOff>0</xdr:rowOff>
    </xdr:from>
    <xdr:to>
      <xdr:col>2</xdr:col>
      <xdr:colOff>19050</xdr:colOff>
      <xdr:row>1121</xdr:row>
      <xdr:rowOff>0</xdr:rowOff>
    </xdr:to>
    <xdr:pic>
      <xdr:nvPicPr>
        <xdr:cNvPr id="743" name="Picture 3727" descr="t-ls-001m">
          <a:hlinkClick xmlns:r="http://schemas.openxmlformats.org/officeDocument/2006/relationships" r:id="rId1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1193</xdr:row>
      <xdr:rowOff>0</xdr:rowOff>
    </xdr:from>
    <xdr:to>
      <xdr:col>2</xdr:col>
      <xdr:colOff>19050</xdr:colOff>
      <xdr:row>1194</xdr:row>
      <xdr:rowOff>0</xdr:rowOff>
    </xdr:to>
    <xdr:pic>
      <xdr:nvPicPr>
        <xdr:cNvPr id="744" name="Picture 3728" descr="t-ts-013m">
          <a:hlinkClick xmlns:r="http://schemas.openxmlformats.org/officeDocument/2006/relationships" r:id="rId1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1194</xdr:row>
      <xdr:rowOff>0</xdr:rowOff>
    </xdr:from>
    <xdr:to>
      <xdr:col>2</xdr:col>
      <xdr:colOff>19050</xdr:colOff>
      <xdr:row>1195</xdr:row>
      <xdr:rowOff>0</xdr:rowOff>
    </xdr:to>
    <xdr:pic>
      <xdr:nvPicPr>
        <xdr:cNvPr id="745" name="Picture 3729" descr="t-ts-013-bm">
          <a:hlinkClick xmlns:r="http://schemas.openxmlformats.org/officeDocument/2006/relationships" r:id="rId1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1195</xdr:row>
      <xdr:rowOff>0</xdr:rowOff>
    </xdr:from>
    <xdr:to>
      <xdr:col>2</xdr:col>
      <xdr:colOff>19050</xdr:colOff>
      <xdr:row>1196</xdr:row>
      <xdr:rowOff>0</xdr:rowOff>
    </xdr:to>
    <xdr:pic>
      <xdr:nvPicPr>
        <xdr:cNvPr id="746" name="Picture 3730" descr="t-ts-013-lm">
          <a:hlinkClick xmlns:r="http://schemas.openxmlformats.org/officeDocument/2006/relationships" r:id="rId1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1215</xdr:row>
      <xdr:rowOff>0</xdr:rowOff>
    </xdr:from>
    <xdr:to>
      <xdr:col>2</xdr:col>
      <xdr:colOff>19050</xdr:colOff>
      <xdr:row>1216</xdr:row>
      <xdr:rowOff>0</xdr:rowOff>
    </xdr:to>
    <xdr:pic>
      <xdr:nvPicPr>
        <xdr:cNvPr id="747" name="Picture 3731" descr="T-TS-034m">
          <a:hlinkClick xmlns:r="http://schemas.openxmlformats.org/officeDocument/2006/relationships" r:id="rId1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084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629</xdr:row>
      <xdr:rowOff>0</xdr:rowOff>
    </xdr:from>
    <xdr:to>
      <xdr:col>2</xdr:col>
      <xdr:colOff>0</xdr:colOff>
      <xdr:row>630</xdr:row>
      <xdr:rowOff>0</xdr:rowOff>
    </xdr:to>
    <xdr:pic>
      <xdr:nvPicPr>
        <xdr:cNvPr id="748" name="Picture 3928" descr="14-151m">
          <a:hlinkClick xmlns:r="http://schemas.openxmlformats.org/officeDocument/2006/relationships" r:id="rId1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90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267</xdr:row>
      <xdr:rowOff>0</xdr:rowOff>
    </xdr:from>
    <xdr:to>
      <xdr:col>2</xdr:col>
      <xdr:colOff>19050</xdr:colOff>
      <xdr:row>268</xdr:row>
      <xdr:rowOff>0</xdr:rowOff>
    </xdr:to>
    <xdr:pic>
      <xdr:nvPicPr>
        <xdr:cNvPr id="749" name="Picture 3733" descr="14-1581m">
          <a:hlinkClick xmlns:r="http://schemas.openxmlformats.org/officeDocument/2006/relationships" r:id="rId1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642</xdr:row>
      <xdr:rowOff>0</xdr:rowOff>
    </xdr:from>
    <xdr:to>
      <xdr:col>2</xdr:col>
      <xdr:colOff>19050</xdr:colOff>
      <xdr:row>643</xdr:row>
      <xdr:rowOff>0</xdr:rowOff>
    </xdr:to>
    <xdr:pic>
      <xdr:nvPicPr>
        <xdr:cNvPr id="750" name="Picture 3734" descr="14-1581m">
          <a:hlinkClick xmlns:r="http://schemas.openxmlformats.org/officeDocument/2006/relationships" r:id="rId1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001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624</xdr:row>
      <xdr:rowOff>0</xdr:rowOff>
    </xdr:to>
    <xdr:pic>
      <xdr:nvPicPr>
        <xdr:cNvPr id="751" name="Picture 3735" descr="14-101SGm">
          <a:hlinkClick xmlns:r="http://schemas.openxmlformats.org/officeDocument/2006/relationships" r:id="rId1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61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624</xdr:row>
      <xdr:rowOff>0</xdr:rowOff>
    </xdr:from>
    <xdr:to>
      <xdr:col>2</xdr:col>
      <xdr:colOff>0</xdr:colOff>
      <xdr:row>625</xdr:row>
      <xdr:rowOff>0</xdr:rowOff>
    </xdr:to>
    <xdr:pic>
      <xdr:nvPicPr>
        <xdr:cNvPr id="752" name="Picture 3736" descr="14-102SGm">
          <a:hlinkClick xmlns:r="http://schemas.openxmlformats.org/officeDocument/2006/relationships" r:id="rId1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38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753" name="Picture 4166" descr="14-1501m">
          <a:hlinkClick xmlns:r="http://schemas.openxmlformats.org/officeDocument/2006/relationships" r:id="rId1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90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753</xdr:row>
      <xdr:rowOff>0</xdr:rowOff>
    </xdr:from>
    <xdr:to>
      <xdr:col>2</xdr:col>
      <xdr:colOff>19050</xdr:colOff>
      <xdr:row>754</xdr:row>
      <xdr:rowOff>0</xdr:rowOff>
    </xdr:to>
    <xdr:pic>
      <xdr:nvPicPr>
        <xdr:cNvPr id="754" name="Picture 3738" descr="50-1587m">
          <a:hlinkClick xmlns:r="http://schemas.openxmlformats.org/officeDocument/2006/relationships" r:id="rId1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634</xdr:row>
      <xdr:rowOff>0</xdr:rowOff>
    </xdr:from>
    <xdr:to>
      <xdr:col>2</xdr:col>
      <xdr:colOff>0</xdr:colOff>
      <xdr:row>635</xdr:row>
      <xdr:rowOff>0</xdr:rowOff>
    </xdr:to>
    <xdr:pic>
      <xdr:nvPicPr>
        <xdr:cNvPr id="755" name="Picture 3739" descr="14-1535m">
          <a:hlinkClick xmlns:r="http://schemas.openxmlformats.org/officeDocument/2006/relationships" r:id="rId1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019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246</xdr:row>
      <xdr:rowOff>0</xdr:rowOff>
    </xdr:to>
    <xdr:pic>
      <xdr:nvPicPr>
        <xdr:cNvPr id="756" name="Picture 3740" descr="28-4576m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363</xdr:row>
      <xdr:rowOff>0</xdr:rowOff>
    </xdr:from>
    <xdr:to>
      <xdr:col>2</xdr:col>
      <xdr:colOff>0</xdr:colOff>
      <xdr:row>364</xdr:row>
      <xdr:rowOff>0</xdr:rowOff>
    </xdr:to>
    <xdr:pic>
      <xdr:nvPicPr>
        <xdr:cNvPr id="757" name="Picture 3741" descr="28-4568m">
          <a:hlinkClick xmlns:r="http://schemas.openxmlformats.org/officeDocument/2006/relationships" r:id="rId1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737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370</xdr:row>
      <xdr:rowOff>0</xdr:rowOff>
    </xdr:to>
    <xdr:pic>
      <xdr:nvPicPr>
        <xdr:cNvPr id="758" name="Picture 4164" descr="14-130m">
          <a:hlinkClick xmlns:r="http://schemas.openxmlformats.org/officeDocument/2006/relationships" r:id="rId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042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566</xdr:row>
      <xdr:rowOff>0</xdr:rowOff>
    </xdr:to>
    <xdr:pic>
      <xdr:nvPicPr>
        <xdr:cNvPr id="759" name="Picture 4164" descr="14-130m">
          <a:hlinkClick xmlns:r="http://schemas.openxmlformats.org/officeDocument/2006/relationships" r:id="rId1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316</xdr:row>
      <xdr:rowOff>0</xdr:rowOff>
    </xdr:from>
    <xdr:to>
      <xdr:col>2</xdr:col>
      <xdr:colOff>19050</xdr:colOff>
      <xdr:row>317</xdr:row>
      <xdr:rowOff>0</xdr:rowOff>
    </xdr:to>
    <xdr:pic>
      <xdr:nvPicPr>
        <xdr:cNvPr id="760" name="Picture 3744" descr="14-1556m">
          <a:hlinkClick xmlns:r="http://schemas.openxmlformats.org/officeDocument/2006/relationships" r:id="rId1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3859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526</xdr:row>
      <xdr:rowOff>0</xdr:rowOff>
    </xdr:from>
    <xdr:to>
      <xdr:col>2</xdr:col>
      <xdr:colOff>19050</xdr:colOff>
      <xdr:row>527</xdr:row>
      <xdr:rowOff>0</xdr:rowOff>
    </xdr:to>
    <xdr:pic>
      <xdr:nvPicPr>
        <xdr:cNvPr id="761" name="Picture 3745" descr="34-1556m">
          <a:hlinkClick xmlns:r="http://schemas.openxmlformats.org/officeDocument/2006/relationships" r:id="rId1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221</xdr:row>
      <xdr:rowOff>0</xdr:rowOff>
    </xdr:from>
    <xdr:to>
      <xdr:col>2</xdr:col>
      <xdr:colOff>19050</xdr:colOff>
      <xdr:row>221</xdr:row>
      <xdr:rowOff>0</xdr:rowOff>
    </xdr:to>
    <xdr:pic>
      <xdr:nvPicPr>
        <xdr:cNvPr id="762" name="Picture 3746" descr="14-1593m">
          <a:hlinkClick xmlns:r="http://schemas.openxmlformats.org/officeDocument/2006/relationships" r:id="rId1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499</xdr:row>
      <xdr:rowOff>0</xdr:rowOff>
    </xdr:from>
    <xdr:to>
      <xdr:col>2</xdr:col>
      <xdr:colOff>19050</xdr:colOff>
      <xdr:row>500</xdr:row>
      <xdr:rowOff>0</xdr:rowOff>
    </xdr:to>
    <xdr:pic>
      <xdr:nvPicPr>
        <xdr:cNvPr id="763" name="Picture 3747" descr="30-4584m">
          <a:hlinkClick xmlns:r="http://schemas.openxmlformats.org/officeDocument/2006/relationships" r:id="rId1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969</xdr:row>
      <xdr:rowOff>0</xdr:rowOff>
    </xdr:from>
    <xdr:to>
      <xdr:col>2</xdr:col>
      <xdr:colOff>0</xdr:colOff>
      <xdr:row>970</xdr:row>
      <xdr:rowOff>0</xdr:rowOff>
    </xdr:to>
    <xdr:pic>
      <xdr:nvPicPr>
        <xdr:cNvPr id="764" name="Picture 3748" descr="K-14-101m">
          <a:hlinkClick xmlns:r="http://schemas.openxmlformats.org/officeDocument/2006/relationships" r:id="rId1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96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268</xdr:row>
      <xdr:rowOff>0</xdr:rowOff>
    </xdr:from>
    <xdr:to>
      <xdr:col>2</xdr:col>
      <xdr:colOff>19050</xdr:colOff>
      <xdr:row>269</xdr:row>
      <xdr:rowOff>0</xdr:rowOff>
    </xdr:to>
    <xdr:pic>
      <xdr:nvPicPr>
        <xdr:cNvPr id="765" name="Picture 3749" descr="14-1582m">
          <a:hlinkClick xmlns:r="http://schemas.openxmlformats.org/officeDocument/2006/relationships" r:id="rId1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643</xdr:row>
      <xdr:rowOff>0</xdr:rowOff>
    </xdr:from>
    <xdr:to>
      <xdr:col>2</xdr:col>
      <xdr:colOff>19050</xdr:colOff>
      <xdr:row>643</xdr:row>
      <xdr:rowOff>0</xdr:rowOff>
    </xdr:to>
    <xdr:pic>
      <xdr:nvPicPr>
        <xdr:cNvPr id="766" name="Picture 3750" descr="14-1582m">
          <a:hlinkClick xmlns:r="http://schemas.openxmlformats.org/officeDocument/2006/relationships" r:id="rId1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763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632</xdr:row>
      <xdr:rowOff>0</xdr:rowOff>
    </xdr:from>
    <xdr:to>
      <xdr:col>2</xdr:col>
      <xdr:colOff>0</xdr:colOff>
      <xdr:row>633</xdr:row>
      <xdr:rowOff>0</xdr:rowOff>
    </xdr:to>
    <xdr:pic>
      <xdr:nvPicPr>
        <xdr:cNvPr id="767" name="Picture 3751" descr="14-1520m">
          <a:hlinkClick xmlns:r="http://schemas.openxmlformats.org/officeDocument/2006/relationships" r:id="rId1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42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616</xdr:row>
      <xdr:rowOff>0</xdr:rowOff>
    </xdr:from>
    <xdr:to>
      <xdr:col>2</xdr:col>
      <xdr:colOff>0</xdr:colOff>
      <xdr:row>617</xdr:row>
      <xdr:rowOff>0</xdr:rowOff>
    </xdr:to>
    <xdr:pic>
      <xdr:nvPicPr>
        <xdr:cNvPr id="768" name="Picture 3932" descr="14-170m">
          <a:hlinkClick xmlns:r="http://schemas.openxmlformats.org/officeDocument/2006/relationships" r:id="rId1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028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pic>
      <xdr:nvPicPr>
        <xdr:cNvPr id="769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321</xdr:row>
      <xdr:rowOff>0</xdr:rowOff>
    </xdr:to>
    <xdr:pic>
      <xdr:nvPicPr>
        <xdr:cNvPr id="770" name="Picture 3754" descr="14-1596m">
          <a:hlinkClick xmlns:r="http://schemas.openxmlformats.org/officeDocument/2006/relationships" r:id="rId1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850</xdr:row>
      <xdr:rowOff>0</xdr:rowOff>
    </xdr:from>
    <xdr:to>
      <xdr:col>2</xdr:col>
      <xdr:colOff>0</xdr:colOff>
      <xdr:row>851</xdr:row>
      <xdr:rowOff>0</xdr:rowOff>
    </xdr:to>
    <xdr:pic>
      <xdr:nvPicPr>
        <xdr:cNvPr id="771" name="Picture 3755" descr="81-1589m">
          <a:hlinkClick xmlns:r="http://schemas.openxmlformats.org/officeDocument/2006/relationships" r:id="rId1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857</xdr:row>
      <xdr:rowOff>0</xdr:rowOff>
    </xdr:from>
    <xdr:to>
      <xdr:col>2</xdr:col>
      <xdr:colOff>0</xdr:colOff>
      <xdr:row>858</xdr:row>
      <xdr:rowOff>0</xdr:rowOff>
    </xdr:to>
    <xdr:pic>
      <xdr:nvPicPr>
        <xdr:cNvPr id="772" name="Picture 3756" descr="82-2592m">
          <a:hlinkClick xmlns:r="http://schemas.openxmlformats.org/officeDocument/2006/relationships" r:id="rId1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861</xdr:row>
      <xdr:rowOff>0</xdr:rowOff>
    </xdr:from>
    <xdr:to>
      <xdr:col>2</xdr:col>
      <xdr:colOff>0</xdr:colOff>
      <xdr:row>862</xdr:row>
      <xdr:rowOff>0</xdr:rowOff>
    </xdr:to>
    <xdr:pic>
      <xdr:nvPicPr>
        <xdr:cNvPr id="773" name="Picture 3757" descr="82-9590m">
          <a:hlinkClick xmlns:r="http://schemas.openxmlformats.org/officeDocument/2006/relationships" r:id="rId1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755</xdr:row>
      <xdr:rowOff>0</xdr:rowOff>
    </xdr:from>
    <xdr:to>
      <xdr:col>2</xdr:col>
      <xdr:colOff>0</xdr:colOff>
      <xdr:row>756</xdr:row>
      <xdr:rowOff>0</xdr:rowOff>
    </xdr:to>
    <xdr:pic>
      <xdr:nvPicPr>
        <xdr:cNvPr id="774" name="Picture 3924" descr="14-123m">
          <a:hlinkClick xmlns:r="http://schemas.openxmlformats.org/officeDocument/2006/relationships" r:id="rId1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320</xdr:row>
      <xdr:rowOff>0</xdr:rowOff>
    </xdr:to>
    <xdr:pic>
      <xdr:nvPicPr>
        <xdr:cNvPr id="775" name="Picture 3759" descr="14-1594m">
          <a:hlinkClick xmlns:r="http://schemas.openxmlformats.org/officeDocument/2006/relationships" r:id="rId1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620</xdr:row>
      <xdr:rowOff>0</xdr:rowOff>
    </xdr:from>
    <xdr:to>
      <xdr:col>2</xdr:col>
      <xdr:colOff>0</xdr:colOff>
      <xdr:row>620</xdr:row>
      <xdr:rowOff>0</xdr:rowOff>
    </xdr:to>
    <xdr:pic>
      <xdr:nvPicPr>
        <xdr:cNvPr id="776" name="Picture 3760" descr="36-1595m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333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754</xdr:row>
      <xdr:rowOff>0</xdr:rowOff>
    </xdr:from>
    <xdr:to>
      <xdr:col>2</xdr:col>
      <xdr:colOff>0</xdr:colOff>
      <xdr:row>755</xdr:row>
      <xdr:rowOff>0</xdr:rowOff>
    </xdr:to>
    <xdr:pic>
      <xdr:nvPicPr>
        <xdr:cNvPr id="777" name="Picture 3761" descr="36-1595m">
          <a:hlinkClick xmlns:r="http://schemas.openxmlformats.org/officeDocument/2006/relationships" r:id="rId1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851</xdr:row>
      <xdr:rowOff>0</xdr:rowOff>
    </xdr:from>
    <xdr:to>
      <xdr:col>2</xdr:col>
      <xdr:colOff>0</xdr:colOff>
      <xdr:row>852</xdr:row>
      <xdr:rowOff>0</xdr:rowOff>
    </xdr:to>
    <xdr:pic>
      <xdr:nvPicPr>
        <xdr:cNvPr id="778" name="Picture 3762" descr="81-1590m">
          <a:hlinkClick xmlns:r="http://schemas.openxmlformats.org/officeDocument/2006/relationships" r:id="rId1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853</xdr:row>
      <xdr:rowOff>0</xdr:rowOff>
    </xdr:from>
    <xdr:to>
      <xdr:col>2</xdr:col>
      <xdr:colOff>0</xdr:colOff>
      <xdr:row>854</xdr:row>
      <xdr:rowOff>0</xdr:rowOff>
    </xdr:to>
    <xdr:pic>
      <xdr:nvPicPr>
        <xdr:cNvPr id="779" name="Picture 3763" descr="81-5588m">
          <a:hlinkClick xmlns:r="http://schemas.openxmlformats.org/officeDocument/2006/relationships" r:id="rId1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854</xdr:row>
      <xdr:rowOff>0</xdr:rowOff>
    </xdr:from>
    <xdr:to>
      <xdr:col>2</xdr:col>
      <xdr:colOff>0</xdr:colOff>
      <xdr:row>855</xdr:row>
      <xdr:rowOff>0</xdr:rowOff>
    </xdr:to>
    <xdr:pic>
      <xdr:nvPicPr>
        <xdr:cNvPr id="780" name="Picture 3764" descr="81-5590m">
          <a:hlinkClick xmlns:r="http://schemas.openxmlformats.org/officeDocument/2006/relationships" r:id="rId1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781" name="Picture 3766" descr="14-6539m">
          <a:hlinkClick xmlns:r="http://schemas.openxmlformats.org/officeDocument/2006/relationships" r:id="rId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782" name="Picture 3767" descr="14-6539m">
          <a:hlinkClick xmlns:r="http://schemas.openxmlformats.org/officeDocument/2006/relationships" r:id="rId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644</xdr:row>
      <xdr:rowOff>0</xdr:rowOff>
    </xdr:from>
    <xdr:to>
      <xdr:col>2</xdr:col>
      <xdr:colOff>19050</xdr:colOff>
      <xdr:row>645</xdr:row>
      <xdr:rowOff>0</xdr:rowOff>
    </xdr:to>
    <xdr:pic>
      <xdr:nvPicPr>
        <xdr:cNvPr id="783" name="Picture 3768" descr="14-1587m">
          <a:hlinkClick xmlns:r="http://schemas.openxmlformats.org/officeDocument/2006/relationships" r:id="rId1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5525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625</xdr:row>
      <xdr:rowOff>0</xdr:rowOff>
    </xdr:to>
    <xdr:pic>
      <xdr:nvPicPr>
        <xdr:cNvPr id="784" name="Picture 3920" descr="14-119m">
          <a:hlinkClick xmlns:r="http://schemas.openxmlformats.org/officeDocument/2006/relationships" r:id="rId1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14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502</xdr:row>
      <xdr:rowOff>0</xdr:rowOff>
    </xdr:from>
    <xdr:to>
      <xdr:col>2</xdr:col>
      <xdr:colOff>0</xdr:colOff>
      <xdr:row>503</xdr:row>
      <xdr:rowOff>0</xdr:rowOff>
    </xdr:to>
    <xdr:pic>
      <xdr:nvPicPr>
        <xdr:cNvPr id="785" name="Picture 3920" descr="14-119m">
          <a:hlinkClick xmlns:r="http://schemas.openxmlformats.org/officeDocument/2006/relationships" r:id="rId1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852</xdr:row>
      <xdr:rowOff>0</xdr:rowOff>
    </xdr:from>
    <xdr:to>
      <xdr:col>2</xdr:col>
      <xdr:colOff>0</xdr:colOff>
      <xdr:row>853</xdr:row>
      <xdr:rowOff>0</xdr:rowOff>
    </xdr:to>
    <xdr:pic>
      <xdr:nvPicPr>
        <xdr:cNvPr id="786" name="Picture 3771" descr="81-1591m">
          <a:hlinkClick xmlns:r="http://schemas.openxmlformats.org/officeDocument/2006/relationships" r:id="rId1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337</xdr:row>
      <xdr:rowOff>0</xdr:rowOff>
    </xdr:from>
    <xdr:to>
      <xdr:col>2</xdr:col>
      <xdr:colOff>0</xdr:colOff>
      <xdr:row>338</xdr:row>
      <xdr:rowOff>0</xdr:rowOff>
    </xdr:to>
    <xdr:pic>
      <xdr:nvPicPr>
        <xdr:cNvPr id="787" name="Picture 3772" descr="14-217m">
          <a:hlinkClick xmlns:r="http://schemas.openxmlformats.org/officeDocument/2006/relationships" r:id="rId1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788" name="Picture 3773" descr="14-2531m">
          <a:hlinkClick xmlns:r="http://schemas.openxmlformats.org/officeDocument/2006/relationships" r:id="rId1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558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540</xdr:row>
      <xdr:rowOff>0</xdr:rowOff>
    </xdr:to>
    <xdr:pic>
      <xdr:nvPicPr>
        <xdr:cNvPr id="789" name="Picture 3774" descr="34-2531m">
          <a:hlinkClick xmlns:r="http://schemas.openxmlformats.org/officeDocument/2006/relationships" r:id="rId1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1139</xdr:row>
      <xdr:rowOff>0</xdr:rowOff>
    </xdr:from>
    <xdr:to>
      <xdr:col>2</xdr:col>
      <xdr:colOff>0</xdr:colOff>
      <xdr:row>1140</xdr:row>
      <xdr:rowOff>0</xdr:rowOff>
    </xdr:to>
    <xdr:pic>
      <xdr:nvPicPr>
        <xdr:cNvPr id="790" name="Picture 3775" descr="T-LS-070m">
          <a:hlinkClick xmlns:r="http://schemas.openxmlformats.org/officeDocument/2006/relationships" r:id="rId1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268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1278</xdr:row>
      <xdr:rowOff>0</xdr:rowOff>
    </xdr:from>
    <xdr:to>
      <xdr:col>2</xdr:col>
      <xdr:colOff>0</xdr:colOff>
      <xdr:row>1279</xdr:row>
      <xdr:rowOff>0</xdr:rowOff>
    </xdr:to>
    <xdr:pic>
      <xdr:nvPicPr>
        <xdr:cNvPr id="791" name="Picture 3776" descr="T-TS-070m">
          <a:hlinkClick xmlns:r="http://schemas.openxmlformats.org/officeDocument/2006/relationships" r:id="rId1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459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970</xdr:row>
      <xdr:rowOff>0</xdr:rowOff>
    </xdr:from>
    <xdr:to>
      <xdr:col>2</xdr:col>
      <xdr:colOff>0</xdr:colOff>
      <xdr:row>971</xdr:row>
      <xdr:rowOff>0</xdr:rowOff>
    </xdr:to>
    <xdr:pic>
      <xdr:nvPicPr>
        <xdr:cNvPr id="792" name="Picture 3777" descr="K-14-102m">
          <a:hlinkClick xmlns:r="http://schemas.openxmlformats.org/officeDocument/2006/relationships" r:id="rId1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72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321</xdr:row>
      <xdr:rowOff>0</xdr:rowOff>
    </xdr:from>
    <xdr:to>
      <xdr:col>2</xdr:col>
      <xdr:colOff>0</xdr:colOff>
      <xdr:row>322</xdr:row>
      <xdr:rowOff>0</xdr:rowOff>
    </xdr:to>
    <xdr:pic>
      <xdr:nvPicPr>
        <xdr:cNvPr id="793" name="Picture 3778" descr="14-1598m">
          <a:hlinkClick xmlns:r="http://schemas.openxmlformats.org/officeDocument/2006/relationships" r:id="rId1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660</xdr:row>
      <xdr:rowOff>0</xdr:rowOff>
    </xdr:from>
    <xdr:to>
      <xdr:col>2</xdr:col>
      <xdr:colOff>0</xdr:colOff>
      <xdr:row>661</xdr:row>
      <xdr:rowOff>0</xdr:rowOff>
    </xdr:to>
    <xdr:pic>
      <xdr:nvPicPr>
        <xdr:cNvPr id="794" name="Picture 3779" descr="38-357m">
          <a:hlinkClick xmlns:r="http://schemas.openxmlformats.org/officeDocument/2006/relationships" r:id="rId1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1017</xdr:row>
      <xdr:rowOff>0</xdr:rowOff>
    </xdr:from>
    <xdr:to>
      <xdr:col>2</xdr:col>
      <xdr:colOff>19050</xdr:colOff>
      <xdr:row>1018</xdr:row>
      <xdr:rowOff>0</xdr:rowOff>
    </xdr:to>
    <xdr:pic>
      <xdr:nvPicPr>
        <xdr:cNvPr id="795" name="Picture 3780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423</xdr:row>
      <xdr:rowOff>0</xdr:rowOff>
    </xdr:from>
    <xdr:to>
      <xdr:col>2</xdr:col>
      <xdr:colOff>19050</xdr:colOff>
      <xdr:row>424</xdr:row>
      <xdr:rowOff>0</xdr:rowOff>
    </xdr:to>
    <xdr:pic>
      <xdr:nvPicPr>
        <xdr:cNvPr id="796" name="Picture 3781" descr="14-1587m">
          <a:hlinkClick xmlns:r="http://schemas.openxmlformats.org/officeDocument/2006/relationships" r:id="rId1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364</xdr:row>
      <xdr:rowOff>0</xdr:rowOff>
    </xdr:from>
    <xdr:to>
      <xdr:col>2</xdr:col>
      <xdr:colOff>0</xdr:colOff>
      <xdr:row>365</xdr:row>
      <xdr:rowOff>0</xdr:rowOff>
    </xdr:to>
    <xdr:pic>
      <xdr:nvPicPr>
        <xdr:cNvPr id="797" name="Picture 3782" descr="14-4597m">
          <a:hlinkClick xmlns:r="http://schemas.openxmlformats.org/officeDocument/2006/relationships" r:id="rId1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8139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379</xdr:row>
      <xdr:rowOff>0</xdr:rowOff>
    </xdr:from>
    <xdr:to>
      <xdr:col>2</xdr:col>
      <xdr:colOff>0</xdr:colOff>
      <xdr:row>380</xdr:row>
      <xdr:rowOff>0</xdr:rowOff>
    </xdr:to>
    <xdr:pic>
      <xdr:nvPicPr>
        <xdr:cNvPr id="798" name="Picture 3783" descr="14-5597m">
          <a:hlinkClick xmlns:r="http://schemas.openxmlformats.org/officeDocument/2006/relationships" r:id="rId1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576</xdr:row>
      <xdr:rowOff>0</xdr:rowOff>
    </xdr:from>
    <xdr:to>
      <xdr:col>2</xdr:col>
      <xdr:colOff>0</xdr:colOff>
      <xdr:row>577</xdr:row>
      <xdr:rowOff>0</xdr:rowOff>
    </xdr:to>
    <xdr:pic>
      <xdr:nvPicPr>
        <xdr:cNvPr id="799" name="Picture 3784" descr="34-5597m">
          <a:hlinkClick xmlns:r="http://schemas.openxmlformats.org/officeDocument/2006/relationships" r:id="rId1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0" name="Picture 3785" descr="D-1116-01m">
          <a:hlinkClick xmlns:r="http://schemas.openxmlformats.org/officeDocument/2006/relationships" r:id="rId1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1" name="Picture 3786" descr="D-1418-02m">
          <a:hlinkClick xmlns:r="http://schemas.openxmlformats.org/officeDocument/2006/relationships" r:id="rId13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2" name="Picture 3787" descr="D-1418-0401m">
          <a:hlinkClick xmlns:r="http://schemas.openxmlformats.org/officeDocument/2006/relationships" r:id="rId1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3" name="Picture 3788" descr="D-1418-0901m">
          <a:hlinkClick xmlns:r="http://schemas.openxmlformats.org/officeDocument/2006/relationships" r:id="rId1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4" name="Picture 3789" descr="D-1418-3001m">
          <a:hlinkClick xmlns:r="http://schemas.openxmlformats.org/officeDocument/2006/relationships" r:id="rId1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5" name="Picture 3790" descr="D-1433-01m">
          <a:hlinkClick xmlns:r="http://schemas.openxmlformats.org/officeDocument/2006/relationships" r:id="rId1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6" name="Picture 3791" descr="D-1439-01m">
          <a:hlinkClick xmlns:r="http://schemas.openxmlformats.org/officeDocument/2006/relationships" r:id="rId1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7" name="Picture 3792" descr="D-1442-01m">
          <a:hlinkClick xmlns:r="http://schemas.openxmlformats.org/officeDocument/2006/relationships" r:id="rId1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8" name="Picture 3793" descr="D-1444-01m">
          <a:hlinkClick xmlns:r="http://schemas.openxmlformats.org/officeDocument/2006/relationships" r:id="rId1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09" name="Picture 3794" descr="D-1445-37m">
          <a:hlinkClick xmlns:r="http://schemas.openxmlformats.org/officeDocument/2006/relationships" r:id="rId1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10" name="Picture 3795" descr="D-1447-01m">
          <a:hlinkClick xmlns:r="http://schemas.openxmlformats.org/officeDocument/2006/relationships" r:id="rId1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11" name="Picture 3796" descr="D-1447-19m">
          <a:hlinkClick xmlns:r="http://schemas.openxmlformats.org/officeDocument/2006/relationships" r:id="rId1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12" name="Picture 3797" descr="D-546-01m">
          <a:hlinkClick xmlns:r="http://schemas.openxmlformats.org/officeDocument/2006/relationships" r:id="rId1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13" name="Picture 3798" descr="D-557-01m">
          <a:hlinkClick xmlns:r="http://schemas.openxmlformats.org/officeDocument/2006/relationships" r:id="rId1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14" name="Picture 3799" descr="D-580-02m">
          <a:hlinkClick xmlns:r="http://schemas.openxmlformats.org/officeDocument/2006/relationships" r:id="rId1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815" name="Picture 3800" descr="D-585-01m">
          <a:hlinkClick xmlns:r="http://schemas.openxmlformats.org/officeDocument/2006/relationships" r:id="rId1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1118</xdr:row>
      <xdr:rowOff>0</xdr:rowOff>
    </xdr:from>
    <xdr:to>
      <xdr:col>2</xdr:col>
      <xdr:colOff>0</xdr:colOff>
      <xdr:row>1119</xdr:row>
      <xdr:rowOff>0</xdr:rowOff>
    </xdr:to>
    <xdr:pic>
      <xdr:nvPicPr>
        <xdr:cNvPr id="816" name="Picture 3801" descr="T-JHWS-023m">
          <a:hlinkClick xmlns:r="http://schemas.openxmlformats.org/officeDocument/2006/relationships" r:id="rId1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1119</xdr:row>
      <xdr:rowOff>0</xdr:rowOff>
    </xdr:from>
    <xdr:to>
      <xdr:col>2</xdr:col>
      <xdr:colOff>0</xdr:colOff>
      <xdr:row>1120</xdr:row>
      <xdr:rowOff>0</xdr:rowOff>
    </xdr:to>
    <xdr:pic>
      <xdr:nvPicPr>
        <xdr:cNvPr id="817" name="Picture 3802" descr="T-JHWS-037m">
          <a:hlinkClick xmlns:r="http://schemas.openxmlformats.org/officeDocument/2006/relationships" r:id="rId1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1204</xdr:row>
      <xdr:rowOff>0</xdr:rowOff>
    </xdr:from>
    <xdr:to>
      <xdr:col>2</xdr:col>
      <xdr:colOff>0</xdr:colOff>
      <xdr:row>1205</xdr:row>
      <xdr:rowOff>0</xdr:rowOff>
    </xdr:to>
    <xdr:pic>
      <xdr:nvPicPr>
        <xdr:cNvPr id="818" name="Picture 3803" descr="T-TS-022m">
          <a:hlinkClick xmlns:r="http://schemas.openxmlformats.org/officeDocument/2006/relationships" r:id="rId1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63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1192</xdr:row>
      <xdr:rowOff>0</xdr:rowOff>
    </xdr:from>
    <xdr:to>
      <xdr:col>2</xdr:col>
      <xdr:colOff>0</xdr:colOff>
      <xdr:row>1193</xdr:row>
      <xdr:rowOff>0</xdr:rowOff>
    </xdr:to>
    <xdr:pic>
      <xdr:nvPicPr>
        <xdr:cNvPr id="819" name="Picture 3804" descr="t-011m">
          <a:hlinkClick xmlns:r="http://schemas.openxmlformats.org/officeDocument/2006/relationships" r:id="rId1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87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1109</xdr:row>
      <xdr:rowOff>0</xdr:rowOff>
    </xdr:from>
    <xdr:to>
      <xdr:col>2</xdr:col>
      <xdr:colOff>0</xdr:colOff>
      <xdr:row>1110</xdr:row>
      <xdr:rowOff>0</xdr:rowOff>
    </xdr:to>
    <xdr:pic>
      <xdr:nvPicPr>
        <xdr:cNvPr id="820" name="Picture 3805" descr="t-011m">
          <a:hlinkClick xmlns:r="http://schemas.openxmlformats.org/officeDocument/2006/relationships" r:id="rId1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323</xdr:row>
      <xdr:rowOff>0</xdr:rowOff>
    </xdr:from>
    <xdr:to>
      <xdr:col>2</xdr:col>
      <xdr:colOff>0</xdr:colOff>
      <xdr:row>324</xdr:row>
      <xdr:rowOff>0</xdr:rowOff>
    </xdr:to>
    <xdr:pic>
      <xdr:nvPicPr>
        <xdr:cNvPr id="821" name="Picture 3806" descr="14-1600m">
          <a:hlinkClick xmlns:r="http://schemas.openxmlformats.org/officeDocument/2006/relationships" r:id="rId1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822" name="Picture 3807" descr="14-1601m">
          <a:hlinkClick xmlns:r="http://schemas.openxmlformats.org/officeDocument/2006/relationships" r:id="rId1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325</xdr:row>
      <xdr:rowOff>0</xdr:rowOff>
    </xdr:to>
    <xdr:pic>
      <xdr:nvPicPr>
        <xdr:cNvPr id="823" name="Picture 3808" descr="14-1602m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824" name="Picture 3809" descr="14-1603m">
          <a:hlinkClick xmlns:r="http://schemas.openxmlformats.org/officeDocument/2006/relationships" r:id="rId1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329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825" name="Picture 3810" descr="14-3580m">
          <a:hlinkClick xmlns:r="http://schemas.openxmlformats.org/officeDocument/2006/relationships" r:id="rId1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006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678</xdr:row>
      <xdr:rowOff>0</xdr:rowOff>
    </xdr:from>
    <xdr:to>
      <xdr:col>2</xdr:col>
      <xdr:colOff>0</xdr:colOff>
      <xdr:row>679</xdr:row>
      <xdr:rowOff>0</xdr:rowOff>
    </xdr:to>
    <xdr:pic>
      <xdr:nvPicPr>
        <xdr:cNvPr id="826" name="Picture 3811" descr="41-3580m">
          <a:hlinkClick xmlns:r="http://schemas.openxmlformats.org/officeDocument/2006/relationships" r:id="rId1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1124</xdr:row>
      <xdr:rowOff>0</xdr:rowOff>
    </xdr:from>
    <xdr:to>
      <xdr:col>2</xdr:col>
      <xdr:colOff>0</xdr:colOff>
      <xdr:row>1125</xdr:row>
      <xdr:rowOff>0</xdr:rowOff>
    </xdr:to>
    <xdr:pic>
      <xdr:nvPicPr>
        <xdr:cNvPr id="827" name="Picture 3812" descr="t-011m">
          <a:hlinkClick xmlns:r="http://schemas.openxmlformats.org/officeDocument/2006/relationships" r:id="rId1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430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589</xdr:row>
      <xdr:rowOff>0</xdr:rowOff>
    </xdr:from>
    <xdr:to>
      <xdr:col>2</xdr:col>
      <xdr:colOff>0</xdr:colOff>
      <xdr:row>590</xdr:row>
      <xdr:rowOff>0</xdr:rowOff>
    </xdr:to>
    <xdr:pic>
      <xdr:nvPicPr>
        <xdr:cNvPr id="828" name="Picture 3813" descr="34-7539m">
          <a:hlinkClick xmlns:r="http://schemas.openxmlformats.org/officeDocument/2006/relationships" r:id="rId1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635</xdr:row>
      <xdr:rowOff>0</xdr:rowOff>
    </xdr:from>
    <xdr:to>
      <xdr:col>2</xdr:col>
      <xdr:colOff>0</xdr:colOff>
      <xdr:row>636</xdr:row>
      <xdr:rowOff>0</xdr:rowOff>
    </xdr:to>
    <xdr:pic>
      <xdr:nvPicPr>
        <xdr:cNvPr id="829" name="Picture 3814" descr="36-1539m">
          <a:hlinkClick xmlns:r="http://schemas.openxmlformats.org/officeDocument/2006/relationships" r:id="rId1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019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pic>
      <xdr:nvPicPr>
        <xdr:cNvPr id="830" name="Picture 3815" descr="14-1599m">
          <a:hlinkClick xmlns:r="http://schemas.openxmlformats.org/officeDocument/2006/relationships" r:id="rId1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831" name="Picture 3816" descr="14-1599m">
          <a:hlinkClick xmlns:r="http://schemas.openxmlformats.org/officeDocument/2006/relationships" r:id="rId1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645</xdr:row>
      <xdr:rowOff>0</xdr:rowOff>
    </xdr:from>
    <xdr:to>
      <xdr:col>2</xdr:col>
      <xdr:colOff>0</xdr:colOff>
      <xdr:row>646</xdr:row>
      <xdr:rowOff>0</xdr:rowOff>
    </xdr:to>
    <xdr:pic>
      <xdr:nvPicPr>
        <xdr:cNvPr id="832" name="Picture 3817" descr="14-1599m">
          <a:hlinkClick xmlns:r="http://schemas.openxmlformats.org/officeDocument/2006/relationships" r:id="rId1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62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1279</xdr:row>
      <xdr:rowOff>0</xdr:rowOff>
    </xdr:from>
    <xdr:to>
      <xdr:col>2</xdr:col>
      <xdr:colOff>0</xdr:colOff>
      <xdr:row>1280</xdr:row>
      <xdr:rowOff>0</xdr:rowOff>
    </xdr:to>
    <xdr:pic>
      <xdr:nvPicPr>
        <xdr:cNvPr id="833" name="Picture 3818" descr="T-TS-071-Am">
          <a:hlinkClick xmlns:r="http://schemas.openxmlformats.org/officeDocument/2006/relationships" r:id="rId1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535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1280</xdr:row>
      <xdr:rowOff>0</xdr:rowOff>
    </xdr:from>
    <xdr:to>
      <xdr:col>2</xdr:col>
      <xdr:colOff>0</xdr:colOff>
      <xdr:row>1281</xdr:row>
      <xdr:rowOff>0</xdr:rowOff>
    </xdr:to>
    <xdr:pic>
      <xdr:nvPicPr>
        <xdr:cNvPr id="834" name="Picture 3819" descr="T-TS-071-Bom">
          <a:hlinkClick xmlns:r="http://schemas.openxmlformats.org/officeDocument/2006/relationships" r:id="rId1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11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1281</xdr:row>
      <xdr:rowOff>0</xdr:rowOff>
    </xdr:from>
    <xdr:to>
      <xdr:col>2</xdr:col>
      <xdr:colOff>0</xdr:colOff>
      <xdr:row>1282</xdr:row>
      <xdr:rowOff>0</xdr:rowOff>
    </xdr:to>
    <xdr:pic>
      <xdr:nvPicPr>
        <xdr:cNvPr id="835" name="Picture 3820" descr="T-TS-072m">
          <a:hlinkClick xmlns:r="http://schemas.openxmlformats.org/officeDocument/2006/relationships" r:id="rId1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87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1299</xdr:row>
      <xdr:rowOff>0</xdr:rowOff>
    </xdr:from>
    <xdr:to>
      <xdr:col>2</xdr:col>
      <xdr:colOff>0</xdr:colOff>
      <xdr:row>1300</xdr:row>
      <xdr:rowOff>0</xdr:rowOff>
    </xdr:to>
    <xdr:pic>
      <xdr:nvPicPr>
        <xdr:cNvPr id="836" name="Picture 3821" descr="T-WS-002m">
          <a:hlinkClick xmlns:r="http://schemas.openxmlformats.org/officeDocument/2006/relationships" r:id="rId1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754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1300</xdr:row>
      <xdr:rowOff>0</xdr:rowOff>
    </xdr:from>
    <xdr:to>
      <xdr:col>2</xdr:col>
      <xdr:colOff>0</xdr:colOff>
      <xdr:row>1301</xdr:row>
      <xdr:rowOff>0</xdr:rowOff>
    </xdr:to>
    <xdr:pic>
      <xdr:nvPicPr>
        <xdr:cNvPr id="837" name="Picture 3822" descr="T-WS-071m">
          <a:hlinkClick xmlns:r="http://schemas.openxmlformats.org/officeDocument/2006/relationships" r:id="rId14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830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449</xdr:row>
      <xdr:rowOff>0</xdr:rowOff>
    </xdr:to>
    <xdr:pic>
      <xdr:nvPicPr>
        <xdr:cNvPr id="838" name="Picture 3826" descr="14-1595m">
          <a:hlinkClick xmlns:r="http://schemas.openxmlformats.org/officeDocument/2006/relationships" r:id="rId1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394</xdr:row>
      <xdr:rowOff>0</xdr:rowOff>
    </xdr:to>
    <xdr:pic>
      <xdr:nvPicPr>
        <xdr:cNvPr id="839" name="Picture 3828" descr="34-7539m">
          <a:hlinkClick xmlns:r="http://schemas.openxmlformats.org/officeDocument/2006/relationships" r:id="rId1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379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345</xdr:row>
      <xdr:rowOff>0</xdr:rowOff>
    </xdr:from>
    <xdr:to>
      <xdr:col>2</xdr:col>
      <xdr:colOff>0</xdr:colOff>
      <xdr:row>346</xdr:row>
      <xdr:rowOff>0</xdr:rowOff>
    </xdr:to>
    <xdr:pic>
      <xdr:nvPicPr>
        <xdr:cNvPr id="840" name="Picture 3830" descr="14-2604m">
          <a:hlinkClick xmlns:r="http://schemas.openxmlformats.org/officeDocument/2006/relationships" r:id="rId1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1281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1065</xdr:row>
      <xdr:rowOff>0</xdr:rowOff>
    </xdr:from>
    <xdr:to>
      <xdr:col>2</xdr:col>
      <xdr:colOff>19050</xdr:colOff>
      <xdr:row>1066</xdr:row>
      <xdr:rowOff>0</xdr:rowOff>
    </xdr:to>
    <xdr:pic>
      <xdr:nvPicPr>
        <xdr:cNvPr id="841" name="Picture 3831" descr="SL-NI-M-8m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1122</xdr:row>
      <xdr:rowOff>0</xdr:rowOff>
    </xdr:from>
    <xdr:to>
      <xdr:col>2</xdr:col>
      <xdr:colOff>0</xdr:colOff>
      <xdr:row>1123</xdr:row>
      <xdr:rowOff>0</xdr:rowOff>
    </xdr:to>
    <xdr:pic>
      <xdr:nvPicPr>
        <xdr:cNvPr id="842" name="Picture 3833" descr="T-LS-004m">
          <a:hlinkClick xmlns:r="http://schemas.openxmlformats.org/officeDocument/2006/relationships" r:id="rId1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277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1123</xdr:row>
      <xdr:rowOff>0</xdr:rowOff>
    </xdr:from>
    <xdr:to>
      <xdr:col>2</xdr:col>
      <xdr:colOff>0</xdr:colOff>
      <xdr:row>1124</xdr:row>
      <xdr:rowOff>0</xdr:rowOff>
    </xdr:to>
    <xdr:pic>
      <xdr:nvPicPr>
        <xdr:cNvPr id="843" name="Picture 3835" descr="T-LS-008m">
          <a:hlinkClick xmlns:r="http://schemas.openxmlformats.org/officeDocument/2006/relationships" r:id="rId1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353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1126</xdr:row>
      <xdr:rowOff>0</xdr:rowOff>
    </xdr:from>
    <xdr:to>
      <xdr:col>2</xdr:col>
      <xdr:colOff>0</xdr:colOff>
      <xdr:row>1127</xdr:row>
      <xdr:rowOff>0</xdr:rowOff>
    </xdr:to>
    <xdr:pic>
      <xdr:nvPicPr>
        <xdr:cNvPr id="844" name="Picture 3837" descr="T-LS-022m">
          <a:hlinkClick xmlns:r="http://schemas.openxmlformats.org/officeDocument/2006/relationships" r:id="rId1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506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1127</xdr:row>
      <xdr:rowOff>0</xdr:rowOff>
    </xdr:from>
    <xdr:to>
      <xdr:col>2</xdr:col>
      <xdr:colOff>0</xdr:colOff>
      <xdr:row>1128</xdr:row>
      <xdr:rowOff>0</xdr:rowOff>
    </xdr:to>
    <xdr:pic>
      <xdr:nvPicPr>
        <xdr:cNvPr id="845" name="Picture 3839" descr="T-LS-031m">
          <a:hlinkClick xmlns:r="http://schemas.openxmlformats.org/officeDocument/2006/relationships" r:id="rId1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582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1208</xdr:row>
      <xdr:rowOff>0</xdr:rowOff>
    </xdr:from>
    <xdr:to>
      <xdr:col>2</xdr:col>
      <xdr:colOff>0</xdr:colOff>
      <xdr:row>1209</xdr:row>
      <xdr:rowOff>0</xdr:rowOff>
    </xdr:to>
    <xdr:pic>
      <xdr:nvPicPr>
        <xdr:cNvPr id="846" name="Picture 3843" descr="T-TS-027-Sm">
          <a:hlinkClick xmlns:r="http://schemas.openxmlformats.org/officeDocument/2006/relationships" r:id="rId1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716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567</xdr:row>
      <xdr:rowOff>0</xdr:rowOff>
    </xdr:from>
    <xdr:to>
      <xdr:col>2</xdr:col>
      <xdr:colOff>19050</xdr:colOff>
      <xdr:row>568</xdr:row>
      <xdr:rowOff>0</xdr:rowOff>
    </xdr:to>
    <xdr:pic>
      <xdr:nvPicPr>
        <xdr:cNvPr id="847" name="Picture 3844" descr="14-5504m">
          <a:hlinkClick xmlns:r="http://schemas.openxmlformats.org/officeDocument/2006/relationships" r:id="rId1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653</xdr:row>
      <xdr:rowOff>0</xdr:rowOff>
    </xdr:from>
    <xdr:to>
      <xdr:col>2</xdr:col>
      <xdr:colOff>19050</xdr:colOff>
      <xdr:row>654</xdr:row>
      <xdr:rowOff>0</xdr:rowOff>
    </xdr:to>
    <xdr:pic>
      <xdr:nvPicPr>
        <xdr:cNvPr id="848" name="Picture 3845" descr="14-5504m">
          <a:hlinkClick xmlns:r="http://schemas.openxmlformats.org/officeDocument/2006/relationships" r:id="rId1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1110</xdr:row>
      <xdr:rowOff>0</xdr:rowOff>
    </xdr:from>
    <xdr:to>
      <xdr:col>2</xdr:col>
      <xdr:colOff>0</xdr:colOff>
      <xdr:row>1111</xdr:row>
      <xdr:rowOff>0</xdr:rowOff>
    </xdr:to>
    <xdr:pic>
      <xdr:nvPicPr>
        <xdr:cNvPr id="849" name="Picture 3848" descr="T-JH-022-01m">
          <a:hlinkClick xmlns:r="http://schemas.openxmlformats.org/officeDocument/2006/relationships" r:id="rId1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1111</xdr:row>
      <xdr:rowOff>0</xdr:rowOff>
    </xdr:from>
    <xdr:to>
      <xdr:col>2</xdr:col>
      <xdr:colOff>0</xdr:colOff>
      <xdr:row>1112</xdr:row>
      <xdr:rowOff>0</xdr:rowOff>
    </xdr:to>
    <xdr:pic>
      <xdr:nvPicPr>
        <xdr:cNvPr id="850" name="Picture 3850" descr="T-JH-022-Lm">
          <a:hlinkClick xmlns:r="http://schemas.openxmlformats.org/officeDocument/2006/relationships" r:id="rId1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1114</xdr:row>
      <xdr:rowOff>0</xdr:rowOff>
    </xdr:from>
    <xdr:to>
      <xdr:col>2</xdr:col>
      <xdr:colOff>0</xdr:colOff>
      <xdr:row>1115</xdr:row>
      <xdr:rowOff>0</xdr:rowOff>
    </xdr:to>
    <xdr:pic>
      <xdr:nvPicPr>
        <xdr:cNvPr id="851" name="Picture 3852" descr="T-JH-038-01m">
          <a:hlinkClick xmlns:r="http://schemas.openxmlformats.org/officeDocument/2006/relationships" r:id="rId1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1160</xdr:row>
      <xdr:rowOff>0</xdr:rowOff>
    </xdr:from>
    <xdr:to>
      <xdr:col>2</xdr:col>
      <xdr:colOff>0</xdr:colOff>
      <xdr:row>1161</xdr:row>
      <xdr:rowOff>0</xdr:rowOff>
    </xdr:to>
    <xdr:pic>
      <xdr:nvPicPr>
        <xdr:cNvPr id="852" name="Picture 3854" descr="T-NLS-022m">
          <a:hlinkClick xmlns:r="http://schemas.openxmlformats.org/officeDocument/2006/relationships" r:id="rId1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77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1161</xdr:row>
      <xdr:rowOff>0</xdr:rowOff>
    </xdr:from>
    <xdr:to>
      <xdr:col>2</xdr:col>
      <xdr:colOff>0</xdr:colOff>
      <xdr:row>1162</xdr:row>
      <xdr:rowOff>0</xdr:rowOff>
    </xdr:to>
    <xdr:pic>
      <xdr:nvPicPr>
        <xdr:cNvPr id="853" name="Picture 3856" descr="T-NLS-022-Lm">
          <a:hlinkClick xmlns:r="http://schemas.openxmlformats.org/officeDocument/2006/relationships" r:id="rId1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54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1205</xdr:row>
      <xdr:rowOff>0</xdr:rowOff>
    </xdr:from>
    <xdr:to>
      <xdr:col>2</xdr:col>
      <xdr:colOff>0</xdr:colOff>
      <xdr:row>1206</xdr:row>
      <xdr:rowOff>0</xdr:rowOff>
    </xdr:to>
    <xdr:pic>
      <xdr:nvPicPr>
        <xdr:cNvPr id="854" name="Picture 3858" descr="T-TS-022-LBbm">
          <a:hlinkClick xmlns:r="http://schemas.openxmlformats.org/officeDocument/2006/relationships" r:id="rId1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39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352</xdr:row>
      <xdr:rowOff>0</xdr:rowOff>
    </xdr:from>
    <xdr:to>
      <xdr:col>2</xdr:col>
      <xdr:colOff>19050</xdr:colOff>
      <xdr:row>353</xdr:row>
      <xdr:rowOff>0</xdr:rowOff>
    </xdr:to>
    <xdr:pic>
      <xdr:nvPicPr>
        <xdr:cNvPr id="855" name="Picture 3859" descr="14-3508m">
          <a:hlinkClick xmlns:r="http://schemas.openxmlformats.org/officeDocument/2006/relationships" r:id="rId1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3298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326</xdr:row>
      <xdr:rowOff>0</xdr:rowOff>
    </xdr:to>
    <xdr:pic>
      <xdr:nvPicPr>
        <xdr:cNvPr id="856" name="Picture 3863" descr="14-1607m">
          <a:hlinkClick xmlns:r="http://schemas.openxmlformats.org/officeDocument/2006/relationships" r:id="rId1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326</xdr:row>
      <xdr:rowOff>0</xdr:rowOff>
    </xdr:from>
    <xdr:to>
      <xdr:col>2</xdr:col>
      <xdr:colOff>0</xdr:colOff>
      <xdr:row>326</xdr:row>
      <xdr:rowOff>0</xdr:rowOff>
    </xdr:to>
    <xdr:pic>
      <xdr:nvPicPr>
        <xdr:cNvPr id="857" name="Picture 3864" descr="14-1608m">
          <a:hlinkClick xmlns:r="http://schemas.openxmlformats.org/officeDocument/2006/relationships" r:id="rId1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858" name="Picture 3867" descr="14-3508m">
          <a:hlinkClick xmlns:r="http://schemas.openxmlformats.org/officeDocument/2006/relationships" r:id="rId1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93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360</xdr:row>
      <xdr:rowOff>0</xdr:rowOff>
    </xdr:to>
    <xdr:pic>
      <xdr:nvPicPr>
        <xdr:cNvPr id="859" name="Picture 3871" descr="14-418m">
          <a:hlinkClick xmlns:r="http://schemas.openxmlformats.org/officeDocument/2006/relationships" r:id="rId1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371</xdr:row>
      <xdr:rowOff>0</xdr:rowOff>
    </xdr:to>
    <xdr:pic>
      <xdr:nvPicPr>
        <xdr:cNvPr id="860" name="Picture 3873" descr="14-5508m">
          <a:hlinkClick xmlns:r="http://schemas.openxmlformats.org/officeDocument/2006/relationships" r:id="rId1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042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457</xdr:row>
      <xdr:rowOff>0</xdr:rowOff>
    </xdr:from>
    <xdr:to>
      <xdr:col>2</xdr:col>
      <xdr:colOff>0</xdr:colOff>
      <xdr:row>458</xdr:row>
      <xdr:rowOff>0</xdr:rowOff>
    </xdr:to>
    <xdr:pic>
      <xdr:nvPicPr>
        <xdr:cNvPr id="861" name="Picture 3875" descr="28-249m">
          <a:hlinkClick xmlns:r="http://schemas.openxmlformats.org/officeDocument/2006/relationships" r:id="rId14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18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563</xdr:row>
      <xdr:rowOff>0</xdr:rowOff>
    </xdr:to>
    <xdr:pic>
      <xdr:nvPicPr>
        <xdr:cNvPr id="862" name="Picture 3879" descr="34-418m">
          <a:hlinkClick xmlns:r="http://schemas.openxmlformats.org/officeDocument/2006/relationships" r:id="rId14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563</xdr:row>
      <xdr:rowOff>0</xdr:rowOff>
    </xdr:from>
    <xdr:to>
      <xdr:col>2</xdr:col>
      <xdr:colOff>0</xdr:colOff>
      <xdr:row>564</xdr:row>
      <xdr:rowOff>0</xdr:rowOff>
    </xdr:to>
    <xdr:pic>
      <xdr:nvPicPr>
        <xdr:cNvPr id="863" name="Picture 3881" descr="34-4524m">
          <a:hlinkClick xmlns:r="http://schemas.openxmlformats.org/officeDocument/2006/relationships" r:id="rId1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471</xdr:row>
      <xdr:rowOff>0</xdr:rowOff>
    </xdr:from>
    <xdr:to>
      <xdr:col>2</xdr:col>
      <xdr:colOff>0</xdr:colOff>
      <xdr:row>472</xdr:row>
      <xdr:rowOff>0</xdr:rowOff>
    </xdr:to>
    <xdr:pic>
      <xdr:nvPicPr>
        <xdr:cNvPr id="864" name="Picture 3900" descr="28-449m">
          <a:hlinkClick xmlns:r="http://schemas.openxmlformats.org/officeDocument/2006/relationships" r:id="rId15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1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584</xdr:row>
      <xdr:rowOff>0</xdr:rowOff>
    </xdr:from>
    <xdr:to>
      <xdr:col>2</xdr:col>
      <xdr:colOff>0</xdr:colOff>
      <xdr:row>585</xdr:row>
      <xdr:rowOff>0</xdr:rowOff>
    </xdr:to>
    <xdr:pic>
      <xdr:nvPicPr>
        <xdr:cNvPr id="865" name="Picture 3902" descr="34-6524m">
          <a:hlinkClick xmlns:r="http://schemas.openxmlformats.org/officeDocument/2006/relationships" r:id="rId1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588</xdr:row>
      <xdr:rowOff>0</xdr:rowOff>
    </xdr:from>
    <xdr:to>
      <xdr:col>2</xdr:col>
      <xdr:colOff>0</xdr:colOff>
      <xdr:row>589</xdr:row>
      <xdr:rowOff>0</xdr:rowOff>
    </xdr:to>
    <xdr:pic>
      <xdr:nvPicPr>
        <xdr:cNvPr id="866" name="Picture 3904" descr="34-7524m">
          <a:hlinkClick xmlns:r="http://schemas.openxmlformats.org/officeDocument/2006/relationships" r:id="rId1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666</xdr:row>
      <xdr:rowOff>0</xdr:rowOff>
    </xdr:from>
    <xdr:to>
      <xdr:col>2</xdr:col>
      <xdr:colOff>0</xdr:colOff>
      <xdr:row>667</xdr:row>
      <xdr:rowOff>0</xdr:rowOff>
    </xdr:to>
    <xdr:pic>
      <xdr:nvPicPr>
        <xdr:cNvPr id="867" name="Picture 3906" descr="38-449m">
          <a:hlinkClick xmlns:r="http://schemas.openxmlformats.org/officeDocument/2006/relationships" r:id="rId15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pic>
      <xdr:nvPicPr>
        <xdr:cNvPr id="868" name="Picture 3908" descr="14-2605m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869" name="Picture 3910" descr="11-258m">
          <a:hlinkClick xmlns:r="http://schemas.openxmlformats.org/officeDocument/2006/relationships" r:id="rId1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2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392</xdr:row>
      <xdr:rowOff>0</xdr:rowOff>
    </xdr:from>
    <xdr:to>
      <xdr:col>2</xdr:col>
      <xdr:colOff>0</xdr:colOff>
      <xdr:row>393</xdr:row>
      <xdr:rowOff>0</xdr:rowOff>
    </xdr:to>
    <xdr:pic>
      <xdr:nvPicPr>
        <xdr:cNvPr id="870" name="Picture 3912" descr="14-7506m">
          <a:hlinkClick xmlns:r="http://schemas.openxmlformats.org/officeDocument/2006/relationships" r:id="rId1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303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443</xdr:row>
      <xdr:rowOff>0</xdr:rowOff>
    </xdr:from>
    <xdr:to>
      <xdr:col>2</xdr:col>
      <xdr:colOff>0</xdr:colOff>
      <xdr:row>444</xdr:row>
      <xdr:rowOff>0</xdr:rowOff>
    </xdr:to>
    <xdr:pic>
      <xdr:nvPicPr>
        <xdr:cNvPr id="871" name="Picture 3914" descr="22-140m">
          <a:hlinkClick xmlns:r="http://schemas.openxmlformats.org/officeDocument/2006/relationships" r:id="rId1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872" name="Picture 3917" descr="14-2606m">
          <a:hlinkClick xmlns:r="http://schemas.openxmlformats.org/officeDocument/2006/relationships" r:id="rId1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76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878</xdr:row>
      <xdr:rowOff>0</xdr:rowOff>
    </xdr:from>
    <xdr:to>
      <xdr:col>2</xdr:col>
      <xdr:colOff>19050</xdr:colOff>
      <xdr:row>879</xdr:row>
      <xdr:rowOff>0</xdr:rowOff>
    </xdr:to>
    <xdr:pic>
      <xdr:nvPicPr>
        <xdr:cNvPr id="873" name="Picture 3920" descr="14-136-1m">
          <a:hlinkClick xmlns:r="http://schemas.openxmlformats.org/officeDocument/2006/relationships" r:id="rId1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pic>
      <xdr:nvPicPr>
        <xdr:cNvPr id="874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1286</xdr:row>
      <xdr:rowOff>0</xdr:rowOff>
    </xdr:from>
    <xdr:to>
      <xdr:col>2</xdr:col>
      <xdr:colOff>0</xdr:colOff>
      <xdr:row>1287</xdr:row>
      <xdr:rowOff>0</xdr:rowOff>
    </xdr:to>
    <xdr:pic>
      <xdr:nvPicPr>
        <xdr:cNvPr id="875" name="Picture 3925" descr="T-TS-075m">
          <a:hlinkClick xmlns:r="http://schemas.openxmlformats.org/officeDocument/2006/relationships" r:id="rId1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992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1287</xdr:row>
      <xdr:rowOff>0</xdr:rowOff>
    </xdr:from>
    <xdr:to>
      <xdr:col>2</xdr:col>
      <xdr:colOff>0</xdr:colOff>
      <xdr:row>1288</xdr:row>
      <xdr:rowOff>0</xdr:rowOff>
    </xdr:to>
    <xdr:pic>
      <xdr:nvPicPr>
        <xdr:cNvPr id="876" name="Picture 3927" descr="T-TS-075-Lm">
          <a:hlinkClick xmlns:r="http://schemas.openxmlformats.org/officeDocument/2006/relationships" r:id="rId1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0688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1141</xdr:row>
      <xdr:rowOff>0</xdr:rowOff>
    </xdr:from>
    <xdr:to>
      <xdr:col>2</xdr:col>
      <xdr:colOff>0</xdr:colOff>
      <xdr:row>1142</xdr:row>
      <xdr:rowOff>0</xdr:rowOff>
    </xdr:to>
    <xdr:pic>
      <xdr:nvPicPr>
        <xdr:cNvPr id="877" name="Picture 3929" descr="T-LS-075m">
          <a:hlinkClick xmlns:r="http://schemas.openxmlformats.org/officeDocument/2006/relationships" r:id="rId15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206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1302</xdr:row>
      <xdr:rowOff>0</xdr:rowOff>
    </xdr:from>
    <xdr:to>
      <xdr:col>2</xdr:col>
      <xdr:colOff>0</xdr:colOff>
      <xdr:row>1303</xdr:row>
      <xdr:rowOff>0</xdr:rowOff>
    </xdr:to>
    <xdr:pic>
      <xdr:nvPicPr>
        <xdr:cNvPr id="878" name="Picture 3931" descr="T-WS-075m">
          <a:hlinkClick xmlns:r="http://schemas.openxmlformats.org/officeDocument/2006/relationships" r:id="rId15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983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1285</xdr:row>
      <xdr:rowOff>0</xdr:rowOff>
    </xdr:from>
    <xdr:to>
      <xdr:col>2</xdr:col>
      <xdr:colOff>0</xdr:colOff>
      <xdr:row>1286</xdr:row>
      <xdr:rowOff>0</xdr:rowOff>
    </xdr:to>
    <xdr:pic>
      <xdr:nvPicPr>
        <xdr:cNvPr id="879" name="Picture 3933" descr="T-TS-074m">
          <a:hlinkClick xmlns:r="http://schemas.openxmlformats.org/officeDocument/2006/relationships" r:id="rId1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916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1301</xdr:row>
      <xdr:rowOff>0</xdr:rowOff>
    </xdr:from>
    <xdr:to>
      <xdr:col>2</xdr:col>
      <xdr:colOff>0</xdr:colOff>
      <xdr:row>1302</xdr:row>
      <xdr:rowOff>0</xdr:rowOff>
    </xdr:to>
    <xdr:pic>
      <xdr:nvPicPr>
        <xdr:cNvPr id="880" name="Picture 3934" descr="T-WS-074m">
          <a:hlinkClick xmlns:r="http://schemas.openxmlformats.org/officeDocument/2006/relationships" r:id="rId1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907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1140</xdr:row>
      <xdr:rowOff>0</xdr:rowOff>
    </xdr:from>
    <xdr:to>
      <xdr:col>2</xdr:col>
      <xdr:colOff>0</xdr:colOff>
      <xdr:row>1141</xdr:row>
      <xdr:rowOff>0</xdr:rowOff>
    </xdr:to>
    <xdr:pic>
      <xdr:nvPicPr>
        <xdr:cNvPr id="881" name="Picture 3936" descr="T-LS-074m">
          <a:hlinkClick xmlns:r="http://schemas.openxmlformats.org/officeDocument/2006/relationships" r:id="rId1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3444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1131</xdr:row>
      <xdr:rowOff>0</xdr:rowOff>
    </xdr:from>
    <xdr:to>
      <xdr:col>2</xdr:col>
      <xdr:colOff>0</xdr:colOff>
      <xdr:row>1132</xdr:row>
      <xdr:rowOff>0</xdr:rowOff>
    </xdr:to>
    <xdr:pic>
      <xdr:nvPicPr>
        <xdr:cNvPr id="882" name="Picture 3938" descr="T-LS-042m">
          <a:hlinkClick xmlns:r="http://schemas.openxmlformats.org/officeDocument/2006/relationships" r:id="rId1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887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1283</xdr:row>
      <xdr:rowOff>0</xdr:rowOff>
    </xdr:from>
    <xdr:to>
      <xdr:col>2</xdr:col>
      <xdr:colOff>0</xdr:colOff>
      <xdr:row>1284</xdr:row>
      <xdr:rowOff>0</xdr:rowOff>
    </xdr:to>
    <xdr:pic>
      <xdr:nvPicPr>
        <xdr:cNvPr id="883" name="Picture 3940" descr="T-TS-073m">
          <a:hlinkClick xmlns:r="http://schemas.openxmlformats.org/officeDocument/2006/relationships" r:id="rId1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840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1284</xdr:row>
      <xdr:rowOff>0</xdr:rowOff>
    </xdr:from>
    <xdr:to>
      <xdr:col>2</xdr:col>
      <xdr:colOff>0</xdr:colOff>
      <xdr:row>1285</xdr:row>
      <xdr:rowOff>0</xdr:rowOff>
    </xdr:to>
    <xdr:pic>
      <xdr:nvPicPr>
        <xdr:cNvPr id="884" name="Picture 3941" descr="T-TS-073m">
          <a:hlinkClick xmlns:r="http://schemas.openxmlformats.org/officeDocument/2006/relationships" r:id="rId1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916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376</xdr:row>
      <xdr:rowOff>0</xdr:rowOff>
    </xdr:from>
    <xdr:to>
      <xdr:col>2</xdr:col>
      <xdr:colOff>0</xdr:colOff>
      <xdr:row>377</xdr:row>
      <xdr:rowOff>0</xdr:rowOff>
    </xdr:to>
    <xdr:pic>
      <xdr:nvPicPr>
        <xdr:cNvPr id="885" name="Picture 3942" descr="14-5564m">
          <a:hlinkClick xmlns:r="http://schemas.openxmlformats.org/officeDocument/2006/relationships" r:id="rId1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lum bright="-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886" name="Picture 3925" descr="14-125m">
          <a:hlinkClick xmlns:r="http://schemas.openxmlformats.org/officeDocument/2006/relationships" r:id="rId1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369</xdr:row>
      <xdr:rowOff>0</xdr:rowOff>
    </xdr:from>
    <xdr:to>
      <xdr:col>2</xdr:col>
      <xdr:colOff>0</xdr:colOff>
      <xdr:row>370</xdr:row>
      <xdr:rowOff>0</xdr:rowOff>
    </xdr:to>
    <xdr:pic>
      <xdr:nvPicPr>
        <xdr:cNvPr id="887" name="Picture 3925" descr="14-125m">
          <a:hlinkClick xmlns:r="http://schemas.openxmlformats.org/officeDocument/2006/relationships" r:id="rId1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042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953</xdr:row>
      <xdr:rowOff>0</xdr:rowOff>
    </xdr:from>
    <xdr:to>
      <xdr:col>2</xdr:col>
      <xdr:colOff>0</xdr:colOff>
      <xdr:row>954</xdr:row>
      <xdr:rowOff>0</xdr:rowOff>
    </xdr:to>
    <xdr:pic>
      <xdr:nvPicPr>
        <xdr:cNvPr id="888" name="Picture 3946" descr="K01m">
          <a:hlinkClick xmlns:r="http://schemas.openxmlformats.org/officeDocument/2006/relationships" r:id="rId1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954</xdr:row>
      <xdr:rowOff>0</xdr:rowOff>
    </xdr:from>
    <xdr:to>
      <xdr:col>2</xdr:col>
      <xdr:colOff>0</xdr:colOff>
      <xdr:row>955</xdr:row>
      <xdr:rowOff>0</xdr:rowOff>
    </xdr:to>
    <xdr:pic>
      <xdr:nvPicPr>
        <xdr:cNvPr id="889" name="Picture 3947" descr="K01m">
          <a:hlinkClick xmlns:r="http://schemas.openxmlformats.org/officeDocument/2006/relationships" r:id="rId1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955</xdr:row>
      <xdr:rowOff>0</xdr:rowOff>
    </xdr:from>
    <xdr:to>
      <xdr:col>2</xdr:col>
      <xdr:colOff>0</xdr:colOff>
      <xdr:row>956</xdr:row>
      <xdr:rowOff>0</xdr:rowOff>
    </xdr:to>
    <xdr:pic>
      <xdr:nvPicPr>
        <xdr:cNvPr id="890" name="Picture 3949" descr="K05m">
          <a:hlinkClick xmlns:r="http://schemas.openxmlformats.org/officeDocument/2006/relationships" r:id="rId1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956</xdr:row>
      <xdr:rowOff>0</xdr:rowOff>
    </xdr:from>
    <xdr:to>
      <xdr:col>2</xdr:col>
      <xdr:colOff>0</xdr:colOff>
      <xdr:row>957</xdr:row>
      <xdr:rowOff>0</xdr:rowOff>
    </xdr:to>
    <xdr:pic>
      <xdr:nvPicPr>
        <xdr:cNvPr id="891" name="Picture 3950" descr="K05m">
          <a:hlinkClick xmlns:r="http://schemas.openxmlformats.org/officeDocument/2006/relationships" r:id="rId1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557</xdr:row>
      <xdr:rowOff>0</xdr:rowOff>
    </xdr:from>
    <xdr:to>
      <xdr:col>2</xdr:col>
      <xdr:colOff>0</xdr:colOff>
      <xdr:row>558</xdr:row>
      <xdr:rowOff>0</xdr:rowOff>
    </xdr:to>
    <xdr:pic>
      <xdr:nvPicPr>
        <xdr:cNvPr id="892" name="Picture 3957" descr="34-3611m">
          <a:hlinkClick xmlns:r="http://schemas.openxmlformats.org/officeDocument/2006/relationships" r:id="rId1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578</xdr:row>
      <xdr:rowOff>0</xdr:rowOff>
    </xdr:to>
    <xdr:pic>
      <xdr:nvPicPr>
        <xdr:cNvPr id="893" name="Picture 3959" descr="34-5611m">
          <a:hlinkClick xmlns:r="http://schemas.openxmlformats.org/officeDocument/2006/relationships" r:id="rId1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606</xdr:row>
      <xdr:rowOff>0</xdr:rowOff>
    </xdr:from>
    <xdr:to>
      <xdr:col>2</xdr:col>
      <xdr:colOff>0</xdr:colOff>
      <xdr:row>607</xdr:row>
      <xdr:rowOff>0</xdr:rowOff>
    </xdr:to>
    <xdr:pic>
      <xdr:nvPicPr>
        <xdr:cNvPr id="894" name="Picture 3963" descr="34-9611m">
          <a:hlinkClick xmlns:r="http://schemas.openxmlformats.org/officeDocument/2006/relationships" r:id="rId15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880</xdr:row>
      <xdr:rowOff>0</xdr:rowOff>
    </xdr:to>
    <xdr:pic>
      <xdr:nvPicPr>
        <xdr:cNvPr id="895" name="Picture 3965" descr="86-1584m">
          <a:hlinkClick xmlns:r="http://schemas.openxmlformats.org/officeDocument/2006/relationships" r:id="rId15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880</xdr:row>
      <xdr:rowOff>0</xdr:rowOff>
    </xdr:from>
    <xdr:to>
      <xdr:col>2</xdr:col>
      <xdr:colOff>0</xdr:colOff>
      <xdr:row>881</xdr:row>
      <xdr:rowOff>0</xdr:rowOff>
    </xdr:to>
    <xdr:pic>
      <xdr:nvPicPr>
        <xdr:cNvPr id="896" name="Picture 3967" descr="86-285m">
          <a:hlinkClick xmlns:r="http://schemas.openxmlformats.org/officeDocument/2006/relationships" r:id="rId15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592</xdr:row>
      <xdr:rowOff>0</xdr:rowOff>
    </xdr:from>
    <xdr:to>
      <xdr:col>2</xdr:col>
      <xdr:colOff>0</xdr:colOff>
      <xdr:row>593</xdr:row>
      <xdr:rowOff>0</xdr:rowOff>
    </xdr:to>
    <xdr:pic>
      <xdr:nvPicPr>
        <xdr:cNvPr id="897" name="Picture 3970" descr="34-7611m">
          <a:hlinkClick xmlns:r="http://schemas.openxmlformats.org/officeDocument/2006/relationships" r:id="rId15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898" name="Picture 3972" descr="14-1609m">
          <a:hlinkClick xmlns:r="http://schemas.openxmlformats.org/officeDocument/2006/relationships" r:id="rId1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354</xdr:row>
      <xdr:rowOff>0</xdr:rowOff>
    </xdr:from>
    <xdr:to>
      <xdr:col>2</xdr:col>
      <xdr:colOff>0</xdr:colOff>
      <xdr:row>355</xdr:row>
      <xdr:rowOff>0</xdr:rowOff>
    </xdr:to>
    <xdr:pic>
      <xdr:nvPicPr>
        <xdr:cNvPr id="899" name="Picture 3974" descr="14-3584m">
          <a:hlinkClick xmlns:r="http://schemas.openxmlformats.org/officeDocument/2006/relationships" r:id="rId15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091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405</xdr:row>
      <xdr:rowOff>0</xdr:rowOff>
    </xdr:from>
    <xdr:to>
      <xdr:col>1</xdr:col>
      <xdr:colOff>742950</xdr:colOff>
      <xdr:row>405</xdr:row>
      <xdr:rowOff>9525</xdr:rowOff>
    </xdr:to>
    <xdr:pic>
      <xdr:nvPicPr>
        <xdr:cNvPr id="900" name="Picture 3976" descr="14-8584m">
          <a:hlinkClick xmlns:r="http://schemas.openxmlformats.org/officeDocument/2006/relationships" r:id="rId15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9131675"/>
          <a:ext cx="7334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596</xdr:row>
      <xdr:rowOff>0</xdr:rowOff>
    </xdr:from>
    <xdr:to>
      <xdr:col>2</xdr:col>
      <xdr:colOff>0</xdr:colOff>
      <xdr:row>597</xdr:row>
      <xdr:rowOff>0</xdr:rowOff>
    </xdr:to>
    <xdr:pic>
      <xdr:nvPicPr>
        <xdr:cNvPr id="901" name="Picture 3978" descr="34-8584m">
          <a:hlinkClick xmlns:r="http://schemas.openxmlformats.org/officeDocument/2006/relationships" r:id="rId15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902" name="Picture 3983" descr="14-1612m">
          <a:hlinkClick xmlns:r="http://schemas.openxmlformats.org/officeDocument/2006/relationships" r:id="rId15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402</xdr:row>
      <xdr:rowOff>0</xdr:rowOff>
    </xdr:from>
    <xdr:to>
      <xdr:col>2</xdr:col>
      <xdr:colOff>0</xdr:colOff>
      <xdr:row>403</xdr:row>
      <xdr:rowOff>0</xdr:rowOff>
    </xdr:to>
    <xdr:pic>
      <xdr:nvPicPr>
        <xdr:cNvPr id="903" name="Picture 3985" descr="14-3614m">
          <a:hlinkClick xmlns:r="http://schemas.openxmlformats.org/officeDocument/2006/relationships" r:id="rId15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60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355</xdr:row>
      <xdr:rowOff>0</xdr:rowOff>
    </xdr:to>
    <xdr:pic>
      <xdr:nvPicPr>
        <xdr:cNvPr id="904" name="Picture 3987" descr="14-3615m">
          <a:hlinkClick xmlns:r="http://schemas.openxmlformats.org/officeDocument/2006/relationships" r:id="rId1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8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380</xdr:row>
      <xdr:rowOff>0</xdr:rowOff>
    </xdr:from>
    <xdr:to>
      <xdr:col>2</xdr:col>
      <xdr:colOff>0</xdr:colOff>
      <xdr:row>381</xdr:row>
      <xdr:rowOff>0</xdr:rowOff>
    </xdr:to>
    <xdr:pic>
      <xdr:nvPicPr>
        <xdr:cNvPr id="905" name="Picture 3989" descr="14-5614m">
          <a:hlinkClick xmlns:r="http://schemas.openxmlformats.org/officeDocument/2006/relationships" r:id="rId15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906" name="Picture 3991" descr="14-7614m">
          <a:hlinkClick xmlns:r="http://schemas.openxmlformats.org/officeDocument/2006/relationships" r:id="rId15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6083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406</xdr:row>
      <xdr:rowOff>0</xdr:rowOff>
    </xdr:to>
    <xdr:pic>
      <xdr:nvPicPr>
        <xdr:cNvPr id="907" name="Picture 3993" descr="14-8615m">
          <a:hlinkClick xmlns:r="http://schemas.openxmlformats.org/officeDocument/2006/relationships" r:id="rId15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131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908" name="Picture 3995" descr="14-9614m">
          <a:hlinkClick xmlns:r="http://schemas.openxmlformats.org/officeDocument/2006/relationships" r:id="rId15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598</xdr:row>
      <xdr:rowOff>0</xdr:rowOff>
    </xdr:to>
    <xdr:pic>
      <xdr:nvPicPr>
        <xdr:cNvPr id="909" name="Picture 3997" descr="34-8615m">
          <a:hlinkClick xmlns:r="http://schemas.openxmlformats.org/officeDocument/2006/relationships" r:id="rId15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429</xdr:row>
      <xdr:rowOff>0</xdr:rowOff>
    </xdr:from>
    <xdr:to>
      <xdr:col>2</xdr:col>
      <xdr:colOff>0</xdr:colOff>
      <xdr:row>430</xdr:row>
      <xdr:rowOff>0</xdr:rowOff>
    </xdr:to>
    <xdr:pic>
      <xdr:nvPicPr>
        <xdr:cNvPr id="910" name="Picture 4004" descr="14-1530m">
          <a:hlinkClick xmlns:r="http://schemas.openxmlformats.org/officeDocument/2006/relationships" r:id="rId1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19050</xdr:colOff>
      <xdr:row>203</xdr:row>
      <xdr:rowOff>523875</xdr:rowOff>
    </xdr:from>
    <xdr:to>
      <xdr:col>0</xdr:col>
      <xdr:colOff>781050</xdr:colOff>
      <xdr:row>203</xdr:row>
      <xdr:rowOff>619125</xdr:rowOff>
    </xdr:to>
    <xdr:pic>
      <xdr:nvPicPr>
        <xdr:cNvPr id="911" name="Picture 4007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915400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202</xdr:row>
      <xdr:rowOff>523875</xdr:rowOff>
    </xdr:from>
    <xdr:to>
      <xdr:col>0</xdr:col>
      <xdr:colOff>781050</xdr:colOff>
      <xdr:row>202</xdr:row>
      <xdr:rowOff>619125</xdr:rowOff>
    </xdr:to>
    <xdr:pic>
      <xdr:nvPicPr>
        <xdr:cNvPr id="912" name="Picture 4008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863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204</xdr:row>
      <xdr:rowOff>523875</xdr:rowOff>
    </xdr:from>
    <xdr:to>
      <xdr:col>0</xdr:col>
      <xdr:colOff>781050</xdr:colOff>
      <xdr:row>204</xdr:row>
      <xdr:rowOff>619125</xdr:rowOff>
    </xdr:to>
    <xdr:pic>
      <xdr:nvPicPr>
        <xdr:cNvPr id="913" name="Picture 4009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939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466</xdr:row>
      <xdr:rowOff>523875</xdr:rowOff>
    </xdr:from>
    <xdr:to>
      <xdr:col>0</xdr:col>
      <xdr:colOff>781050</xdr:colOff>
      <xdr:row>466</xdr:row>
      <xdr:rowOff>619125</xdr:rowOff>
    </xdr:to>
    <xdr:pic>
      <xdr:nvPicPr>
        <xdr:cNvPr id="914" name="Picture 4010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571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552</xdr:row>
      <xdr:rowOff>523875</xdr:rowOff>
    </xdr:from>
    <xdr:to>
      <xdr:col>0</xdr:col>
      <xdr:colOff>781050</xdr:colOff>
      <xdr:row>552</xdr:row>
      <xdr:rowOff>619125</xdr:rowOff>
    </xdr:to>
    <xdr:pic>
      <xdr:nvPicPr>
        <xdr:cNvPr id="915" name="Picture 4011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2</xdr:col>
      <xdr:colOff>0</xdr:colOff>
      <xdr:row>730</xdr:row>
      <xdr:rowOff>0</xdr:rowOff>
    </xdr:to>
    <xdr:pic>
      <xdr:nvPicPr>
        <xdr:cNvPr id="916" name="Picture 3920" descr="14-119m">
          <a:hlinkClick xmlns:r="http://schemas.openxmlformats.org/officeDocument/2006/relationships" r:id="rId1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729</xdr:row>
      <xdr:rowOff>0</xdr:rowOff>
    </xdr:from>
    <xdr:to>
      <xdr:col>11</xdr:col>
      <xdr:colOff>9525</xdr:colOff>
      <xdr:row>729</xdr:row>
      <xdr:rowOff>161925</xdr:rowOff>
    </xdr:to>
    <xdr:pic>
      <xdr:nvPicPr>
        <xdr:cNvPr id="917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409575</xdr:colOff>
      <xdr:row>729</xdr:row>
      <xdr:rowOff>161925</xdr:rowOff>
    </xdr:to>
    <xdr:pic>
      <xdr:nvPicPr>
        <xdr:cNvPr id="918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729</xdr:row>
      <xdr:rowOff>0</xdr:rowOff>
    </xdr:from>
    <xdr:to>
      <xdr:col>13</xdr:col>
      <xdr:colOff>19050</xdr:colOff>
      <xdr:row>729</xdr:row>
      <xdr:rowOff>161925</xdr:rowOff>
    </xdr:to>
    <xdr:pic>
      <xdr:nvPicPr>
        <xdr:cNvPr id="919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729</xdr:row>
      <xdr:rowOff>0</xdr:rowOff>
    </xdr:from>
    <xdr:to>
      <xdr:col>13</xdr:col>
      <xdr:colOff>409575</xdr:colOff>
      <xdr:row>729</xdr:row>
      <xdr:rowOff>161925</xdr:rowOff>
    </xdr:to>
    <xdr:pic>
      <xdr:nvPicPr>
        <xdr:cNvPr id="920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406</xdr:row>
      <xdr:rowOff>523875</xdr:rowOff>
    </xdr:from>
    <xdr:to>
      <xdr:col>0</xdr:col>
      <xdr:colOff>781050</xdr:colOff>
      <xdr:row>406</xdr:row>
      <xdr:rowOff>619125</xdr:rowOff>
    </xdr:to>
    <xdr:pic>
      <xdr:nvPicPr>
        <xdr:cNvPr id="921" name="Picture 4024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041755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480</xdr:row>
      <xdr:rowOff>523875</xdr:rowOff>
    </xdr:from>
    <xdr:to>
      <xdr:col>0</xdr:col>
      <xdr:colOff>781050</xdr:colOff>
      <xdr:row>480</xdr:row>
      <xdr:rowOff>619125</xdr:rowOff>
    </xdr:to>
    <xdr:pic>
      <xdr:nvPicPr>
        <xdr:cNvPr id="922" name="Picture 4025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8523325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744</xdr:row>
      <xdr:rowOff>523875</xdr:rowOff>
    </xdr:from>
    <xdr:to>
      <xdr:col>0</xdr:col>
      <xdr:colOff>781050</xdr:colOff>
      <xdr:row>744</xdr:row>
      <xdr:rowOff>619125</xdr:rowOff>
    </xdr:to>
    <xdr:pic>
      <xdr:nvPicPr>
        <xdr:cNvPr id="923" name="Picture 4026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744</xdr:row>
      <xdr:rowOff>0</xdr:rowOff>
    </xdr:from>
    <xdr:to>
      <xdr:col>11</xdr:col>
      <xdr:colOff>9525</xdr:colOff>
      <xdr:row>744</xdr:row>
      <xdr:rowOff>161925</xdr:rowOff>
    </xdr:to>
    <xdr:pic>
      <xdr:nvPicPr>
        <xdr:cNvPr id="924" name="Picture 4027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409575</xdr:colOff>
      <xdr:row>744</xdr:row>
      <xdr:rowOff>161925</xdr:rowOff>
    </xdr:to>
    <xdr:pic>
      <xdr:nvPicPr>
        <xdr:cNvPr id="925" name="Picture 4028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744</xdr:row>
      <xdr:rowOff>0</xdr:rowOff>
    </xdr:from>
    <xdr:to>
      <xdr:col>13</xdr:col>
      <xdr:colOff>19050</xdr:colOff>
      <xdr:row>744</xdr:row>
      <xdr:rowOff>161925</xdr:rowOff>
    </xdr:to>
    <xdr:pic>
      <xdr:nvPicPr>
        <xdr:cNvPr id="926" name="Picture 4029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744</xdr:row>
      <xdr:rowOff>0</xdr:rowOff>
    </xdr:from>
    <xdr:to>
      <xdr:col>13</xdr:col>
      <xdr:colOff>409575</xdr:colOff>
      <xdr:row>744</xdr:row>
      <xdr:rowOff>161925</xdr:rowOff>
    </xdr:to>
    <xdr:pic>
      <xdr:nvPicPr>
        <xdr:cNvPr id="927" name="Picture 4030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743</xdr:row>
      <xdr:rowOff>0</xdr:rowOff>
    </xdr:from>
    <xdr:to>
      <xdr:col>11</xdr:col>
      <xdr:colOff>9525</xdr:colOff>
      <xdr:row>743</xdr:row>
      <xdr:rowOff>161925</xdr:rowOff>
    </xdr:to>
    <xdr:pic>
      <xdr:nvPicPr>
        <xdr:cNvPr id="928" name="Picture 404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409575</xdr:colOff>
      <xdr:row>743</xdr:row>
      <xdr:rowOff>161925</xdr:rowOff>
    </xdr:to>
    <xdr:pic>
      <xdr:nvPicPr>
        <xdr:cNvPr id="929" name="Picture 404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743</xdr:row>
      <xdr:rowOff>0</xdr:rowOff>
    </xdr:from>
    <xdr:to>
      <xdr:col>13</xdr:col>
      <xdr:colOff>19050</xdr:colOff>
      <xdr:row>743</xdr:row>
      <xdr:rowOff>161925</xdr:rowOff>
    </xdr:to>
    <xdr:pic>
      <xdr:nvPicPr>
        <xdr:cNvPr id="930" name="Picture 404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743</xdr:row>
      <xdr:rowOff>0</xdr:rowOff>
    </xdr:from>
    <xdr:to>
      <xdr:col>13</xdr:col>
      <xdr:colOff>409575</xdr:colOff>
      <xdr:row>743</xdr:row>
      <xdr:rowOff>161925</xdr:rowOff>
    </xdr:to>
    <xdr:pic>
      <xdr:nvPicPr>
        <xdr:cNvPr id="931" name="Picture 404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932" name="Picture 4049" descr="14-1619m">
          <a:hlinkClick xmlns:r="http://schemas.openxmlformats.org/officeDocument/2006/relationships" r:id="rId1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405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933" name="Picture 4051" descr="14-296m">
          <a:hlinkClick xmlns:r="http://schemas.openxmlformats.org/officeDocument/2006/relationships" r:id="rId15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863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356</xdr:row>
      <xdr:rowOff>0</xdr:rowOff>
    </xdr:to>
    <xdr:pic>
      <xdr:nvPicPr>
        <xdr:cNvPr id="934" name="Picture 4053" descr="14-3618m">
          <a:hlinkClick xmlns:r="http://schemas.openxmlformats.org/officeDocument/2006/relationships" r:id="rId15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85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935" name="Picture 4055" descr="14-496m">
          <a:hlinkClick xmlns:r="http://schemas.openxmlformats.org/officeDocument/2006/relationships" r:id="rId15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863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2</xdr:col>
      <xdr:colOff>0</xdr:colOff>
      <xdr:row>389</xdr:row>
      <xdr:rowOff>0</xdr:rowOff>
    </xdr:to>
    <xdr:pic>
      <xdr:nvPicPr>
        <xdr:cNvPr id="936" name="Picture 4057" descr="14-6618m">
          <a:hlinkClick xmlns:r="http://schemas.openxmlformats.org/officeDocument/2006/relationships" r:id="rId15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2</xdr:col>
      <xdr:colOff>9525</xdr:colOff>
      <xdr:row>744</xdr:row>
      <xdr:rowOff>9525</xdr:rowOff>
    </xdr:to>
    <xdr:pic>
      <xdr:nvPicPr>
        <xdr:cNvPr id="937" name="Picture 4059" descr="14-8616m">
          <a:hlinkClick xmlns:r="http://schemas.openxmlformats.org/officeDocument/2006/relationships" r:id="rId1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467</xdr:row>
      <xdr:rowOff>0</xdr:rowOff>
    </xdr:to>
    <xdr:pic>
      <xdr:nvPicPr>
        <xdr:cNvPr id="938" name="Picture 4061" descr="28-396m">
          <a:hlinkClick xmlns:r="http://schemas.openxmlformats.org/officeDocument/2006/relationships" r:id="rId1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1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2</xdr:col>
      <xdr:colOff>0</xdr:colOff>
      <xdr:row>481</xdr:row>
      <xdr:rowOff>0</xdr:rowOff>
    </xdr:to>
    <xdr:pic>
      <xdr:nvPicPr>
        <xdr:cNvPr id="939" name="Picture 4063" descr="28-6616m">
          <a:hlinkClick xmlns:r="http://schemas.openxmlformats.org/officeDocument/2006/relationships" r:id="rId1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99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2</xdr:col>
      <xdr:colOff>0</xdr:colOff>
      <xdr:row>553</xdr:row>
      <xdr:rowOff>0</xdr:rowOff>
    </xdr:to>
    <xdr:pic>
      <xdr:nvPicPr>
        <xdr:cNvPr id="940" name="Picture 4065" descr="34-296m">
          <a:hlinkClick xmlns:r="http://schemas.openxmlformats.org/officeDocument/2006/relationships" r:id="rId1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560</xdr:row>
      <xdr:rowOff>0</xdr:rowOff>
    </xdr:to>
    <xdr:pic>
      <xdr:nvPicPr>
        <xdr:cNvPr id="941" name="Picture 4067" descr="34-3618m">
          <a:hlinkClick xmlns:r="http://schemas.openxmlformats.org/officeDocument/2006/relationships" r:id="rId1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2</xdr:col>
      <xdr:colOff>0</xdr:colOff>
      <xdr:row>714</xdr:row>
      <xdr:rowOff>0</xdr:rowOff>
    </xdr:to>
    <xdr:pic>
      <xdr:nvPicPr>
        <xdr:cNvPr id="942" name="Picture 4069" descr="44-3618m">
          <a:hlinkClick xmlns:r="http://schemas.openxmlformats.org/officeDocument/2006/relationships" r:id="rId1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943" name="Picture 4071" descr="45-896m">
          <a:hlinkClick xmlns:r="http://schemas.openxmlformats.org/officeDocument/2006/relationships" r:id="rId1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939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2</xdr:col>
      <xdr:colOff>0</xdr:colOff>
      <xdr:row>736</xdr:row>
      <xdr:rowOff>0</xdr:rowOff>
    </xdr:to>
    <xdr:pic>
      <xdr:nvPicPr>
        <xdr:cNvPr id="944" name="Picture 4073" descr="14-1570m">
          <a:hlinkClick xmlns:r="http://schemas.openxmlformats.org/officeDocument/2006/relationships" r:id="rId1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735</xdr:row>
      <xdr:rowOff>0</xdr:rowOff>
    </xdr:from>
    <xdr:to>
      <xdr:col>11</xdr:col>
      <xdr:colOff>9525</xdr:colOff>
      <xdr:row>735</xdr:row>
      <xdr:rowOff>161925</xdr:rowOff>
    </xdr:to>
    <xdr:pic>
      <xdr:nvPicPr>
        <xdr:cNvPr id="945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409575</xdr:colOff>
      <xdr:row>735</xdr:row>
      <xdr:rowOff>161925</xdr:rowOff>
    </xdr:to>
    <xdr:pic>
      <xdr:nvPicPr>
        <xdr:cNvPr id="946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735</xdr:row>
      <xdr:rowOff>0</xdr:rowOff>
    </xdr:from>
    <xdr:to>
      <xdr:col>13</xdr:col>
      <xdr:colOff>19050</xdr:colOff>
      <xdr:row>735</xdr:row>
      <xdr:rowOff>161925</xdr:rowOff>
    </xdr:to>
    <xdr:pic>
      <xdr:nvPicPr>
        <xdr:cNvPr id="947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735</xdr:row>
      <xdr:rowOff>0</xdr:rowOff>
    </xdr:from>
    <xdr:to>
      <xdr:col>13</xdr:col>
      <xdr:colOff>409575</xdr:colOff>
      <xdr:row>735</xdr:row>
      <xdr:rowOff>161925</xdr:rowOff>
    </xdr:to>
    <xdr:pic>
      <xdr:nvPicPr>
        <xdr:cNvPr id="948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2</xdr:col>
      <xdr:colOff>9525</xdr:colOff>
      <xdr:row>265</xdr:row>
      <xdr:rowOff>9525</xdr:rowOff>
    </xdr:to>
    <xdr:pic>
      <xdr:nvPicPr>
        <xdr:cNvPr id="949" name="Picture 4079" descr="14-1572m">
          <a:hlinkClick xmlns:r="http://schemas.openxmlformats.org/officeDocument/2006/relationships" r:id="rId1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641</xdr:row>
      <xdr:rowOff>9525</xdr:rowOff>
    </xdr:from>
    <xdr:to>
      <xdr:col>2</xdr:col>
      <xdr:colOff>28575</xdr:colOff>
      <xdr:row>642</xdr:row>
      <xdr:rowOff>0</xdr:rowOff>
    </xdr:to>
    <xdr:pic>
      <xdr:nvPicPr>
        <xdr:cNvPr id="950" name="Picture 4080" descr="14-1572m">
          <a:hlinkClick xmlns:r="http://schemas.openxmlformats.org/officeDocument/2006/relationships" r:id="rId1615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3248975"/>
          <a:ext cx="781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855</xdr:row>
      <xdr:rowOff>0</xdr:rowOff>
    </xdr:from>
    <xdr:to>
      <xdr:col>2</xdr:col>
      <xdr:colOff>0</xdr:colOff>
      <xdr:row>856</xdr:row>
      <xdr:rowOff>0</xdr:rowOff>
    </xdr:to>
    <xdr:pic>
      <xdr:nvPicPr>
        <xdr:cNvPr id="951" name="Picture 4081" descr="81-1591m">
          <a:hlinkClick xmlns:r="http://schemas.openxmlformats.org/officeDocument/2006/relationships" r:id="rId1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70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617</xdr:row>
      <xdr:rowOff>0</xdr:rowOff>
    </xdr:from>
    <xdr:to>
      <xdr:col>2</xdr:col>
      <xdr:colOff>0</xdr:colOff>
      <xdr:row>618</xdr:row>
      <xdr:rowOff>0</xdr:rowOff>
    </xdr:to>
    <xdr:pic>
      <xdr:nvPicPr>
        <xdr:cNvPr id="952" name="Picture 4017" descr="14-289m">
          <a:hlinkClick xmlns:r="http://schemas.openxmlformats.org/officeDocument/2006/relationships" r:id="rId1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04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957</xdr:row>
      <xdr:rowOff>0</xdr:rowOff>
    </xdr:from>
    <xdr:to>
      <xdr:col>2</xdr:col>
      <xdr:colOff>0</xdr:colOff>
      <xdr:row>958</xdr:row>
      <xdr:rowOff>0</xdr:rowOff>
    </xdr:to>
    <xdr:pic>
      <xdr:nvPicPr>
        <xdr:cNvPr id="953" name="Picture 4084" descr="К-10m">
          <a:hlinkClick xmlns:r="http://schemas.openxmlformats.org/officeDocument/2006/relationships" r:id="rId1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958</xdr:row>
      <xdr:rowOff>0</xdr:rowOff>
    </xdr:from>
    <xdr:to>
      <xdr:col>2</xdr:col>
      <xdr:colOff>0</xdr:colOff>
      <xdr:row>959</xdr:row>
      <xdr:rowOff>0</xdr:rowOff>
    </xdr:to>
    <xdr:pic>
      <xdr:nvPicPr>
        <xdr:cNvPr id="954" name="Picture 4085" descr="К-10m">
          <a:hlinkClick xmlns:r="http://schemas.openxmlformats.org/officeDocument/2006/relationships" r:id="rId1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959</xdr:row>
      <xdr:rowOff>0</xdr:rowOff>
    </xdr:from>
    <xdr:to>
      <xdr:col>2</xdr:col>
      <xdr:colOff>0</xdr:colOff>
      <xdr:row>960</xdr:row>
      <xdr:rowOff>0</xdr:rowOff>
    </xdr:to>
    <xdr:pic>
      <xdr:nvPicPr>
        <xdr:cNvPr id="955" name="Picture 4087" descr="K-12m">
          <a:hlinkClick xmlns:r="http://schemas.openxmlformats.org/officeDocument/2006/relationships" r:id="rId1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960</xdr:row>
      <xdr:rowOff>0</xdr:rowOff>
    </xdr:from>
    <xdr:to>
      <xdr:col>2</xdr:col>
      <xdr:colOff>0</xdr:colOff>
      <xdr:row>961</xdr:row>
      <xdr:rowOff>0</xdr:rowOff>
    </xdr:to>
    <xdr:pic>
      <xdr:nvPicPr>
        <xdr:cNvPr id="956" name="Picture 4089" descr="К-13m">
          <a:hlinkClick xmlns:r="http://schemas.openxmlformats.org/officeDocument/2006/relationships" r:id="rId1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0</xdr:rowOff>
    </xdr:to>
    <xdr:pic>
      <xdr:nvPicPr>
        <xdr:cNvPr id="957" name="Picture 4091" descr="28-5620m">
          <a:hlinkClick xmlns:r="http://schemas.openxmlformats.org/officeDocument/2006/relationships" r:id="rId1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567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958" name="Picture 4094" descr="14-1621m">
          <a:hlinkClick xmlns:r="http://schemas.openxmlformats.org/officeDocument/2006/relationships" r:id="rId1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2</xdr:col>
      <xdr:colOff>0</xdr:colOff>
      <xdr:row>676</xdr:row>
      <xdr:rowOff>0</xdr:rowOff>
    </xdr:to>
    <xdr:pic>
      <xdr:nvPicPr>
        <xdr:cNvPr id="959" name="Picture 3922" descr="34-1610m">
          <a:hlinkClick xmlns:r="http://schemas.openxmlformats.org/officeDocument/2006/relationships" r:id="rId1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663</xdr:row>
      <xdr:rowOff>0</xdr:rowOff>
    </xdr:from>
    <xdr:to>
      <xdr:col>2</xdr:col>
      <xdr:colOff>0</xdr:colOff>
      <xdr:row>664</xdr:row>
      <xdr:rowOff>0</xdr:rowOff>
    </xdr:to>
    <xdr:pic>
      <xdr:nvPicPr>
        <xdr:cNvPr id="960" name="Picture 3446">
          <a:hlinkClick xmlns:r="http://schemas.openxmlformats.org/officeDocument/2006/relationships" r:id="rId1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714</xdr:row>
      <xdr:rowOff>0</xdr:rowOff>
    </xdr:from>
    <xdr:to>
      <xdr:col>2</xdr:col>
      <xdr:colOff>0</xdr:colOff>
      <xdr:row>715</xdr:row>
      <xdr:rowOff>0</xdr:rowOff>
    </xdr:to>
    <xdr:pic>
      <xdr:nvPicPr>
        <xdr:cNvPr id="961" name="Picture 3360">
          <a:hlinkClick xmlns:r="http://schemas.openxmlformats.org/officeDocument/2006/relationships" r:id="rId1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16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744</xdr:row>
      <xdr:rowOff>0</xdr:rowOff>
    </xdr:from>
    <xdr:to>
      <xdr:col>2</xdr:col>
      <xdr:colOff>0</xdr:colOff>
      <xdr:row>745</xdr:row>
      <xdr:rowOff>0</xdr:rowOff>
    </xdr:to>
    <xdr:pic>
      <xdr:nvPicPr>
        <xdr:cNvPr id="962" name="Picture 3945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744</xdr:row>
      <xdr:rowOff>0</xdr:rowOff>
    </xdr:from>
    <xdr:to>
      <xdr:col>2</xdr:col>
      <xdr:colOff>0</xdr:colOff>
      <xdr:row>745</xdr:row>
      <xdr:rowOff>0</xdr:rowOff>
    </xdr:to>
    <xdr:pic>
      <xdr:nvPicPr>
        <xdr:cNvPr id="963" name="Picture 4059">
          <a:hlinkClick xmlns:r="http://schemas.openxmlformats.org/officeDocument/2006/relationships" r:id="rId1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2</xdr:col>
      <xdr:colOff>0</xdr:colOff>
      <xdr:row>367</xdr:row>
      <xdr:rowOff>0</xdr:rowOff>
    </xdr:to>
    <xdr:pic>
      <xdr:nvPicPr>
        <xdr:cNvPr id="964" name="Picture 3782">
          <a:hlinkClick xmlns:r="http://schemas.openxmlformats.org/officeDocument/2006/relationships" r:id="rId1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8901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743</xdr:row>
      <xdr:rowOff>0</xdr:rowOff>
    </xdr:from>
    <xdr:to>
      <xdr:col>2</xdr:col>
      <xdr:colOff>0</xdr:colOff>
      <xdr:row>744</xdr:row>
      <xdr:rowOff>0</xdr:rowOff>
    </xdr:to>
    <xdr:pic>
      <xdr:nvPicPr>
        <xdr:cNvPr id="965" name="Picture 3993" descr="14-8615m">
          <a:hlinkClick xmlns:r="http://schemas.openxmlformats.org/officeDocument/2006/relationships" r:id="rId1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346</xdr:row>
      <xdr:rowOff>0</xdr:rowOff>
    </xdr:from>
    <xdr:to>
      <xdr:col>2</xdr:col>
      <xdr:colOff>0</xdr:colOff>
      <xdr:row>347</xdr:row>
      <xdr:rowOff>0</xdr:rowOff>
    </xdr:to>
    <xdr:pic>
      <xdr:nvPicPr>
        <xdr:cNvPr id="966" name="Picture 8312" descr="14-2615m">
          <a:hlinkClick xmlns:r="http://schemas.openxmlformats.org/officeDocument/2006/relationships" r:id="rId1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1281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366</xdr:row>
      <xdr:rowOff>0</xdr:rowOff>
    </xdr:to>
    <xdr:pic>
      <xdr:nvPicPr>
        <xdr:cNvPr id="967" name="Picture 8314" descr="14-4615m">
          <a:hlinkClick xmlns:r="http://schemas.openxmlformats.org/officeDocument/2006/relationships" r:id="rId1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8901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2</xdr:col>
      <xdr:colOff>0</xdr:colOff>
      <xdr:row>606</xdr:row>
      <xdr:rowOff>0</xdr:rowOff>
    </xdr:to>
    <xdr:pic>
      <xdr:nvPicPr>
        <xdr:cNvPr id="968" name="Picture 8316" descr="34-9584m">
          <a:hlinkClick xmlns:r="http://schemas.openxmlformats.org/officeDocument/2006/relationships" r:id="rId1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726</xdr:row>
      <xdr:rowOff>0</xdr:rowOff>
    </xdr:from>
    <xdr:to>
      <xdr:col>11</xdr:col>
      <xdr:colOff>9525</xdr:colOff>
      <xdr:row>726</xdr:row>
      <xdr:rowOff>161925</xdr:rowOff>
    </xdr:to>
    <xdr:pic>
      <xdr:nvPicPr>
        <xdr:cNvPr id="969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409575</xdr:colOff>
      <xdr:row>726</xdr:row>
      <xdr:rowOff>161925</xdr:rowOff>
    </xdr:to>
    <xdr:pic>
      <xdr:nvPicPr>
        <xdr:cNvPr id="970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726</xdr:row>
      <xdr:rowOff>0</xdr:rowOff>
    </xdr:from>
    <xdr:to>
      <xdr:col>13</xdr:col>
      <xdr:colOff>19050</xdr:colOff>
      <xdr:row>726</xdr:row>
      <xdr:rowOff>161925</xdr:rowOff>
    </xdr:to>
    <xdr:pic>
      <xdr:nvPicPr>
        <xdr:cNvPr id="971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726</xdr:row>
      <xdr:rowOff>0</xdr:rowOff>
    </xdr:from>
    <xdr:to>
      <xdr:col>13</xdr:col>
      <xdr:colOff>409575</xdr:colOff>
      <xdr:row>726</xdr:row>
      <xdr:rowOff>161925</xdr:rowOff>
    </xdr:to>
    <xdr:pic>
      <xdr:nvPicPr>
        <xdr:cNvPr id="972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2</xdr:col>
      <xdr:colOff>0</xdr:colOff>
      <xdr:row>727</xdr:row>
      <xdr:rowOff>0</xdr:rowOff>
    </xdr:to>
    <xdr:pic>
      <xdr:nvPicPr>
        <xdr:cNvPr id="973" name="Picture 3320" descr="14-1530m">
          <a:hlinkClick xmlns:r="http://schemas.openxmlformats.org/officeDocument/2006/relationships" r:id="rId1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531</xdr:row>
      <xdr:rowOff>514350</xdr:rowOff>
    </xdr:from>
    <xdr:to>
      <xdr:col>0</xdr:col>
      <xdr:colOff>590550</xdr:colOff>
      <xdr:row>531</xdr:row>
      <xdr:rowOff>628650</xdr:rowOff>
    </xdr:to>
    <xdr:pic>
      <xdr:nvPicPr>
        <xdr:cNvPr id="97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541</xdr:row>
      <xdr:rowOff>514350</xdr:rowOff>
    </xdr:from>
    <xdr:to>
      <xdr:col>0</xdr:col>
      <xdr:colOff>590550</xdr:colOff>
      <xdr:row>541</xdr:row>
      <xdr:rowOff>628650</xdr:rowOff>
    </xdr:to>
    <xdr:pic>
      <xdr:nvPicPr>
        <xdr:cNvPr id="97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543</xdr:row>
      <xdr:rowOff>514350</xdr:rowOff>
    </xdr:from>
    <xdr:to>
      <xdr:col>0</xdr:col>
      <xdr:colOff>590550</xdr:colOff>
      <xdr:row>543</xdr:row>
      <xdr:rowOff>628650</xdr:rowOff>
    </xdr:to>
    <xdr:pic>
      <xdr:nvPicPr>
        <xdr:cNvPr id="97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564</xdr:row>
      <xdr:rowOff>514350</xdr:rowOff>
    </xdr:from>
    <xdr:to>
      <xdr:col>0</xdr:col>
      <xdr:colOff>590550</xdr:colOff>
      <xdr:row>564</xdr:row>
      <xdr:rowOff>628650</xdr:rowOff>
    </xdr:to>
    <xdr:pic>
      <xdr:nvPicPr>
        <xdr:cNvPr id="97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209</xdr:row>
      <xdr:rowOff>514350</xdr:rowOff>
    </xdr:from>
    <xdr:to>
      <xdr:col>0</xdr:col>
      <xdr:colOff>590550</xdr:colOff>
      <xdr:row>209</xdr:row>
      <xdr:rowOff>628650</xdr:rowOff>
    </xdr:to>
    <xdr:pic>
      <xdr:nvPicPr>
        <xdr:cNvPr id="97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167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712</xdr:row>
      <xdr:rowOff>514350</xdr:rowOff>
    </xdr:from>
    <xdr:to>
      <xdr:col>0</xdr:col>
      <xdr:colOff>590550</xdr:colOff>
      <xdr:row>712</xdr:row>
      <xdr:rowOff>628650</xdr:rowOff>
    </xdr:to>
    <xdr:pic>
      <xdr:nvPicPr>
        <xdr:cNvPr id="97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31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720</xdr:row>
      <xdr:rowOff>514350</xdr:rowOff>
    </xdr:from>
    <xdr:to>
      <xdr:col>0</xdr:col>
      <xdr:colOff>590550</xdr:colOff>
      <xdr:row>720</xdr:row>
      <xdr:rowOff>628650</xdr:rowOff>
    </xdr:to>
    <xdr:pic>
      <xdr:nvPicPr>
        <xdr:cNvPr id="98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31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721</xdr:row>
      <xdr:rowOff>514350</xdr:rowOff>
    </xdr:from>
    <xdr:to>
      <xdr:col>0</xdr:col>
      <xdr:colOff>590550</xdr:colOff>
      <xdr:row>721</xdr:row>
      <xdr:rowOff>628650</xdr:rowOff>
    </xdr:to>
    <xdr:pic>
      <xdr:nvPicPr>
        <xdr:cNvPr id="98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31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785</xdr:row>
      <xdr:rowOff>514350</xdr:rowOff>
    </xdr:from>
    <xdr:to>
      <xdr:col>0</xdr:col>
      <xdr:colOff>590550</xdr:colOff>
      <xdr:row>785</xdr:row>
      <xdr:rowOff>628650</xdr:rowOff>
    </xdr:to>
    <xdr:pic>
      <xdr:nvPicPr>
        <xdr:cNvPr id="98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4602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213</xdr:row>
      <xdr:rowOff>514350</xdr:rowOff>
    </xdr:from>
    <xdr:to>
      <xdr:col>0</xdr:col>
      <xdr:colOff>590550</xdr:colOff>
      <xdr:row>213</xdr:row>
      <xdr:rowOff>628650</xdr:rowOff>
    </xdr:to>
    <xdr:pic>
      <xdr:nvPicPr>
        <xdr:cNvPr id="98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320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842</xdr:row>
      <xdr:rowOff>514350</xdr:rowOff>
    </xdr:from>
    <xdr:to>
      <xdr:col>0</xdr:col>
      <xdr:colOff>590550</xdr:colOff>
      <xdr:row>842</xdr:row>
      <xdr:rowOff>628650</xdr:rowOff>
    </xdr:to>
    <xdr:pic>
      <xdr:nvPicPr>
        <xdr:cNvPr id="98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270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873</xdr:row>
      <xdr:rowOff>514350</xdr:rowOff>
    </xdr:from>
    <xdr:to>
      <xdr:col>0</xdr:col>
      <xdr:colOff>590550</xdr:colOff>
      <xdr:row>873</xdr:row>
      <xdr:rowOff>628650</xdr:rowOff>
    </xdr:to>
    <xdr:pic>
      <xdr:nvPicPr>
        <xdr:cNvPr id="98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270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886</xdr:row>
      <xdr:rowOff>514350</xdr:rowOff>
    </xdr:from>
    <xdr:to>
      <xdr:col>0</xdr:col>
      <xdr:colOff>590550</xdr:colOff>
      <xdr:row>886</xdr:row>
      <xdr:rowOff>628650</xdr:rowOff>
    </xdr:to>
    <xdr:pic>
      <xdr:nvPicPr>
        <xdr:cNvPr id="98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6804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887</xdr:row>
      <xdr:rowOff>514350</xdr:rowOff>
    </xdr:from>
    <xdr:to>
      <xdr:col>0</xdr:col>
      <xdr:colOff>590550</xdr:colOff>
      <xdr:row>887</xdr:row>
      <xdr:rowOff>628650</xdr:rowOff>
    </xdr:to>
    <xdr:pic>
      <xdr:nvPicPr>
        <xdr:cNvPr id="98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6804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902</xdr:row>
      <xdr:rowOff>514350</xdr:rowOff>
    </xdr:from>
    <xdr:to>
      <xdr:col>0</xdr:col>
      <xdr:colOff>590550</xdr:colOff>
      <xdr:row>902</xdr:row>
      <xdr:rowOff>628650</xdr:rowOff>
    </xdr:to>
    <xdr:pic>
      <xdr:nvPicPr>
        <xdr:cNvPr id="98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6804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742</xdr:row>
      <xdr:rowOff>0</xdr:rowOff>
    </xdr:from>
    <xdr:to>
      <xdr:col>11</xdr:col>
      <xdr:colOff>9525</xdr:colOff>
      <xdr:row>742</xdr:row>
      <xdr:rowOff>161925</xdr:rowOff>
    </xdr:to>
    <xdr:pic>
      <xdr:nvPicPr>
        <xdr:cNvPr id="989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409575</xdr:colOff>
      <xdr:row>742</xdr:row>
      <xdr:rowOff>161925</xdr:rowOff>
    </xdr:to>
    <xdr:pic>
      <xdr:nvPicPr>
        <xdr:cNvPr id="990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742</xdr:row>
      <xdr:rowOff>0</xdr:rowOff>
    </xdr:from>
    <xdr:to>
      <xdr:col>13</xdr:col>
      <xdr:colOff>19050</xdr:colOff>
      <xdr:row>742</xdr:row>
      <xdr:rowOff>161925</xdr:rowOff>
    </xdr:to>
    <xdr:pic>
      <xdr:nvPicPr>
        <xdr:cNvPr id="991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742</xdr:row>
      <xdr:rowOff>0</xdr:rowOff>
    </xdr:from>
    <xdr:to>
      <xdr:col>13</xdr:col>
      <xdr:colOff>409575</xdr:colOff>
      <xdr:row>742</xdr:row>
      <xdr:rowOff>161925</xdr:rowOff>
    </xdr:to>
    <xdr:pic>
      <xdr:nvPicPr>
        <xdr:cNvPr id="992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993" name="Picture 8406" descr="A-14-701m">
          <a:hlinkClick xmlns:r="http://schemas.openxmlformats.org/officeDocument/2006/relationships" r:id="rId1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2</xdr:col>
      <xdr:colOff>0</xdr:colOff>
      <xdr:row>796</xdr:row>
      <xdr:rowOff>0</xdr:rowOff>
    </xdr:to>
    <xdr:pic>
      <xdr:nvPicPr>
        <xdr:cNvPr id="994" name="Picture 8408" descr="A-36-801m">
          <a:hlinkClick xmlns:r="http://schemas.openxmlformats.org/officeDocument/2006/relationships" r:id="rId1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796</xdr:row>
      <xdr:rowOff>0</xdr:rowOff>
    </xdr:from>
    <xdr:to>
      <xdr:col>2</xdr:col>
      <xdr:colOff>904875</xdr:colOff>
      <xdr:row>796</xdr:row>
      <xdr:rowOff>0</xdr:rowOff>
    </xdr:to>
    <xdr:pic>
      <xdr:nvPicPr>
        <xdr:cNvPr id="995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46027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463</xdr:row>
      <xdr:rowOff>0</xdr:rowOff>
    </xdr:from>
    <xdr:to>
      <xdr:col>11</xdr:col>
      <xdr:colOff>9525</xdr:colOff>
      <xdr:row>463</xdr:row>
      <xdr:rowOff>161925</xdr:rowOff>
    </xdr:to>
    <xdr:pic>
      <xdr:nvPicPr>
        <xdr:cNvPr id="996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44951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409575</xdr:colOff>
      <xdr:row>463</xdr:row>
      <xdr:rowOff>161925</xdr:rowOff>
    </xdr:to>
    <xdr:pic>
      <xdr:nvPicPr>
        <xdr:cNvPr id="997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44951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463</xdr:row>
      <xdr:rowOff>0</xdr:rowOff>
    </xdr:from>
    <xdr:to>
      <xdr:col>13</xdr:col>
      <xdr:colOff>19050</xdr:colOff>
      <xdr:row>463</xdr:row>
      <xdr:rowOff>161925</xdr:rowOff>
    </xdr:to>
    <xdr:pic>
      <xdr:nvPicPr>
        <xdr:cNvPr id="998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44951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463</xdr:row>
      <xdr:rowOff>0</xdr:rowOff>
    </xdr:from>
    <xdr:to>
      <xdr:col>13</xdr:col>
      <xdr:colOff>409575</xdr:colOff>
      <xdr:row>463</xdr:row>
      <xdr:rowOff>161925</xdr:rowOff>
    </xdr:to>
    <xdr:pic>
      <xdr:nvPicPr>
        <xdr:cNvPr id="999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44951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000" name="Picture 8421" descr="14-2620m">
          <a:hlinkClick xmlns:r="http://schemas.openxmlformats.org/officeDocument/2006/relationships" r:id="rId1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2</xdr:col>
      <xdr:colOff>0</xdr:colOff>
      <xdr:row>383</xdr:row>
      <xdr:rowOff>0</xdr:rowOff>
    </xdr:to>
    <xdr:pic>
      <xdr:nvPicPr>
        <xdr:cNvPr id="1001" name="Picture 8423" descr="14-5620m">
          <a:hlinkClick xmlns:r="http://schemas.openxmlformats.org/officeDocument/2006/relationships" r:id="rId1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2</xdr:col>
      <xdr:colOff>0</xdr:colOff>
      <xdr:row>437</xdr:row>
      <xdr:rowOff>0</xdr:rowOff>
    </xdr:to>
    <xdr:pic>
      <xdr:nvPicPr>
        <xdr:cNvPr id="1002" name="Picture 8426" descr="20-8615m">
          <a:hlinkClick xmlns:r="http://schemas.openxmlformats.org/officeDocument/2006/relationships" r:id="rId16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903</xdr:row>
      <xdr:rowOff>0</xdr:rowOff>
    </xdr:to>
    <xdr:pic>
      <xdr:nvPicPr>
        <xdr:cNvPr id="1003" name="Picture 8428" descr="G-12-703m">
          <a:hlinkClick xmlns:r="http://schemas.openxmlformats.org/officeDocument/2006/relationships" r:id="rId1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2</xdr:col>
      <xdr:colOff>0</xdr:colOff>
      <xdr:row>904</xdr:row>
      <xdr:rowOff>0</xdr:rowOff>
    </xdr:to>
    <xdr:pic>
      <xdr:nvPicPr>
        <xdr:cNvPr id="1004" name="Picture 8430" descr="G-14-101m">
          <a:hlinkClick xmlns:r="http://schemas.openxmlformats.org/officeDocument/2006/relationships" r:id="rId1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2</xdr:col>
      <xdr:colOff>0</xdr:colOff>
      <xdr:row>905</xdr:row>
      <xdr:rowOff>0</xdr:rowOff>
    </xdr:to>
    <xdr:pic>
      <xdr:nvPicPr>
        <xdr:cNvPr id="1005" name="Picture 8432" descr="G-14-102m">
          <a:hlinkClick xmlns:r="http://schemas.openxmlformats.org/officeDocument/2006/relationships" r:id="rId1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44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2</xdr:col>
      <xdr:colOff>0</xdr:colOff>
      <xdr:row>906</xdr:row>
      <xdr:rowOff>0</xdr:rowOff>
    </xdr:to>
    <xdr:pic>
      <xdr:nvPicPr>
        <xdr:cNvPr id="1006" name="Picture 8434" descr="G-14-602m">
          <a:hlinkClick xmlns:r="http://schemas.openxmlformats.org/officeDocument/2006/relationships" r:id="rId1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442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2</xdr:col>
      <xdr:colOff>0</xdr:colOff>
      <xdr:row>907</xdr:row>
      <xdr:rowOff>0</xdr:rowOff>
    </xdr:to>
    <xdr:pic>
      <xdr:nvPicPr>
        <xdr:cNvPr id="1007" name="Picture 8436" descr="G-14-701m">
          <a:hlinkClick xmlns:r="http://schemas.openxmlformats.org/officeDocument/2006/relationships" r:id="rId1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442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907</xdr:row>
      <xdr:rowOff>0</xdr:rowOff>
    </xdr:from>
    <xdr:to>
      <xdr:col>2</xdr:col>
      <xdr:colOff>0</xdr:colOff>
      <xdr:row>908</xdr:row>
      <xdr:rowOff>0</xdr:rowOff>
    </xdr:to>
    <xdr:pic>
      <xdr:nvPicPr>
        <xdr:cNvPr id="1008" name="Picture 8438" descr="G-34-101m">
          <a:hlinkClick xmlns:r="http://schemas.openxmlformats.org/officeDocument/2006/relationships" r:id="rId1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2</xdr:col>
      <xdr:colOff>0</xdr:colOff>
      <xdr:row>909</xdr:row>
      <xdr:rowOff>0</xdr:rowOff>
    </xdr:to>
    <xdr:pic>
      <xdr:nvPicPr>
        <xdr:cNvPr id="1009" name="Picture 8440" descr="G-34-701m">
          <a:hlinkClick xmlns:r="http://schemas.openxmlformats.org/officeDocument/2006/relationships" r:id="rId16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2</xdr:col>
      <xdr:colOff>0</xdr:colOff>
      <xdr:row>743</xdr:row>
      <xdr:rowOff>0</xdr:rowOff>
    </xdr:to>
    <xdr:pic>
      <xdr:nvPicPr>
        <xdr:cNvPr id="1010" name="Picture 8443" descr="14-7622-Km">
          <a:hlinkClick xmlns:r="http://schemas.openxmlformats.org/officeDocument/2006/relationships" r:id="rId1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2</xdr:col>
      <xdr:colOff>0</xdr:colOff>
      <xdr:row>594</xdr:row>
      <xdr:rowOff>0</xdr:rowOff>
    </xdr:to>
    <xdr:pic>
      <xdr:nvPicPr>
        <xdr:cNvPr id="1011" name="Picture 8445" descr="34-7622m">
          <a:hlinkClick xmlns:r="http://schemas.openxmlformats.org/officeDocument/2006/relationships" r:id="rId1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746</xdr:row>
      <xdr:rowOff>0</xdr:rowOff>
    </xdr:from>
    <xdr:to>
      <xdr:col>11</xdr:col>
      <xdr:colOff>9525</xdr:colOff>
      <xdr:row>746</xdr:row>
      <xdr:rowOff>161925</xdr:rowOff>
    </xdr:to>
    <xdr:pic>
      <xdr:nvPicPr>
        <xdr:cNvPr id="1012" name="Picture 4027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409575</xdr:colOff>
      <xdr:row>746</xdr:row>
      <xdr:rowOff>161925</xdr:rowOff>
    </xdr:to>
    <xdr:pic>
      <xdr:nvPicPr>
        <xdr:cNvPr id="1013" name="Picture 4028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746</xdr:row>
      <xdr:rowOff>0</xdr:rowOff>
    </xdr:from>
    <xdr:to>
      <xdr:col>13</xdr:col>
      <xdr:colOff>19050</xdr:colOff>
      <xdr:row>746</xdr:row>
      <xdr:rowOff>161925</xdr:rowOff>
    </xdr:to>
    <xdr:pic>
      <xdr:nvPicPr>
        <xdr:cNvPr id="1014" name="Picture 4029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746</xdr:row>
      <xdr:rowOff>0</xdr:rowOff>
    </xdr:from>
    <xdr:to>
      <xdr:col>13</xdr:col>
      <xdr:colOff>409575</xdr:colOff>
      <xdr:row>746</xdr:row>
      <xdr:rowOff>161925</xdr:rowOff>
    </xdr:to>
    <xdr:pic>
      <xdr:nvPicPr>
        <xdr:cNvPr id="1015" name="Picture 4030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2</xdr:col>
      <xdr:colOff>0</xdr:colOff>
      <xdr:row>747</xdr:row>
      <xdr:rowOff>0</xdr:rowOff>
    </xdr:to>
    <xdr:pic>
      <xdr:nvPicPr>
        <xdr:cNvPr id="1016" name="Picture 3995" descr="14-9614m">
          <a:hlinkClick xmlns:r="http://schemas.openxmlformats.org/officeDocument/2006/relationships" r:id="rId1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741</xdr:row>
      <xdr:rowOff>0</xdr:rowOff>
    </xdr:from>
    <xdr:to>
      <xdr:col>2</xdr:col>
      <xdr:colOff>0</xdr:colOff>
      <xdr:row>742</xdr:row>
      <xdr:rowOff>0</xdr:rowOff>
    </xdr:to>
    <xdr:pic>
      <xdr:nvPicPr>
        <xdr:cNvPr id="1017" name="Picture 3989" descr="14-5614m">
          <a:hlinkClick xmlns:r="http://schemas.openxmlformats.org/officeDocument/2006/relationships" r:id="rId1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741</xdr:row>
      <xdr:rowOff>0</xdr:rowOff>
    </xdr:from>
    <xdr:to>
      <xdr:col>11</xdr:col>
      <xdr:colOff>9525</xdr:colOff>
      <xdr:row>741</xdr:row>
      <xdr:rowOff>161925</xdr:rowOff>
    </xdr:to>
    <xdr:pic>
      <xdr:nvPicPr>
        <xdr:cNvPr id="1018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409575</xdr:colOff>
      <xdr:row>741</xdr:row>
      <xdr:rowOff>161925</xdr:rowOff>
    </xdr:to>
    <xdr:pic>
      <xdr:nvPicPr>
        <xdr:cNvPr id="1019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741</xdr:row>
      <xdr:rowOff>0</xdr:rowOff>
    </xdr:from>
    <xdr:to>
      <xdr:col>13</xdr:col>
      <xdr:colOff>19050</xdr:colOff>
      <xdr:row>741</xdr:row>
      <xdr:rowOff>161925</xdr:rowOff>
    </xdr:to>
    <xdr:pic>
      <xdr:nvPicPr>
        <xdr:cNvPr id="1020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741</xdr:row>
      <xdr:rowOff>0</xdr:rowOff>
    </xdr:from>
    <xdr:to>
      <xdr:col>13</xdr:col>
      <xdr:colOff>409575</xdr:colOff>
      <xdr:row>741</xdr:row>
      <xdr:rowOff>161925</xdr:rowOff>
    </xdr:to>
    <xdr:pic>
      <xdr:nvPicPr>
        <xdr:cNvPr id="1021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2</xdr:col>
      <xdr:colOff>0</xdr:colOff>
      <xdr:row>559</xdr:row>
      <xdr:rowOff>0</xdr:rowOff>
    </xdr:to>
    <xdr:pic>
      <xdr:nvPicPr>
        <xdr:cNvPr id="1022" name="Picture 8457" descr="34-3614m">
          <a:hlinkClick xmlns:r="http://schemas.openxmlformats.org/officeDocument/2006/relationships" r:id="rId16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1023" name="Picture 8460" descr="14-1623m">
          <a:hlinkClick xmlns:r="http://schemas.openxmlformats.org/officeDocument/2006/relationships" r:id="rId1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2</xdr:col>
      <xdr:colOff>0</xdr:colOff>
      <xdr:row>384</xdr:row>
      <xdr:rowOff>0</xdr:rowOff>
    </xdr:to>
    <xdr:pic>
      <xdr:nvPicPr>
        <xdr:cNvPr id="1024" name="Picture 8464" descr="14-5623m">
          <a:hlinkClick xmlns:r="http://schemas.openxmlformats.org/officeDocument/2006/relationships" r:id="rId16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2</xdr:col>
      <xdr:colOff>0</xdr:colOff>
      <xdr:row>648</xdr:row>
      <xdr:rowOff>0</xdr:rowOff>
    </xdr:to>
    <xdr:pic>
      <xdr:nvPicPr>
        <xdr:cNvPr id="1025" name="Picture 8465" descr="14-1623m">
          <a:hlinkClick xmlns:r="http://schemas.openxmlformats.org/officeDocument/2006/relationships" r:id="rId16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04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2</xdr:col>
      <xdr:colOff>0</xdr:colOff>
      <xdr:row>579</xdr:row>
      <xdr:rowOff>0</xdr:rowOff>
    </xdr:to>
    <xdr:pic>
      <xdr:nvPicPr>
        <xdr:cNvPr id="1026" name="Picture 8469" descr="34-5623m">
          <a:hlinkClick xmlns:r="http://schemas.openxmlformats.org/officeDocument/2006/relationships" r:id="rId1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740</xdr:row>
      <xdr:rowOff>0</xdr:rowOff>
    </xdr:from>
    <xdr:to>
      <xdr:col>11</xdr:col>
      <xdr:colOff>9525</xdr:colOff>
      <xdr:row>740</xdr:row>
      <xdr:rowOff>161925</xdr:rowOff>
    </xdr:to>
    <xdr:pic>
      <xdr:nvPicPr>
        <xdr:cNvPr id="1027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409575</xdr:colOff>
      <xdr:row>740</xdr:row>
      <xdr:rowOff>161925</xdr:rowOff>
    </xdr:to>
    <xdr:pic>
      <xdr:nvPicPr>
        <xdr:cNvPr id="1028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740</xdr:row>
      <xdr:rowOff>0</xdr:rowOff>
    </xdr:from>
    <xdr:to>
      <xdr:col>13</xdr:col>
      <xdr:colOff>19050</xdr:colOff>
      <xdr:row>740</xdr:row>
      <xdr:rowOff>161925</xdr:rowOff>
    </xdr:to>
    <xdr:pic>
      <xdr:nvPicPr>
        <xdr:cNvPr id="1029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740</xdr:row>
      <xdr:rowOff>0</xdr:rowOff>
    </xdr:from>
    <xdr:to>
      <xdr:col>13</xdr:col>
      <xdr:colOff>409575</xdr:colOff>
      <xdr:row>740</xdr:row>
      <xdr:rowOff>161925</xdr:rowOff>
    </xdr:to>
    <xdr:pic>
      <xdr:nvPicPr>
        <xdr:cNvPr id="1030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1" name="Picture 8475" descr="D-1006л-37m"/>
        <xdr:cNvPicPr>
          <a:picLocks noChangeAspect="1" noChangeArrowheads="1"/>
        </xdr:cNvPicPr>
      </xdr:nvPicPr>
      <xdr:blipFill>
        <a:blip xmlns:r="http://schemas.openxmlformats.org/officeDocument/2006/relationships" r:embed="rId1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2" name="Picture 8477" descr="D-1017л-02m"/>
        <xdr:cNvPicPr>
          <a:picLocks noChangeAspect="1" noChangeArrowheads="1"/>
        </xdr:cNvPicPr>
      </xdr:nvPicPr>
      <xdr:blipFill>
        <a:blip xmlns:r="http://schemas.openxmlformats.org/officeDocument/2006/relationships" r:embed="rId1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3" name="Picture 8479" descr="D-1025л-01m"/>
        <xdr:cNvPicPr>
          <a:picLocks noChangeAspect="1" noChangeArrowheads="1"/>
        </xdr:cNvPicPr>
      </xdr:nvPicPr>
      <xdr:blipFill>
        <a:blip xmlns:r="http://schemas.openxmlformats.org/officeDocument/2006/relationships" r:embed="rId1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4" name="Picture 8481" descr="D-1412л-01m"/>
        <xdr:cNvPicPr>
          <a:picLocks noChangeAspect="1" noChangeArrowheads="1"/>
        </xdr:cNvPicPr>
      </xdr:nvPicPr>
      <xdr:blipFill>
        <a:blip xmlns:r="http://schemas.openxmlformats.org/officeDocument/2006/relationships" r:embed="rId1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5" name="Picture 8483" descr="D-1412л-16m"/>
        <xdr:cNvPicPr>
          <a:picLocks noChangeAspect="1" noChangeArrowheads="1"/>
        </xdr:cNvPicPr>
      </xdr:nvPicPr>
      <xdr:blipFill>
        <a:blip xmlns:r="http://schemas.openxmlformats.org/officeDocument/2006/relationships" r:embed="rId1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6" name="Picture 8485" descr="D-1481-01m"/>
        <xdr:cNvPicPr>
          <a:picLocks noChangeAspect="1" noChangeArrowheads="1"/>
        </xdr:cNvPicPr>
      </xdr:nvPicPr>
      <xdr:blipFill>
        <a:blip xmlns:r="http://schemas.openxmlformats.org/officeDocument/2006/relationships" r:embed="rId1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7" name="Picture 8487" descr="D-1481-02m"/>
        <xdr:cNvPicPr>
          <a:picLocks noChangeAspect="1" noChangeArrowheads="1"/>
        </xdr:cNvPicPr>
      </xdr:nvPicPr>
      <xdr:blipFill>
        <a:blip xmlns:r="http://schemas.openxmlformats.org/officeDocument/2006/relationships" r:embed="rId1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8" name="Picture 8489" descr="D-1482л-91m"/>
        <xdr:cNvPicPr>
          <a:picLocks noChangeAspect="1" noChangeArrowheads="1"/>
        </xdr:cNvPicPr>
      </xdr:nvPicPr>
      <xdr:blipFill>
        <a:blip xmlns:r="http://schemas.openxmlformats.org/officeDocument/2006/relationships" r:embed="rId1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39" name="Picture 8491" descr="D-472л-01m"/>
        <xdr:cNvPicPr>
          <a:picLocks noChangeAspect="1" noChangeArrowheads="1"/>
        </xdr:cNvPicPr>
      </xdr:nvPicPr>
      <xdr:blipFill>
        <a:blip xmlns:r="http://schemas.openxmlformats.org/officeDocument/2006/relationships" r:embed="rId1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0" name="Picture 8493" descr="D-472л-02m"/>
        <xdr:cNvPicPr>
          <a:picLocks noChangeAspect="1" noChangeArrowheads="1"/>
        </xdr:cNvPicPr>
      </xdr:nvPicPr>
      <xdr:blipFill>
        <a:blip xmlns:r="http://schemas.openxmlformats.org/officeDocument/2006/relationships" r:embed="rId1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1" name="Picture 8495" descr="D-602л-01m"/>
        <xdr:cNvPicPr>
          <a:picLocks noChangeAspect="1" noChangeArrowheads="1"/>
        </xdr:cNvPicPr>
      </xdr:nvPicPr>
      <xdr:blipFill>
        <a:blip xmlns:r="http://schemas.openxmlformats.org/officeDocument/2006/relationships" r:embed="rId1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2" name="Picture 8496" descr="D-1010-01m"/>
        <xdr:cNvPicPr>
          <a:picLocks noChangeAspect="1" noChangeArrowheads="1"/>
        </xdr:cNvPicPr>
      </xdr:nvPicPr>
      <xdr:blipFill>
        <a:blip xmlns:r="http://schemas.openxmlformats.org/officeDocument/2006/relationships" r:embed="rId1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3" name="Picture 8497" descr="D-1010-02m"/>
        <xdr:cNvPicPr>
          <a:picLocks noChangeAspect="1" noChangeArrowheads="1"/>
        </xdr:cNvPicPr>
      </xdr:nvPicPr>
      <xdr:blipFill>
        <a:blip xmlns:r="http://schemas.openxmlformats.org/officeDocument/2006/relationships" r:embed="rId1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4" name="Picture 8498" descr="D-1114-95m"/>
        <xdr:cNvPicPr>
          <a:picLocks noChangeAspect="1" noChangeArrowheads="1"/>
        </xdr:cNvPicPr>
      </xdr:nvPicPr>
      <xdr:blipFill>
        <a:blip xmlns:r="http://schemas.openxmlformats.org/officeDocument/2006/relationships" r:embed="rId1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5" name="Picture 8499" descr="D-1120-01m"/>
        <xdr:cNvPicPr>
          <a:picLocks noChangeAspect="1" noChangeArrowheads="1"/>
        </xdr:cNvPicPr>
      </xdr:nvPicPr>
      <xdr:blipFill>
        <a:blip xmlns:r="http://schemas.openxmlformats.org/officeDocument/2006/relationships" r:embed="rId1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6" name="Picture 8500" descr="D-1207-01m"/>
        <xdr:cNvPicPr>
          <a:picLocks noChangeAspect="1" noChangeArrowheads="1"/>
        </xdr:cNvPicPr>
      </xdr:nvPicPr>
      <xdr:blipFill>
        <a:blip xmlns:r="http://schemas.openxmlformats.org/officeDocument/2006/relationships" r:embed="rId1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7" name="Picture 8501" descr="D-1227-37m"/>
        <xdr:cNvPicPr>
          <a:picLocks noChangeAspect="1" noChangeArrowheads="1"/>
        </xdr:cNvPicPr>
      </xdr:nvPicPr>
      <xdr:blipFill>
        <a:blip xmlns:r="http://schemas.openxmlformats.org/officeDocument/2006/relationships" r:embed="rId1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8" name="Picture 8502" descr="D-1228-01m"/>
        <xdr:cNvPicPr>
          <a:picLocks noChangeAspect="1" noChangeArrowheads="1"/>
        </xdr:cNvPicPr>
      </xdr:nvPicPr>
      <xdr:blipFill>
        <a:blip xmlns:r="http://schemas.openxmlformats.org/officeDocument/2006/relationships" r:embed="rId1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49" name="Picture 8503" descr="D-1401-02m"/>
        <xdr:cNvPicPr>
          <a:picLocks noChangeAspect="1" noChangeArrowheads="1"/>
        </xdr:cNvPicPr>
      </xdr:nvPicPr>
      <xdr:blipFill>
        <a:blip xmlns:r="http://schemas.openxmlformats.org/officeDocument/2006/relationships" r:embed="rId1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0" name="Picture 8504" descr="D-1408-01m"/>
        <xdr:cNvPicPr>
          <a:picLocks noChangeAspect="1" noChangeArrowheads="1"/>
        </xdr:cNvPicPr>
      </xdr:nvPicPr>
      <xdr:blipFill>
        <a:blip xmlns:r="http://schemas.openxmlformats.org/officeDocument/2006/relationships" r:embed="rId1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1" name="Picture 8505" descr="D-1413-01m"/>
        <xdr:cNvPicPr>
          <a:picLocks noChangeAspect="1" noChangeArrowheads="1"/>
        </xdr:cNvPicPr>
      </xdr:nvPicPr>
      <xdr:blipFill>
        <a:blip xmlns:r="http://schemas.openxmlformats.org/officeDocument/2006/relationships" r:embed="rId1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2" name="Picture 8507" descr="D-1420-01m"/>
        <xdr:cNvPicPr>
          <a:picLocks noChangeAspect="1" noChangeArrowheads="1"/>
        </xdr:cNvPicPr>
      </xdr:nvPicPr>
      <xdr:blipFill>
        <a:blip xmlns:r="http://schemas.openxmlformats.org/officeDocument/2006/relationships" r:embed="rId1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3" name="Picture 8508" descr="D-1421-01m"/>
        <xdr:cNvPicPr>
          <a:picLocks noChangeAspect="1" noChangeArrowheads="1"/>
        </xdr:cNvPicPr>
      </xdr:nvPicPr>
      <xdr:blipFill>
        <a:blip xmlns:r="http://schemas.openxmlformats.org/officeDocument/2006/relationships" r:embed="rId1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4" name="Picture 8509" descr="D-1425-01m"/>
        <xdr:cNvPicPr>
          <a:picLocks noChangeAspect="1" noChangeArrowheads="1"/>
        </xdr:cNvPicPr>
      </xdr:nvPicPr>
      <xdr:blipFill>
        <a:blip xmlns:r="http://schemas.openxmlformats.org/officeDocument/2006/relationships" r:embed="rId1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5" name="Picture 8510" descr="D-1429-02m"/>
        <xdr:cNvPicPr>
          <a:picLocks noChangeAspect="1" noChangeArrowheads="1"/>
        </xdr:cNvPicPr>
      </xdr:nvPicPr>
      <xdr:blipFill>
        <a:blip xmlns:r="http://schemas.openxmlformats.org/officeDocument/2006/relationships" r:embed="rId1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6" name="Picture 8511" descr="D-1434-01"/>
        <xdr:cNvPicPr>
          <a:picLocks noChangeAspect="1" noChangeArrowheads="1"/>
        </xdr:cNvPicPr>
      </xdr:nvPicPr>
      <xdr:blipFill>
        <a:blip xmlns:r="http://schemas.openxmlformats.org/officeDocument/2006/relationships" r:embed="rId1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7" name="Picture 8513" descr="D-1105-01m"/>
        <xdr:cNvPicPr>
          <a:picLocks noChangeAspect="1" noChangeArrowheads="1"/>
        </xdr:cNvPicPr>
      </xdr:nvPicPr>
      <xdr:blipFill>
        <a:blip xmlns:r="http://schemas.openxmlformats.org/officeDocument/2006/relationships" r:embed="rId1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8" name="Picture 8516" descr="D-1440-01m"/>
        <xdr:cNvPicPr>
          <a:picLocks noChangeAspect="1" noChangeArrowheads="1"/>
        </xdr:cNvPicPr>
      </xdr:nvPicPr>
      <xdr:blipFill>
        <a:blip xmlns:r="http://schemas.openxmlformats.org/officeDocument/2006/relationships" r:embed="rId1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59" name="Picture 8517" descr="D-1442-01m"/>
        <xdr:cNvPicPr>
          <a:picLocks noChangeAspect="1" noChangeArrowheads="1"/>
        </xdr:cNvPicPr>
      </xdr:nvPicPr>
      <xdr:blipFill>
        <a:blip xmlns:r="http://schemas.openxmlformats.org/officeDocument/2006/relationships" r:embed="rId1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0" name="Picture 8519" descr="D-1446-19m"/>
        <xdr:cNvPicPr>
          <a:picLocks noChangeAspect="1" noChangeArrowheads="1"/>
        </xdr:cNvPicPr>
      </xdr:nvPicPr>
      <xdr:blipFill>
        <a:blip xmlns:r="http://schemas.openxmlformats.org/officeDocument/2006/relationships" r:embed="rId1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1" name="Picture 8520" descr="D-1448-0130"/>
        <xdr:cNvPicPr>
          <a:picLocks noChangeAspect="1" noChangeArrowheads="1"/>
        </xdr:cNvPicPr>
      </xdr:nvPicPr>
      <xdr:blipFill>
        <a:blip xmlns:r="http://schemas.openxmlformats.org/officeDocument/2006/relationships" r:embed="rId1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2" name="Picture 8521" descr="D-1449-01m"/>
        <xdr:cNvPicPr>
          <a:picLocks noChangeAspect="1" noChangeArrowheads="1"/>
        </xdr:cNvPicPr>
      </xdr:nvPicPr>
      <xdr:blipFill>
        <a:blip xmlns:r="http://schemas.openxmlformats.org/officeDocument/2006/relationships" r:embed="rId1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3" name="Picture 8522" descr="D-1452-01m"/>
        <xdr:cNvPicPr>
          <a:picLocks noChangeAspect="1" noChangeArrowheads="1"/>
        </xdr:cNvPicPr>
      </xdr:nvPicPr>
      <xdr:blipFill>
        <a:blip xmlns:r="http://schemas.openxmlformats.org/officeDocument/2006/relationships" r:embed="rId1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4" name="Picture 8523" descr="D-1456-01m"/>
        <xdr:cNvPicPr>
          <a:picLocks noChangeAspect="1" noChangeArrowheads="1"/>
        </xdr:cNvPicPr>
      </xdr:nvPicPr>
      <xdr:blipFill>
        <a:blip xmlns:r="http://schemas.openxmlformats.org/officeDocument/2006/relationships" r:embed="rId1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5" name="Picture 8524" descr="D-1459-01m"/>
        <xdr:cNvPicPr>
          <a:picLocks noChangeAspect="1" noChangeArrowheads="1"/>
        </xdr:cNvPicPr>
      </xdr:nvPicPr>
      <xdr:blipFill>
        <a:blip xmlns:r="http://schemas.openxmlformats.org/officeDocument/2006/relationships" r:embed="rId1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6" name="Picture 8525" descr="D-1465-01m"/>
        <xdr:cNvPicPr>
          <a:picLocks noChangeAspect="1" noChangeArrowheads="1"/>
        </xdr:cNvPicPr>
      </xdr:nvPicPr>
      <xdr:blipFill>
        <a:blip xmlns:r="http://schemas.openxmlformats.org/officeDocument/2006/relationships" r:embed="rId1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7" name="Picture 8526" descr="D-1467-02m"/>
        <xdr:cNvPicPr>
          <a:picLocks noChangeAspect="1" noChangeArrowheads="1"/>
        </xdr:cNvPicPr>
      </xdr:nvPicPr>
      <xdr:blipFill>
        <a:blip xmlns:r="http://schemas.openxmlformats.org/officeDocument/2006/relationships" r:embed="rId1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8" name="Picture 8527" descr="D-1470-01m"/>
        <xdr:cNvPicPr>
          <a:picLocks noChangeAspect="1" noChangeArrowheads="1"/>
        </xdr:cNvPicPr>
      </xdr:nvPicPr>
      <xdr:blipFill>
        <a:blip xmlns:r="http://schemas.openxmlformats.org/officeDocument/2006/relationships" r:embed="rId1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69" name="Picture 8528" descr="D-1481л-01m"/>
        <xdr:cNvPicPr>
          <a:picLocks noChangeAspect="1" noChangeArrowheads="1"/>
        </xdr:cNvPicPr>
      </xdr:nvPicPr>
      <xdr:blipFill>
        <a:blip xmlns:r="http://schemas.openxmlformats.org/officeDocument/2006/relationships" r:embed="rId1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0" name="Picture 8529" descr="D-1481л-02m"/>
        <xdr:cNvPicPr>
          <a:picLocks noChangeAspect="1" noChangeArrowheads="1"/>
        </xdr:cNvPicPr>
      </xdr:nvPicPr>
      <xdr:blipFill>
        <a:blip xmlns:r="http://schemas.openxmlformats.org/officeDocument/2006/relationships" r:embed="rId1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1" name="Picture 8530" descr="D-1482-01m"/>
        <xdr:cNvPicPr>
          <a:picLocks noChangeAspect="1" noChangeArrowheads="1"/>
        </xdr:cNvPicPr>
      </xdr:nvPicPr>
      <xdr:blipFill>
        <a:blip xmlns:r="http://schemas.openxmlformats.org/officeDocument/2006/relationships" r:embed="rId17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2" name="Picture 8531" descr="D-1483-01m"/>
        <xdr:cNvPicPr>
          <a:picLocks noChangeAspect="1" noChangeArrowheads="1"/>
        </xdr:cNvPicPr>
      </xdr:nvPicPr>
      <xdr:blipFill>
        <a:blip xmlns:r="http://schemas.openxmlformats.org/officeDocument/2006/relationships" r:embed="rId1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3" name="Picture 8532" descr="D-1483-02m"/>
        <xdr:cNvPicPr>
          <a:picLocks noChangeAspect="1" noChangeArrowheads="1"/>
        </xdr:cNvPicPr>
      </xdr:nvPicPr>
      <xdr:blipFill>
        <a:blip xmlns:r="http://schemas.openxmlformats.org/officeDocument/2006/relationships" r:embed="rId1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4" name="Picture 8533" descr="D-1489-01m"/>
        <xdr:cNvPicPr>
          <a:picLocks noChangeAspect="1" noChangeArrowheads="1"/>
        </xdr:cNvPicPr>
      </xdr:nvPicPr>
      <xdr:blipFill>
        <a:blip xmlns:r="http://schemas.openxmlformats.org/officeDocument/2006/relationships" r:embed="rId1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5" name="Picture 8534" descr="D-1490-95m"/>
        <xdr:cNvPicPr>
          <a:picLocks noChangeAspect="1" noChangeArrowheads="1"/>
        </xdr:cNvPicPr>
      </xdr:nvPicPr>
      <xdr:blipFill>
        <a:blip xmlns:r="http://schemas.openxmlformats.org/officeDocument/2006/relationships" r:embed="rId1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6" name="Picture 8535" descr="D-1497-02m"/>
        <xdr:cNvPicPr>
          <a:picLocks noChangeAspect="1" noChangeArrowheads="1"/>
        </xdr:cNvPicPr>
      </xdr:nvPicPr>
      <xdr:blipFill>
        <a:blip xmlns:r="http://schemas.openxmlformats.org/officeDocument/2006/relationships" r:embed="rId1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7" name="Picture 8536" descr="D-1498-15mjpg"/>
        <xdr:cNvPicPr>
          <a:picLocks noChangeAspect="1" noChangeArrowheads="1"/>
        </xdr:cNvPicPr>
      </xdr:nvPicPr>
      <xdr:blipFill>
        <a:blip xmlns:r="http://schemas.openxmlformats.org/officeDocument/2006/relationships" r:embed="rId1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8" name="Picture 8537" descr="D-1499-01m"/>
        <xdr:cNvPicPr>
          <a:picLocks noChangeAspect="1" noChangeArrowheads="1"/>
        </xdr:cNvPicPr>
      </xdr:nvPicPr>
      <xdr:blipFill>
        <a:blip xmlns:r="http://schemas.openxmlformats.org/officeDocument/2006/relationships" r:embed="rId1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79" name="Picture 8538" descr="D-1906-0130m"/>
        <xdr:cNvPicPr>
          <a:picLocks noChangeAspect="1" noChangeArrowheads="1"/>
        </xdr:cNvPicPr>
      </xdr:nvPicPr>
      <xdr:blipFill>
        <a:blip xmlns:r="http://schemas.openxmlformats.org/officeDocument/2006/relationships" r:embed="rId1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0" name="Picture 8539" descr="D-1906-0903m"/>
        <xdr:cNvPicPr>
          <a:picLocks noChangeAspect="1" noChangeArrowheads="1"/>
        </xdr:cNvPicPr>
      </xdr:nvPicPr>
      <xdr:blipFill>
        <a:blip xmlns:r="http://schemas.openxmlformats.org/officeDocument/2006/relationships" r:embed="rId1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1" name="Picture 8540" descr="D-1906-0930m"/>
        <xdr:cNvPicPr>
          <a:picLocks noChangeAspect="1" noChangeArrowheads="1"/>
        </xdr:cNvPicPr>
      </xdr:nvPicPr>
      <xdr:blipFill>
        <a:blip xmlns:r="http://schemas.openxmlformats.org/officeDocument/2006/relationships" r:embed="rId1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2" name="Picture 8541" descr="D-1906-1632m"/>
        <xdr:cNvPicPr>
          <a:picLocks noChangeAspect="1" noChangeArrowheads="1"/>
        </xdr:cNvPicPr>
      </xdr:nvPicPr>
      <xdr:blipFill>
        <a:blip xmlns:r="http://schemas.openxmlformats.org/officeDocument/2006/relationships" r:embed="rId1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3" name="Picture 8542" descr="D-509-01m"/>
        <xdr:cNvPicPr>
          <a:picLocks noChangeAspect="1" noChangeArrowheads="1"/>
        </xdr:cNvPicPr>
      </xdr:nvPicPr>
      <xdr:blipFill>
        <a:blip xmlns:r="http://schemas.openxmlformats.org/officeDocument/2006/relationships" r:embed="rId1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4" name="Picture 8543" descr="D-510-01m"/>
        <xdr:cNvPicPr>
          <a:picLocks noChangeAspect="1" noChangeArrowheads="1"/>
        </xdr:cNvPicPr>
      </xdr:nvPicPr>
      <xdr:blipFill>
        <a:blip xmlns:r="http://schemas.openxmlformats.org/officeDocument/2006/relationships" r:embed="rId1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5" name="Picture 8544" descr="D-540-01m"/>
        <xdr:cNvPicPr>
          <a:picLocks noChangeAspect="1" noChangeArrowheads="1"/>
        </xdr:cNvPicPr>
      </xdr:nvPicPr>
      <xdr:blipFill>
        <a:blip xmlns:r="http://schemas.openxmlformats.org/officeDocument/2006/relationships" r:embed="rId17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6" name="Picture 8545" descr="D-637-01m"/>
        <xdr:cNvPicPr>
          <a:picLocks noChangeAspect="1" noChangeArrowheads="1"/>
        </xdr:cNvPicPr>
      </xdr:nvPicPr>
      <xdr:blipFill>
        <a:blip xmlns:r="http://schemas.openxmlformats.org/officeDocument/2006/relationships" r:embed="rId1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1087" name="Picture 8546" descr="D-639-01m"/>
        <xdr:cNvPicPr>
          <a:picLocks noChangeAspect="1" noChangeArrowheads="1"/>
        </xdr:cNvPicPr>
      </xdr:nvPicPr>
      <xdr:blipFill>
        <a:blip xmlns:r="http://schemas.openxmlformats.org/officeDocument/2006/relationships" r:embed="rId1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680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2</xdr:col>
      <xdr:colOff>0</xdr:colOff>
      <xdr:row>464</xdr:row>
      <xdr:rowOff>0</xdr:rowOff>
    </xdr:to>
    <xdr:pic>
      <xdr:nvPicPr>
        <xdr:cNvPr id="1088" name="Picture 8548" descr="28-3576m">
          <a:hlinkClick xmlns:r="http://schemas.openxmlformats.org/officeDocument/2006/relationships" r:id="rId1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95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2</xdr:col>
      <xdr:colOff>0</xdr:colOff>
      <xdr:row>675</xdr:row>
      <xdr:rowOff>0</xdr:rowOff>
    </xdr:to>
    <xdr:pic>
      <xdr:nvPicPr>
        <xdr:cNvPr id="1089" name="Picture 3320" descr="14-1530m">
          <a:hlinkClick xmlns:r="http://schemas.openxmlformats.org/officeDocument/2006/relationships" r:id="rId1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447</xdr:row>
      <xdr:rowOff>0</xdr:rowOff>
    </xdr:to>
    <xdr:pic>
      <xdr:nvPicPr>
        <xdr:cNvPr id="1090" name="Picture 4004" descr="14-1530m">
          <a:hlinkClick xmlns:r="http://schemas.openxmlformats.org/officeDocument/2006/relationships" r:id="rId17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pic>
      <xdr:nvPicPr>
        <xdr:cNvPr id="1091" name="Picture 3908" descr="14-2605m">
          <a:hlinkClick xmlns:r="http://schemas.openxmlformats.org/officeDocument/2006/relationships" r:id="rId1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737</xdr:row>
      <xdr:rowOff>0</xdr:rowOff>
    </xdr:from>
    <xdr:to>
      <xdr:col>11</xdr:col>
      <xdr:colOff>9525</xdr:colOff>
      <xdr:row>737</xdr:row>
      <xdr:rowOff>161925</xdr:rowOff>
    </xdr:to>
    <xdr:pic>
      <xdr:nvPicPr>
        <xdr:cNvPr id="1092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409575</xdr:colOff>
      <xdr:row>737</xdr:row>
      <xdr:rowOff>161925</xdr:rowOff>
    </xdr:to>
    <xdr:pic>
      <xdr:nvPicPr>
        <xdr:cNvPr id="1093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737</xdr:row>
      <xdr:rowOff>0</xdr:rowOff>
    </xdr:from>
    <xdr:to>
      <xdr:col>13</xdr:col>
      <xdr:colOff>19050</xdr:colOff>
      <xdr:row>737</xdr:row>
      <xdr:rowOff>161925</xdr:rowOff>
    </xdr:to>
    <xdr:pic>
      <xdr:nvPicPr>
        <xdr:cNvPr id="1094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737</xdr:row>
      <xdr:rowOff>0</xdr:rowOff>
    </xdr:from>
    <xdr:to>
      <xdr:col>13</xdr:col>
      <xdr:colOff>409575</xdr:colOff>
      <xdr:row>737</xdr:row>
      <xdr:rowOff>161925</xdr:rowOff>
    </xdr:to>
    <xdr:pic>
      <xdr:nvPicPr>
        <xdr:cNvPr id="1095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2</xdr:col>
      <xdr:colOff>9525</xdr:colOff>
      <xdr:row>264</xdr:row>
      <xdr:rowOff>9525</xdr:rowOff>
    </xdr:to>
    <xdr:pic>
      <xdr:nvPicPr>
        <xdr:cNvPr id="1096" name="Picture 4078" descr="14-1572m">
          <a:hlinkClick xmlns:r="http://schemas.openxmlformats.org/officeDocument/2006/relationships" r:id="rId1023"/>
        </xdr:cNvPr>
        <xdr:cNvPicPr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736</xdr:row>
      <xdr:rowOff>9525</xdr:rowOff>
    </xdr:from>
    <xdr:to>
      <xdr:col>2</xdr:col>
      <xdr:colOff>9525</xdr:colOff>
      <xdr:row>737</xdr:row>
      <xdr:rowOff>9525</xdr:rowOff>
    </xdr:to>
    <xdr:pic>
      <xdr:nvPicPr>
        <xdr:cNvPr id="1097" name="Picture 4078" descr="14-1572m">
          <a:hlinkClick xmlns:r="http://schemas.openxmlformats.org/officeDocument/2006/relationships" r:id="rId1023"/>
        </xdr:cNvPr>
        <xdr:cNvPicPr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736</xdr:row>
      <xdr:rowOff>9525</xdr:rowOff>
    </xdr:from>
    <xdr:to>
      <xdr:col>2</xdr:col>
      <xdr:colOff>9525</xdr:colOff>
      <xdr:row>737</xdr:row>
      <xdr:rowOff>9525</xdr:rowOff>
    </xdr:to>
    <xdr:pic>
      <xdr:nvPicPr>
        <xdr:cNvPr id="1098" name="Picture 4078" descr="14-1572m">
          <a:hlinkClick xmlns:r="http://schemas.openxmlformats.org/officeDocument/2006/relationships" r:id="rId1741"/>
        </xdr:cNvPr>
        <xdr:cNvPicPr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736</xdr:row>
      <xdr:rowOff>0</xdr:rowOff>
    </xdr:from>
    <xdr:to>
      <xdr:col>11</xdr:col>
      <xdr:colOff>9525</xdr:colOff>
      <xdr:row>736</xdr:row>
      <xdr:rowOff>161925</xdr:rowOff>
    </xdr:to>
    <xdr:pic>
      <xdr:nvPicPr>
        <xdr:cNvPr id="1099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409575</xdr:colOff>
      <xdr:row>736</xdr:row>
      <xdr:rowOff>161925</xdr:rowOff>
    </xdr:to>
    <xdr:pic>
      <xdr:nvPicPr>
        <xdr:cNvPr id="1100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736</xdr:row>
      <xdr:rowOff>0</xdr:rowOff>
    </xdr:from>
    <xdr:to>
      <xdr:col>13</xdr:col>
      <xdr:colOff>19050</xdr:colOff>
      <xdr:row>736</xdr:row>
      <xdr:rowOff>161925</xdr:rowOff>
    </xdr:to>
    <xdr:pic>
      <xdr:nvPicPr>
        <xdr:cNvPr id="1101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736</xdr:row>
      <xdr:rowOff>0</xdr:rowOff>
    </xdr:from>
    <xdr:to>
      <xdr:col>13</xdr:col>
      <xdr:colOff>409575</xdr:colOff>
      <xdr:row>736</xdr:row>
      <xdr:rowOff>161925</xdr:rowOff>
    </xdr:to>
    <xdr:pic>
      <xdr:nvPicPr>
        <xdr:cNvPr id="1102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1103" name="Picture 8565" descr="14-1624m">
          <a:hlinkClick xmlns:r="http://schemas.openxmlformats.org/officeDocument/2006/relationships" r:id="rId1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2</xdr:col>
      <xdr:colOff>0</xdr:colOff>
      <xdr:row>738</xdr:row>
      <xdr:rowOff>0</xdr:rowOff>
    </xdr:to>
    <xdr:pic>
      <xdr:nvPicPr>
        <xdr:cNvPr id="1104" name="Picture 8567" descr="14-1624-Km">
          <a:hlinkClick xmlns:r="http://schemas.openxmlformats.org/officeDocument/2006/relationships" r:id="rId1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374</xdr:row>
      <xdr:rowOff>0</xdr:rowOff>
    </xdr:to>
    <xdr:pic>
      <xdr:nvPicPr>
        <xdr:cNvPr id="1105" name="Picture 8569" descr="14-5539-Km">
          <a:hlinkClick xmlns:r="http://schemas.openxmlformats.org/officeDocument/2006/relationships" r:id="rId1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2</xdr:col>
      <xdr:colOff>0</xdr:colOff>
      <xdr:row>741</xdr:row>
      <xdr:rowOff>0</xdr:rowOff>
    </xdr:to>
    <xdr:pic>
      <xdr:nvPicPr>
        <xdr:cNvPr id="1106" name="Picture 8570" descr="14-5539-Km">
          <a:hlinkClick xmlns:r="http://schemas.openxmlformats.org/officeDocument/2006/relationships" r:id="rId1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2</xdr:col>
      <xdr:colOff>9525</xdr:colOff>
      <xdr:row>433</xdr:row>
      <xdr:rowOff>9525</xdr:rowOff>
    </xdr:to>
    <xdr:pic>
      <xdr:nvPicPr>
        <xdr:cNvPr id="1107" name="Picture 4078" descr="14-1572m">
          <a:hlinkClick xmlns:r="http://schemas.openxmlformats.org/officeDocument/2006/relationships" r:id="rId1749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453</xdr:row>
      <xdr:rowOff>0</xdr:rowOff>
    </xdr:from>
    <xdr:to>
      <xdr:col>2</xdr:col>
      <xdr:colOff>0</xdr:colOff>
      <xdr:row>454</xdr:row>
      <xdr:rowOff>0</xdr:rowOff>
    </xdr:to>
    <xdr:pic>
      <xdr:nvPicPr>
        <xdr:cNvPr id="1108" name="Picture 3946" descr="14-938m">
          <a:hlinkClick xmlns:r="http://schemas.openxmlformats.org/officeDocument/2006/relationships" r:id="rId1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648</xdr:row>
      <xdr:rowOff>0</xdr:rowOff>
    </xdr:from>
    <xdr:to>
      <xdr:col>2</xdr:col>
      <xdr:colOff>0</xdr:colOff>
      <xdr:row>649</xdr:row>
      <xdr:rowOff>0</xdr:rowOff>
    </xdr:to>
    <xdr:pic>
      <xdr:nvPicPr>
        <xdr:cNvPr id="1109" name="Picture 8579" descr="14-1624m">
          <a:hlinkClick xmlns:r="http://schemas.openxmlformats.org/officeDocument/2006/relationships" r:id="rId17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81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2</xdr:col>
      <xdr:colOff>0</xdr:colOff>
      <xdr:row>698</xdr:row>
      <xdr:rowOff>0</xdr:rowOff>
    </xdr:to>
    <xdr:pic>
      <xdr:nvPicPr>
        <xdr:cNvPr id="1110" name="Picture 3946" descr="14-938m">
          <a:hlinkClick xmlns:r="http://schemas.openxmlformats.org/officeDocument/2006/relationships" r:id="rId175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1111" name="Picture 3946" descr="14-938m">
          <a:hlinkClick xmlns:r="http://schemas.openxmlformats.org/officeDocument/2006/relationships" r:id="rId17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167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734</xdr:row>
      <xdr:rowOff>0</xdr:rowOff>
    </xdr:from>
    <xdr:to>
      <xdr:col>11</xdr:col>
      <xdr:colOff>9525</xdr:colOff>
      <xdr:row>734</xdr:row>
      <xdr:rowOff>161925</xdr:rowOff>
    </xdr:to>
    <xdr:pic>
      <xdr:nvPicPr>
        <xdr:cNvPr id="1112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409575</xdr:colOff>
      <xdr:row>734</xdr:row>
      <xdr:rowOff>161925</xdr:rowOff>
    </xdr:to>
    <xdr:pic>
      <xdr:nvPicPr>
        <xdr:cNvPr id="1113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734</xdr:row>
      <xdr:rowOff>0</xdr:rowOff>
    </xdr:from>
    <xdr:to>
      <xdr:col>13</xdr:col>
      <xdr:colOff>19050</xdr:colOff>
      <xdr:row>734</xdr:row>
      <xdr:rowOff>161925</xdr:rowOff>
    </xdr:to>
    <xdr:pic>
      <xdr:nvPicPr>
        <xdr:cNvPr id="1114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734</xdr:row>
      <xdr:rowOff>0</xdr:rowOff>
    </xdr:from>
    <xdr:to>
      <xdr:col>13</xdr:col>
      <xdr:colOff>409575</xdr:colOff>
      <xdr:row>734</xdr:row>
      <xdr:rowOff>161925</xdr:rowOff>
    </xdr:to>
    <xdr:pic>
      <xdr:nvPicPr>
        <xdr:cNvPr id="1115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2</xdr:col>
      <xdr:colOff>0</xdr:colOff>
      <xdr:row>735</xdr:row>
      <xdr:rowOff>0</xdr:rowOff>
    </xdr:to>
    <xdr:pic>
      <xdr:nvPicPr>
        <xdr:cNvPr id="1116" name="Picture 3442" descr="14-1559m">
          <a:hlinkClick xmlns:r="http://schemas.openxmlformats.org/officeDocument/2006/relationships" r:id="rId8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476</xdr:row>
      <xdr:rowOff>0</xdr:rowOff>
    </xdr:to>
    <xdr:pic>
      <xdr:nvPicPr>
        <xdr:cNvPr id="1117" name="Picture 8591" descr="14-2615m">
          <a:hlinkClick xmlns:r="http://schemas.openxmlformats.org/officeDocument/2006/relationships" r:id="rId1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23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2</xdr:col>
      <xdr:colOff>19050</xdr:colOff>
      <xdr:row>423</xdr:row>
      <xdr:rowOff>0</xdr:rowOff>
    </xdr:to>
    <xdr:pic>
      <xdr:nvPicPr>
        <xdr:cNvPr id="1118" name="Picture 3648" descr="14-1583m">
          <a:hlinkClick xmlns:r="http://schemas.openxmlformats.org/officeDocument/2006/relationships" r:id="rId17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643</xdr:row>
      <xdr:rowOff>0</xdr:rowOff>
    </xdr:from>
    <xdr:to>
      <xdr:col>2</xdr:col>
      <xdr:colOff>19050</xdr:colOff>
      <xdr:row>644</xdr:row>
      <xdr:rowOff>0</xdr:rowOff>
    </xdr:to>
    <xdr:pic>
      <xdr:nvPicPr>
        <xdr:cNvPr id="1119" name="Picture 3648" descr="14-1583m">
          <a:hlinkClick xmlns:r="http://schemas.openxmlformats.org/officeDocument/2006/relationships" r:id="rId1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763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732</xdr:row>
      <xdr:rowOff>0</xdr:rowOff>
    </xdr:from>
    <xdr:to>
      <xdr:col>2</xdr:col>
      <xdr:colOff>0</xdr:colOff>
      <xdr:row>733</xdr:row>
      <xdr:rowOff>0</xdr:rowOff>
    </xdr:to>
    <xdr:pic>
      <xdr:nvPicPr>
        <xdr:cNvPr id="1120" name="Picture 3927" descr="14-136m">
          <a:hlinkClick xmlns:r="http://schemas.openxmlformats.org/officeDocument/2006/relationships" r:id="rId17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732</xdr:row>
      <xdr:rowOff>0</xdr:rowOff>
    </xdr:from>
    <xdr:to>
      <xdr:col>11</xdr:col>
      <xdr:colOff>9525</xdr:colOff>
      <xdr:row>732</xdr:row>
      <xdr:rowOff>161925</xdr:rowOff>
    </xdr:to>
    <xdr:pic>
      <xdr:nvPicPr>
        <xdr:cNvPr id="1121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409575</xdr:colOff>
      <xdr:row>732</xdr:row>
      <xdr:rowOff>161925</xdr:rowOff>
    </xdr:to>
    <xdr:pic>
      <xdr:nvPicPr>
        <xdr:cNvPr id="1122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732</xdr:row>
      <xdr:rowOff>0</xdr:rowOff>
    </xdr:from>
    <xdr:to>
      <xdr:col>13</xdr:col>
      <xdr:colOff>19050</xdr:colOff>
      <xdr:row>732</xdr:row>
      <xdr:rowOff>161925</xdr:rowOff>
    </xdr:to>
    <xdr:pic>
      <xdr:nvPicPr>
        <xdr:cNvPr id="1123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732</xdr:row>
      <xdr:rowOff>0</xdr:rowOff>
    </xdr:from>
    <xdr:to>
      <xdr:col>13</xdr:col>
      <xdr:colOff>409575</xdr:colOff>
      <xdr:row>732</xdr:row>
      <xdr:rowOff>161925</xdr:rowOff>
    </xdr:to>
    <xdr:pic>
      <xdr:nvPicPr>
        <xdr:cNvPr id="1124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1288</xdr:row>
      <xdr:rowOff>0</xdr:rowOff>
    </xdr:from>
    <xdr:to>
      <xdr:col>2</xdr:col>
      <xdr:colOff>0</xdr:colOff>
      <xdr:row>1289</xdr:row>
      <xdr:rowOff>0</xdr:rowOff>
    </xdr:to>
    <xdr:pic>
      <xdr:nvPicPr>
        <xdr:cNvPr id="1125" name="Picture 8601" descr="T-TS-076m">
          <a:hlinkClick xmlns:r="http://schemas.openxmlformats.org/officeDocument/2006/relationships" r:id="rId1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068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623</xdr:row>
      <xdr:rowOff>0</xdr:rowOff>
    </xdr:from>
    <xdr:to>
      <xdr:col>2</xdr:col>
      <xdr:colOff>904875</xdr:colOff>
      <xdr:row>623</xdr:row>
      <xdr:rowOff>0</xdr:rowOff>
    </xdr:to>
    <xdr:pic>
      <xdr:nvPicPr>
        <xdr:cNvPr id="112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556194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127" name="Picture 8606" descr="14-1617m">
          <a:hlinkClick xmlns:r="http://schemas.openxmlformats.org/officeDocument/2006/relationships" r:id="rId1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1128" name="Picture 8608" descr="14-1617m">
          <a:hlinkClick xmlns:r="http://schemas.openxmlformats.org/officeDocument/2006/relationships" r:id="rId1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61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2</xdr:col>
      <xdr:colOff>0</xdr:colOff>
      <xdr:row>751</xdr:row>
      <xdr:rowOff>0</xdr:rowOff>
    </xdr:to>
    <xdr:pic>
      <xdr:nvPicPr>
        <xdr:cNvPr id="1129" name="Picture 8609" descr="14-1617m">
          <a:hlinkClick xmlns:r="http://schemas.openxmlformats.org/officeDocument/2006/relationships" r:id="rId17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2</xdr:col>
      <xdr:colOff>0</xdr:colOff>
      <xdr:row>647</xdr:row>
      <xdr:rowOff>0</xdr:rowOff>
    </xdr:to>
    <xdr:pic>
      <xdr:nvPicPr>
        <xdr:cNvPr id="1130" name="Picture 4094" descr="14-1621m">
          <a:hlinkClick xmlns:r="http://schemas.openxmlformats.org/officeDocument/2006/relationships" r:id="rId1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628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2</xdr:col>
      <xdr:colOff>0</xdr:colOff>
      <xdr:row>434</xdr:row>
      <xdr:rowOff>0</xdr:rowOff>
    </xdr:to>
    <xdr:pic>
      <xdr:nvPicPr>
        <xdr:cNvPr id="1131" name="Picture 4094" descr="14-1621m">
          <a:hlinkClick xmlns:r="http://schemas.openxmlformats.org/officeDocument/2006/relationships" r:id="rId17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433</xdr:row>
      <xdr:rowOff>28575</xdr:rowOff>
    </xdr:from>
    <xdr:to>
      <xdr:col>2</xdr:col>
      <xdr:colOff>904875</xdr:colOff>
      <xdr:row>433</xdr:row>
      <xdr:rowOff>142875</xdr:rowOff>
    </xdr:to>
    <xdr:pic>
      <xdr:nvPicPr>
        <xdr:cNvPr id="113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43703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19050</xdr:colOff>
      <xdr:row>200</xdr:row>
      <xdr:rowOff>0</xdr:rowOff>
    </xdr:to>
    <xdr:pic>
      <xdr:nvPicPr>
        <xdr:cNvPr id="1133" name="Picture 3614" descr="28-5578m">
          <a:hlinkClick xmlns:r="http://schemas.openxmlformats.org/officeDocument/2006/relationships" r:id="rId1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634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655</xdr:row>
      <xdr:rowOff>0</xdr:rowOff>
    </xdr:to>
    <xdr:pic>
      <xdr:nvPicPr>
        <xdr:cNvPr id="1134" name="Picture 3315" descr="14-227m">
          <a:hlinkClick xmlns:r="http://schemas.openxmlformats.org/officeDocument/2006/relationships" r:id="rId17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419</xdr:row>
      <xdr:rowOff>0</xdr:rowOff>
    </xdr:to>
    <xdr:pic>
      <xdr:nvPicPr>
        <xdr:cNvPr id="1135" name="Picture 3356" descr="34-1540m">
          <a:hlinkClick xmlns:r="http://schemas.openxmlformats.org/officeDocument/2006/relationships" r:id="rId1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730</xdr:row>
      <xdr:rowOff>0</xdr:rowOff>
    </xdr:from>
    <xdr:to>
      <xdr:col>2</xdr:col>
      <xdr:colOff>0</xdr:colOff>
      <xdr:row>731</xdr:row>
      <xdr:rowOff>0</xdr:rowOff>
    </xdr:to>
    <xdr:pic>
      <xdr:nvPicPr>
        <xdr:cNvPr id="1136" name="Picture 3920" descr="14-119m">
          <a:hlinkClick xmlns:r="http://schemas.openxmlformats.org/officeDocument/2006/relationships" r:id="rId1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730</xdr:row>
      <xdr:rowOff>0</xdr:rowOff>
    </xdr:from>
    <xdr:to>
      <xdr:col>11</xdr:col>
      <xdr:colOff>9525</xdr:colOff>
      <xdr:row>730</xdr:row>
      <xdr:rowOff>161925</xdr:rowOff>
    </xdr:to>
    <xdr:pic>
      <xdr:nvPicPr>
        <xdr:cNvPr id="1137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409575</xdr:colOff>
      <xdr:row>730</xdr:row>
      <xdr:rowOff>161925</xdr:rowOff>
    </xdr:to>
    <xdr:pic>
      <xdr:nvPicPr>
        <xdr:cNvPr id="1138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730</xdr:row>
      <xdr:rowOff>0</xdr:rowOff>
    </xdr:from>
    <xdr:to>
      <xdr:col>13</xdr:col>
      <xdr:colOff>19050</xdr:colOff>
      <xdr:row>730</xdr:row>
      <xdr:rowOff>161925</xdr:rowOff>
    </xdr:to>
    <xdr:pic>
      <xdr:nvPicPr>
        <xdr:cNvPr id="1139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730</xdr:row>
      <xdr:rowOff>0</xdr:rowOff>
    </xdr:from>
    <xdr:to>
      <xdr:col>13</xdr:col>
      <xdr:colOff>409575</xdr:colOff>
      <xdr:row>730</xdr:row>
      <xdr:rowOff>161925</xdr:rowOff>
    </xdr:to>
    <xdr:pic>
      <xdr:nvPicPr>
        <xdr:cNvPr id="1140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2</xdr:col>
      <xdr:colOff>0</xdr:colOff>
      <xdr:row>653</xdr:row>
      <xdr:rowOff>0</xdr:rowOff>
    </xdr:to>
    <xdr:pic>
      <xdr:nvPicPr>
        <xdr:cNvPr id="1141" name="Picture 3920" descr="14-119m">
          <a:hlinkClick xmlns:r="http://schemas.openxmlformats.org/officeDocument/2006/relationships" r:id="rId17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933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427</xdr:row>
      <xdr:rowOff>0</xdr:rowOff>
    </xdr:from>
    <xdr:to>
      <xdr:col>2</xdr:col>
      <xdr:colOff>0</xdr:colOff>
      <xdr:row>428</xdr:row>
      <xdr:rowOff>0</xdr:rowOff>
    </xdr:to>
    <xdr:pic>
      <xdr:nvPicPr>
        <xdr:cNvPr id="1142" name="Picture 3920" descr="14-119m">
          <a:hlinkClick xmlns:r="http://schemas.openxmlformats.org/officeDocument/2006/relationships" r:id="rId1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432</xdr:row>
      <xdr:rowOff>28575</xdr:rowOff>
    </xdr:from>
    <xdr:to>
      <xdr:col>2</xdr:col>
      <xdr:colOff>904875</xdr:colOff>
      <xdr:row>432</xdr:row>
      <xdr:rowOff>142875</xdr:rowOff>
    </xdr:to>
    <xdr:pic>
      <xdr:nvPicPr>
        <xdr:cNvPr id="114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43703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2</xdr:col>
      <xdr:colOff>0</xdr:colOff>
      <xdr:row>574</xdr:row>
      <xdr:rowOff>28575</xdr:rowOff>
    </xdr:to>
    <xdr:pic>
      <xdr:nvPicPr>
        <xdr:cNvPr id="1144" name="Picture 8627" descr="34-5539m">
          <a:hlinkClick xmlns:r="http://schemas.openxmlformats.org/officeDocument/2006/relationships" r:id="rId1771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738</xdr:row>
      <xdr:rowOff>0</xdr:rowOff>
    </xdr:from>
    <xdr:to>
      <xdr:col>11</xdr:col>
      <xdr:colOff>9525</xdr:colOff>
      <xdr:row>738</xdr:row>
      <xdr:rowOff>161925</xdr:rowOff>
    </xdr:to>
    <xdr:pic>
      <xdr:nvPicPr>
        <xdr:cNvPr id="1145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409575</xdr:colOff>
      <xdr:row>738</xdr:row>
      <xdr:rowOff>161925</xdr:rowOff>
    </xdr:to>
    <xdr:pic>
      <xdr:nvPicPr>
        <xdr:cNvPr id="1146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738</xdr:row>
      <xdr:rowOff>0</xdr:rowOff>
    </xdr:from>
    <xdr:to>
      <xdr:col>13</xdr:col>
      <xdr:colOff>19050</xdr:colOff>
      <xdr:row>738</xdr:row>
      <xdr:rowOff>161925</xdr:rowOff>
    </xdr:to>
    <xdr:pic>
      <xdr:nvPicPr>
        <xdr:cNvPr id="1147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738</xdr:row>
      <xdr:rowOff>0</xdr:rowOff>
    </xdr:from>
    <xdr:to>
      <xdr:col>13</xdr:col>
      <xdr:colOff>409575</xdr:colOff>
      <xdr:row>738</xdr:row>
      <xdr:rowOff>161925</xdr:rowOff>
    </xdr:to>
    <xdr:pic>
      <xdr:nvPicPr>
        <xdr:cNvPr id="1148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1142</xdr:row>
      <xdr:rowOff>0</xdr:rowOff>
    </xdr:from>
    <xdr:to>
      <xdr:col>2</xdr:col>
      <xdr:colOff>0</xdr:colOff>
      <xdr:row>1143</xdr:row>
      <xdr:rowOff>0</xdr:rowOff>
    </xdr:to>
    <xdr:pic>
      <xdr:nvPicPr>
        <xdr:cNvPr id="1149" name="Picture 8632" descr="T-TS-076m">
          <a:hlinkClick xmlns:r="http://schemas.openxmlformats.org/officeDocument/2006/relationships" r:id="rId17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968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2</xdr:col>
      <xdr:colOff>0</xdr:colOff>
      <xdr:row>732</xdr:row>
      <xdr:rowOff>0</xdr:rowOff>
    </xdr:to>
    <xdr:pic>
      <xdr:nvPicPr>
        <xdr:cNvPr id="1150" name="Picture 3921" descr="14-121m">
          <a:hlinkClick xmlns:r="http://schemas.openxmlformats.org/officeDocument/2006/relationships" r:id="rId1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731</xdr:row>
      <xdr:rowOff>0</xdr:rowOff>
    </xdr:from>
    <xdr:to>
      <xdr:col>11</xdr:col>
      <xdr:colOff>9525</xdr:colOff>
      <xdr:row>731</xdr:row>
      <xdr:rowOff>161925</xdr:rowOff>
    </xdr:to>
    <xdr:pic>
      <xdr:nvPicPr>
        <xdr:cNvPr id="1151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409575</xdr:colOff>
      <xdr:row>731</xdr:row>
      <xdr:rowOff>161925</xdr:rowOff>
    </xdr:to>
    <xdr:pic>
      <xdr:nvPicPr>
        <xdr:cNvPr id="1152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731</xdr:row>
      <xdr:rowOff>0</xdr:rowOff>
    </xdr:from>
    <xdr:to>
      <xdr:col>13</xdr:col>
      <xdr:colOff>19050</xdr:colOff>
      <xdr:row>731</xdr:row>
      <xdr:rowOff>161925</xdr:rowOff>
    </xdr:to>
    <xdr:pic>
      <xdr:nvPicPr>
        <xdr:cNvPr id="1153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731</xdr:row>
      <xdr:rowOff>0</xdr:rowOff>
    </xdr:from>
    <xdr:to>
      <xdr:col>13</xdr:col>
      <xdr:colOff>409575</xdr:colOff>
      <xdr:row>731</xdr:row>
      <xdr:rowOff>161925</xdr:rowOff>
    </xdr:to>
    <xdr:pic>
      <xdr:nvPicPr>
        <xdr:cNvPr id="1154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2</xdr:col>
      <xdr:colOff>0</xdr:colOff>
      <xdr:row>739</xdr:row>
      <xdr:rowOff>0</xdr:rowOff>
    </xdr:to>
    <xdr:pic>
      <xdr:nvPicPr>
        <xdr:cNvPr id="1155" name="Picture 8639" descr="36-9625-km">
          <a:hlinkClick xmlns:r="http://schemas.openxmlformats.org/officeDocument/2006/relationships" r:id="rId17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2</xdr:col>
      <xdr:colOff>0</xdr:colOff>
      <xdr:row>615</xdr:row>
      <xdr:rowOff>0</xdr:rowOff>
    </xdr:to>
    <xdr:pic>
      <xdr:nvPicPr>
        <xdr:cNvPr id="1156" name="Picture 8640" descr="36-9625-km">
          <a:hlinkClick xmlns:r="http://schemas.openxmlformats.org/officeDocument/2006/relationships" r:id="rId17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1157" name="Picture 8642" descr="36-9625-km">
          <a:hlinkClick xmlns:r="http://schemas.openxmlformats.org/officeDocument/2006/relationships" r:id="rId1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727</xdr:row>
      <xdr:rowOff>0</xdr:rowOff>
    </xdr:from>
    <xdr:to>
      <xdr:col>11</xdr:col>
      <xdr:colOff>9525</xdr:colOff>
      <xdr:row>727</xdr:row>
      <xdr:rowOff>161925</xdr:rowOff>
    </xdr:to>
    <xdr:pic>
      <xdr:nvPicPr>
        <xdr:cNvPr id="1158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409575</xdr:colOff>
      <xdr:row>727</xdr:row>
      <xdr:rowOff>161925</xdr:rowOff>
    </xdr:to>
    <xdr:pic>
      <xdr:nvPicPr>
        <xdr:cNvPr id="1159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727</xdr:row>
      <xdr:rowOff>0</xdr:rowOff>
    </xdr:from>
    <xdr:to>
      <xdr:col>13</xdr:col>
      <xdr:colOff>19050</xdr:colOff>
      <xdr:row>727</xdr:row>
      <xdr:rowOff>161925</xdr:rowOff>
    </xdr:to>
    <xdr:pic>
      <xdr:nvPicPr>
        <xdr:cNvPr id="1160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727</xdr:row>
      <xdr:rowOff>0</xdr:rowOff>
    </xdr:from>
    <xdr:to>
      <xdr:col>13</xdr:col>
      <xdr:colOff>409575</xdr:colOff>
      <xdr:row>727</xdr:row>
      <xdr:rowOff>161925</xdr:rowOff>
    </xdr:to>
    <xdr:pic>
      <xdr:nvPicPr>
        <xdr:cNvPr id="1161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1162" name="Picture 21372" descr="14-1505-1m">
          <a:hlinkClick xmlns:r="http://schemas.openxmlformats.org/officeDocument/2006/relationships" r:id="rId17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428</xdr:row>
      <xdr:rowOff>28575</xdr:rowOff>
    </xdr:from>
    <xdr:to>
      <xdr:col>2</xdr:col>
      <xdr:colOff>904875</xdr:colOff>
      <xdr:row>428</xdr:row>
      <xdr:rowOff>142875</xdr:rowOff>
    </xdr:to>
    <xdr:pic>
      <xdr:nvPicPr>
        <xdr:cNvPr id="116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43703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2</xdr:col>
      <xdr:colOff>0</xdr:colOff>
      <xdr:row>729</xdr:row>
      <xdr:rowOff>0</xdr:rowOff>
    </xdr:to>
    <xdr:pic>
      <xdr:nvPicPr>
        <xdr:cNvPr id="1164" name="Picture 21372" descr="14-1505-1m">
          <a:hlinkClick xmlns:r="http://schemas.openxmlformats.org/officeDocument/2006/relationships" r:id="rId1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10</xdr:col>
      <xdr:colOff>0</xdr:colOff>
      <xdr:row>728</xdr:row>
      <xdr:rowOff>0</xdr:rowOff>
    </xdr:from>
    <xdr:to>
      <xdr:col>11</xdr:col>
      <xdr:colOff>9525</xdr:colOff>
      <xdr:row>728</xdr:row>
      <xdr:rowOff>161925</xdr:rowOff>
    </xdr:to>
    <xdr:pic>
      <xdr:nvPicPr>
        <xdr:cNvPr id="1165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409575</xdr:colOff>
      <xdr:row>728</xdr:row>
      <xdr:rowOff>161925</xdr:rowOff>
    </xdr:to>
    <xdr:pic>
      <xdr:nvPicPr>
        <xdr:cNvPr id="1166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728</xdr:row>
      <xdr:rowOff>0</xdr:rowOff>
    </xdr:from>
    <xdr:to>
      <xdr:col>13</xdr:col>
      <xdr:colOff>19050</xdr:colOff>
      <xdr:row>728</xdr:row>
      <xdr:rowOff>161925</xdr:rowOff>
    </xdr:to>
    <xdr:pic>
      <xdr:nvPicPr>
        <xdr:cNvPr id="1167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728</xdr:row>
      <xdr:rowOff>0</xdr:rowOff>
    </xdr:from>
    <xdr:to>
      <xdr:col>13</xdr:col>
      <xdr:colOff>409575</xdr:colOff>
      <xdr:row>728</xdr:row>
      <xdr:rowOff>161925</xdr:rowOff>
    </xdr:to>
    <xdr:pic>
      <xdr:nvPicPr>
        <xdr:cNvPr id="1168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1169" name="Picture 8656" descr="14-1626m">
          <a:hlinkClick xmlns:r="http://schemas.openxmlformats.org/officeDocument/2006/relationships" r:id="rId1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853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2</xdr:col>
      <xdr:colOff>0</xdr:colOff>
      <xdr:row>728</xdr:row>
      <xdr:rowOff>0</xdr:rowOff>
    </xdr:to>
    <xdr:pic>
      <xdr:nvPicPr>
        <xdr:cNvPr id="1170" name="Picture 8658" descr="14-5530-Km">
          <a:hlinkClick xmlns:r="http://schemas.openxmlformats.org/officeDocument/2006/relationships" r:id="rId1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1171" name="Picture 8660" descr="14-3625m">
          <a:hlinkClick xmlns:r="http://schemas.openxmlformats.org/officeDocument/2006/relationships" r:id="rId17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015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2</xdr:col>
      <xdr:colOff>0</xdr:colOff>
      <xdr:row>438</xdr:row>
      <xdr:rowOff>0</xdr:rowOff>
    </xdr:to>
    <xdr:pic>
      <xdr:nvPicPr>
        <xdr:cNvPr id="1172" name="Picture 8662" descr="20-9625m">
          <a:hlinkClick xmlns:r="http://schemas.openxmlformats.org/officeDocument/2006/relationships" r:id="rId17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2</xdr:col>
      <xdr:colOff>0</xdr:colOff>
      <xdr:row>580</xdr:row>
      <xdr:rowOff>0</xdr:rowOff>
    </xdr:to>
    <xdr:pic>
      <xdr:nvPicPr>
        <xdr:cNvPr id="1173" name="Picture 8665" descr="34-5625m">
          <a:hlinkClick xmlns:r="http://schemas.openxmlformats.org/officeDocument/2006/relationships" r:id="rId1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2</xdr:col>
      <xdr:colOff>0</xdr:colOff>
      <xdr:row>431</xdr:row>
      <xdr:rowOff>0</xdr:rowOff>
    </xdr:to>
    <xdr:pic>
      <xdr:nvPicPr>
        <xdr:cNvPr id="1174" name="Picture 3486" descr="14-1566m">
          <a:hlinkClick xmlns:r="http://schemas.openxmlformats.org/officeDocument/2006/relationships" r:id="rId1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1175" name="Picture 8669" descr="14-2628m">
          <a:hlinkClick xmlns:r="http://schemas.openxmlformats.org/officeDocument/2006/relationships" r:id="rId17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204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2</xdr:col>
      <xdr:colOff>0</xdr:colOff>
      <xdr:row>549</xdr:row>
      <xdr:rowOff>0</xdr:rowOff>
    </xdr:to>
    <xdr:pic>
      <xdr:nvPicPr>
        <xdr:cNvPr id="1176" name="Picture 8675" descr="14-2628m">
          <a:hlinkClick xmlns:r="http://schemas.openxmlformats.org/officeDocument/2006/relationships" r:id="rId1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101</xdr:row>
      <xdr:rowOff>0</xdr:rowOff>
    </xdr:to>
    <xdr:pic>
      <xdr:nvPicPr>
        <xdr:cNvPr id="1177" name="Picture 8677" descr="14-2627m">
          <a:hlinkClick xmlns:r="http://schemas.openxmlformats.org/officeDocument/2006/relationships" r:id="rId1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53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2</xdr:col>
      <xdr:colOff>0</xdr:colOff>
      <xdr:row>910</xdr:row>
      <xdr:rowOff>0</xdr:rowOff>
    </xdr:to>
    <xdr:pic>
      <xdr:nvPicPr>
        <xdr:cNvPr id="1178" name="Picture 8679" descr="C-136m">
          <a:hlinkClick xmlns:r="http://schemas.openxmlformats.org/officeDocument/2006/relationships" r:id="rId1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2</xdr:col>
      <xdr:colOff>0</xdr:colOff>
      <xdr:row>911</xdr:row>
      <xdr:rowOff>0</xdr:rowOff>
    </xdr:to>
    <xdr:pic>
      <xdr:nvPicPr>
        <xdr:cNvPr id="1179" name="Picture 8680" descr="C-227m">
          <a:hlinkClick xmlns:r="http://schemas.openxmlformats.org/officeDocument/2006/relationships" r:id="rId1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2</xdr:col>
      <xdr:colOff>0</xdr:colOff>
      <xdr:row>912</xdr:row>
      <xdr:rowOff>0</xdr:rowOff>
    </xdr:to>
    <xdr:pic>
      <xdr:nvPicPr>
        <xdr:cNvPr id="1180" name="Picture 8681" descr="C-248m">
          <a:hlinkClick xmlns:r="http://schemas.openxmlformats.org/officeDocument/2006/relationships" r:id="rId1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2</xdr:col>
      <xdr:colOff>0</xdr:colOff>
      <xdr:row>913</xdr:row>
      <xdr:rowOff>0</xdr:rowOff>
    </xdr:to>
    <xdr:pic>
      <xdr:nvPicPr>
        <xdr:cNvPr id="1181" name="Picture 8682" descr="C-2579m">
          <a:hlinkClick xmlns:r="http://schemas.openxmlformats.org/officeDocument/2006/relationships" r:id="rId1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913</xdr:row>
      <xdr:rowOff>0</xdr:rowOff>
    </xdr:from>
    <xdr:to>
      <xdr:col>2</xdr:col>
      <xdr:colOff>0</xdr:colOff>
      <xdr:row>914</xdr:row>
      <xdr:rowOff>0</xdr:rowOff>
    </xdr:to>
    <xdr:pic>
      <xdr:nvPicPr>
        <xdr:cNvPr id="1182" name="Picture 8683" descr="C-2605Hm">
          <a:hlinkClick xmlns:r="http://schemas.openxmlformats.org/officeDocument/2006/relationships" r:id="rId1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915</xdr:row>
      <xdr:rowOff>0</xdr:rowOff>
    </xdr:from>
    <xdr:to>
      <xdr:col>2</xdr:col>
      <xdr:colOff>0</xdr:colOff>
      <xdr:row>916</xdr:row>
      <xdr:rowOff>0</xdr:rowOff>
    </xdr:to>
    <xdr:pic>
      <xdr:nvPicPr>
        <xdr:cNvPr id="1183" name="Picture 8688" descr="C-289Hm">
          <a:hlinkClick xmlns:r="http://schemas.openxmlformats.org/officeDocument/2006/relationships" r:id="rId1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2</xdr:col>
      <xdr:colOff>0</xdr:colOff>
      <xdr:row>915</xdr:row>
      <xdr:rowOff>0</xdr:rowOff>
    </xdr:to>
    <xdr:pic>
      <xdr:nvPicPr>
        <xdr:cNvPr id="1184" name="Picture 8689" descr="C-289m">
          <a:hlinkClick xmlns:r="http://schemas.openxmlformats.org/officeDocument/2006/relationships" r:id="rId1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2</xdr:col>
      <xdr:colOff>0</xdr:colOff>
      <xdr:row>917</xdr:row>
      <xdr:rowOff>0</xdr:rowOff>
    </xdr:to>
    <xdr:pic>
      <xdr:nvPicPr>
        <xdr:cNvPr id="1185" name="Picture 8690" descr="C-4576m">
          <a:hlinkClick xmlns:r="http://schemas.openxmlformats.org/officeDocument/2006/relationships" r:id="rId1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2</xdr:col>
      <xdr:colOff>0</xdr:colOff>
      <xdr:row>918</xdr:row>
      <xdr:rowOff>0</xdr:rowOff>
    </xdr:to>
    <xdr:pic>
      <xdr:nvPicPr>
        <xdr:cNvPr id="1186" name="Picture 8691" descr="C-4576Hm">
          <a:hlinkClick xmlns:r="http://schemas.openxmlformats.org/officeDocument/2006/relationships" r:id="rId1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918</xdr:row>
      <xdr:rowOff>0</xdr:rowOff>
    </xdr:from>
    <xdr:to>
      <xdr:col>2</xdr:col>
      <xdr:colOff>0</xdr:colOff>
      <xdr:row>919</xdr:row>
      <xdr:rowOff>0</xdr:rowOff>
    </xdr:to>
    <xdr:pic>
      <xdr:nvPicPr>
        <xdr:cNvPr id="1187" name="Picture 8692" descr="C-504m">
          <a:hlinkClick xmlns:r="http://schemas.openxmlformats.org/officeDocument/2006/relationships" r:id="rId1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2</xdr:col>
      <xdr:colOff>0</xdr:colOff>
      <xdr:row>920</xdr:row>
      <xdr:rowOff>0</xdr:rowOff>
    </xdr:to>
    <xdr:pic>
      <xdr:nvPicPr>
        <xdr:cNvPr id="1188" name="Picture 8693" descr="C-508m">
          <a:hlinkClick xmlns:r="http://schemas.openxmlformats.org/officeDocument/2006/relationships" r:id="rId1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2</xdr:col>
      <xdr:colOff>0</xdr:colOff>
      <xdr:row>921</xdr:row>
      <xdr:rowOff>0</xdr:rowOff>
    </xdr:to>
    <xdr:pic>
      <xdr:nvPicPr>
        <xdr:cNvPr id="1189" name="Picture 8694" descr="C-528m">
          <a:hlinkClick xmlns:r="http://schemas.openxmlformats.org/officeDocument/2006/relationships" r:id="rId1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2</xdr:col>
      <xdr:colOff>0</xdr:colOff>
      <xdr:row>922</xdr:row>
      <xdr:rowOff>0</xdr:rowOff>
    </xdr:to>
    <xdr:pic>
      <xdr:nvPicPr>
        <xdr:cNvPr id="1190" name="Picture 8695" descr="C-531Hm">
          <a:hlinkClick xmlns:r="http://schemas.openxmlformats.org/officeDocument/2006/relationships" r:id="rId1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2</xdr:col>
      <xdr:colOff>0</xdr:colOff>
      <xdr:row>923</xdr:row>
      <xdr:rowOff>0</xdr:rowOff>
    </xdr:to>
    <xdr:pic>
      <xdr:nvPicPr>
        <xdr:cNvPr id="1191" name="Picture 8696" descr="C-568Hm">
          <a:hlinkClick xmlns:r="http://schemas.openxmlformats.org/officeDocument/2006/relationships" r:id="rId1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923</xdr:row>
      <xdr:rowOff>0</xdr:rowOff>
    </xdr:from>
    <xdr:to>
      <xdr:col>2</xdr:col>
      <xdr:colOff>0</xdr:colOff>
      <xdr:row>924</xdr:row>
      <xdr:rowOff>0</xdr:rowOff>
    </xdr:to>
    <xdr:pic>
      <xdr:nvPicPr>
        <xdr:cNvPr id="1192" name="Picture 8697" descr="C-584m">
          <a:hlinkClick xmlns:r="http://schemas.openxmlformats.org/officeDocument/2006/relationships" r:id="rId1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2</xdr:col>
      <xdr:colOff>0</xdr:colOff>
      <xdr:row>925</xdr:row>
      <xdr:rowOff>0</xdr:rowOff>
    </xdr:to>
    <xdr:pic>
      <xdr:nvPicPr>
        <xdr:cNvPr id="1193" name="Picture 8698" descr="C-614m">
          <a:hlinkClick xmlns:r="http://schemas.openxmlformats.org/officeDocument/2006/relationships" r:id="rId1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925</xdr:row>
      <xdr:rowOff>0</xdr:rowOff>
    </xdr:from>
    <xdr:to>
      <xdr:col>2</xdr:col>
      <xdr:colOff>0</xdr:colOff>
      <xdr:row>926</xdr:row>
      <xdr:rowOff>0</xdr:rowOff>
    </xdr:to>
    <xdr:pic>
      <xdr:nvPicPr>
        <xdr:cNvPr id="1194" name="Picture 8699" descr="C-620m">
          <a:hlinkClick xmlns:r="http://schemas.openxmlformats.org/officeDocument/2006/relationships" r:id="rId1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2</xdr:col>
      <xdr:colOff>0</xdr:colOff>
      <xdr:row>927</xdr:row>
      <xdr:rowOff>0</xdr:rowOff>
    </xdr:to>
    <xdr:pic>
      <xdr:nvPicPr>
        <xdr:cNvPr id="1195" name="Picture 8700" descr="C-938m">
          <a:hlinkClick xmlns:r="http://schemas.openxmlformats.org/officeDocument/2006/relationships" r:id="rId1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326</xdr:row>
      <xdr:rowOff>28575</xdr:rowOff>
    </xdr:from>
    <xdr:to>
      <xdr:col>2</xdr:col>
      <xdr:colOff>904875</xdr:colOff>
      <xdr:row>326</xdr:row>
      <xdr:rowOff>142875</xdr:rowOff>
    </xdr:to>
    <xdr:pic>
      <xdr:nvPicPr>
        <xdr:cNvPr id="119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179099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327</xdr:row>
      <xdr:rowOff>28575</xdr:rowOff>
    </xdr:from>
    <xdr:to>
      <xdr:col>2</xdr:col>
      <xdr:colOff>904875</xdr:colOff>
      <xdr:row>327</xdr:row>
      <xdr:rowOff>142875</xdr:rowOff>
    </xdr:to>
    <xdr:pic>
      <xdr:nvPicPr>
        <xdr:cNvPr id="119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179099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2</xdr:col>
      <xdr:colOff>0</xdr:colOff>
      <xdr:row>327</xdr:row>
      <xdr:rowOff>0</xdr:rowOff>
    </xdr:to>
    <xdr:pic>
      <xdr:nvPicPr>
        <xdr:cNvPr id="1198" name="Picture 8704" descr="14-1629m">
          <a:hlinkClick xmlns:r="http://schemas.openxmlformats.org/officeDocument/2006/relationships" r:id="rId18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2</xdr:col>
      <xdr:colOff>0</xdr:colOff>
      <xdr:row>328</xdr:row>
      <xdr:rowOff>0</xdr:rowOff>
    </xdr:to>
    <xdr:pic>
      <xdr:nvPicPr>
        <xdr:cNvPr id="1199" name="Picture 8706" descr="14-1630m">
          <a:hlinkClick xmlns:r="http://schemas.openxmlformats.org/officeDocument/2006/relationships" r:id="rId18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2</xdr:col>
      <xdr:colOff>19050</xdr:colOff>
      <xdr:row>642</xdr:row>
      <xdr:rowOff>0</xdr:rowOff>
    </xdr:to>
    <xdr:pic>
      <xdr:nvPicPr>
        <xdr:cNvPr id="1200" name="Picture 3585" descr="14-1577m">
          <a:hlinkClick xmlns:r="http://schemas.openxmlformats.org/officeDocument/2006/relationships" r:id="rId1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00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641</xdr:row>
      <xdr:rowOff>0</xdr:rowOff>
    </xdr:to>
    <xdr:pic>
      <xdr:nvPicPr>
        <xdr:cNvPr id="1201" name="Picture 3502" descr="14-1569m">
          <a:hlinkClick xmlns:r="http://schemas.openxmlformats.org/officeDocument/2006/relationships" r:id="rId18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47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431</xdr:row>
      <xdr:rowOff>0</xdr:rowOff>
    </xdr:from>
    <xdr:to>
      <xdr:col>2</xdr:col>
      <xdr:colOff>0</xdr:colOff>
      <xdr:row>432</xdr:row>
      <xdr:rowOff>0</xdr:rowOff>
    </xdr:to>
    <xdr:pic>
      <xdr:nvPicPr>
        <xdr:cNvPr id="1202" name="Picture 3502" descr="14-1569m">
          <a:hlinkClick xmlns:r="http://schemas.openxmlformats.org/officeDocument/2006/relationships" r:id="rId1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646</xdr:row>
      <xdr:rowOff>0</xdr:rowOff>
    </xdr:from>
    <xdr:to>
      <xdr:col>2</xdr:col>
      <xdr:colOff>0</xdr:colOff>
      <xdr:row>646</xdr:row>
      <xdr:rowOff>0</xdr:rowOff>
    </xdr:to>
    <xdr:pic>
      <xdr:nvPicPr>
        <xdr:cNvPr id="1203" name="Picture 3983" descr="14-1612m">
          <a:hlinkClick xmlns:r="http://schemas.openxmlformats.org/officeDocument/2006/relationships" r:id="rId18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62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927</xdr:row>
      <xdr:rowOff>0</xdr:rowOff>
    </xdr:from>
    <xdr:to>
      <xdr:col>2</xdr:col>
      <xdr:colOff>0</xdr:colOff>
      <xdr:row>928</xdr:row>
      <xdr:rowOff>0</xdr:rowOff>
    </xdr:to>
    <xdr:pic>
      <xdr:nvPicPr>
        <xdr:cNvPr id="1204" name="Picture 11296" descr="MK-001m">
          <a:hlinkClick xmlns:r="http://schemas.openxmlformats.org/officeDocument/2006/relationships" r:id="rId1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2</xdr:col>
      <xdr:colOff>0</xdr:colOff>
      <xdr:row>929</xdr:row>
      <xdr:rowOff>0</xdr:rowOff>
    </xdr:to>
    <xdr:pic>
      <xdr:nvPicPr>
        <xdr:cNvPr id="1205" name="Picture 11299" descr="MK-002m">
          <a:hlinkClick xmlns:r="http://schemas.openxmlformats.org/officeDocument/2006/relationships" r:id="rId1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929</xdr:row>
      <xdr:rowOff>0</xdr:rowOff>
    </xdr:from>
    <xdr:to>
      <xdr:col>2</xdr:col>
      <xdr:colOff>0</xdr:colOff>
      <xdr:row>930</xdr:row>
      <xdr:rowOff>0</xdr:rowOff>
    </xdr:to>
    <xdr:pic>
      <xdr:nvPicPr>
        <xdr:cNvPr id="1206" name="Picture 11301" descr="MK-003m">
          <a:hlinkClick xmlns:r="http://schemas.openxmlformats.org/officeDocument/2006/relationships" r:id="rId1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930</xdr:row>
      <xdr:rowOff>0</xdr:rowOff>
    </xdr:from>
    <xdr:to>
      <xdr:col>2</xdr:col>
      <xdr:colOff>0</xdr:colOff>
      <xdr:row>931</xdr:row>
      <xdr:rowOff>0</xdr:rowOff>
    </xdr:to>
    <xdr:pic>
      <xdr:nvPicPr>
        <xdr:cNvPr id="1207" name="Picture 11303" descr="MK-004m">
          <a:hlinkClick xmlns:r="http://schemas.openxmlformats.org/officeDocument/2006/relationships" r:id="rId1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238</xdr:row>
      <xdr:rowOff>0</xdr:rowOff>
    </xdr:from>
    <xdr:to>
      <xdr:col>2</xdr:col>
      <xdr:colOff>904875</xdr:colOff>
      <xdr:row>238</xdr:row>
      <xdr:rowOff>0</xdr:rowOff>
    </xdr:to>
    <xdr:pic>
      <xdr:nvPicPr>
        <xdr:cNvPr id="120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99298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209" name="Picture 12602" descr="14-1632m">
          <a:hlinkClick xmlns:r="http://schemas.openxmlformats.org/officeDocument/2006/relationships" r:id="rId1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1210" name="Picture 19094" descr="14-2631m">
          <a:hlinkClick xmlns:r="http://schemas.openxmlformats.org/officeDocument/2006/relationships" r:id="rId1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5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962</xdr:row>
      <xdr:rowOff>0</xdr:rowOff>
    </xdr:from>
    <xdr:to>
      <xdr:col>2</xdr:col>
      <xdr:colOff>0</xdr:colOff>
      <xdr:row>963</xdr:row>
      <xdr:rowOff>0</xdr:rowOff>
    </xdr:to>
    <xdr:pic>
      <xdr:nvPicPr>
        <xdr:cNvPr id="1211" name="Рисунок 1305">
          <a:hlinkClick xmlns:r="http://schemas.openxmlformats.org/officeDocument/2006/relationships" r:id="rId1852"/>
        </xdr:cNvPr>
        <xdr:cNvPicPr>
          <a:picLocks noChangeAspect="1"/>
        </xdr:cNvPicPr>
      </xdr:nvPicPr>
      <xdr:blipFill>
        <a:blip xmlns:r="http://schemas.openxmlformats.org/officeDocument/2006/relationships" r:embed="rId1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961</xdr:row>
      <xdr:rowOff>0</xdr:rowOff>
    </xdr:from>
    <xdr:to>
      <xdr:col>2</xdr:col>
      <xdr:colOff>0</xdr:colOff>
      <xdr:row>962</xdr:row>
      <xdr:rowOff>0</xdr:rowOff>
    </xdr:to>
    <xdr:pic>
      <xdr:nvPicPr>
        <xdr:cNvPr id="1212" name="Рисунок 1307">
          <a:hlinkClick xmlns:r="http://schemas.openxmlformats.org/officeDocument/2006/relationships" r:id="rId1854"/>
        </xdr:cNvPr>
        <xdr:cNvPicPr>
          <a:picLocks noChangeAspect="1"/>
        </xdr:cNvPicPr>
      </xdr:nvPicPr>
      <xdr:blipFill>
        <a:blip xmlns:r="http://schemas.openxmlformats.org/officeDocument/2006/relationships" r:embed="rId1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2</xdr:col>
      <xdr:colOff>0</xdr:colOff>
      <xdr:row>349</xdr:row>
      <xdr:rowOff>0</xdr:rowOff>
    </xdr:to>
    <xdr:pic>
      <xdr:nvPicPr>
        <xdr:cNvPr id="1213" name="Рисунок 1306">
          <a:hlinkClick xmlns:r="http://schemas.openxmlformats.org/officeDocument/2006/relationships" r:id="rId1856"/>
        </xdr:cNvPr>
        <xdr:cNvPicPr>
          <a:picLocks noChangeAspect="1"/>
        </xdr:cNvPicPr>
      </xdr:nvPicPr>
      <xdr:blipFill>
        <a:blip xmlns:r="http://schemas.openxmlformats.org/officeDocument/2006/relationships" r:embed="rId1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280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2</xdr:col>
      <xdr:colOff>0</xdr:colOff>
      <xdr:row>550</xdr:row>
      <xdr:rowOff>0</xdr:rowOff>
    </xdr:to>
    <xdr:pic>
      <xdr:nvPicPr>
        <xdr:cNvPr id="1214" name="Рисунок 1307">
          <a:hlinkClick xmlns:r="http://schemas.openxmlformats.org/officeDocument/2006/relationships" r:id="rId1858"/>
        </xdr:cNvPr>
        <xdr:cNvPicPr>
          <a:picLocks noChangeAspect="1"/>
        </xdr:cNvPicPr>
      </xdr:nvPicPr>
      <xdr:blipFill>
        <a:blip xmlns:r="http://schemas.openxmlformats.org/officeDocument/2006/relationships" r:embed="rId1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473</xdr:row>
      <xdr:rowOff>0</xdr:rowOff>
    </xdr:to>
    <xdr:pic>
      <xdr:nvPicPr>
        <xdr:cNvPr id="1215" name="Рисунок 1311">
          <a:hlinkClick xmlns:r="http://schemas.openxmlformats.org/officeDocument/2006/relationships" r:id="rId1859"/>
        </xdr:cNvPr>
        <xdr:cNvPicPr>
          <a:picLocks noChangeAspect="1"/>
        </xdr:cNvPicPr>
      </xdr:nvPicPr>
      <xdr:blipFill>
        <a:blip xmlns:r="http://schemas.openxmlformats.org/officeDocument/2006/relationships" r:embed="rId1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647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216" name="Рисунок 1313">
          <a:hlinkClick xmlns:r="http://schemas.openxmlformats.org/officeDocument/2006/relationships" r:id="rId1861"/>
        </xdr:cNvPr>
        <xdr:cNvPicPr>
          <a:picLocks noChangeAspect="1"/>
        </xdr:cNvPicPr>
      </xdr:nvPicPr>
      <xdr:blipFill>
        <a:blip xmlns:r="http://schemas.openxmlformats.org/officeDocument/2006/relationships" r:embed="rId1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4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9525</xdr:rowOff>
    </xdr:from>
    <xdr:to>
      <xdr:col>2</xdr:col>
      <xdr:colOff>0</xdr:colOff>
      <xdr:row>329</xdr:row>
      <xdr:rowOff>0</xdr:rowOff>
    </xdr:to>
    <xdr:pic>
      <xdr:nvPicPr>
        <xdr:cNvPr id="1217" name="Picture 26904" descr="14-1633m">
          <a:hlinkClick xmlns:r="http://schemas.openxmlformats.org/officeDocument/2006/relationships" r:id="rId1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328</xdr:row>
      <xdr:rowOff>28575</xdr:rowOff>
    </xdr:from>
    <xdr:to>
      <xdr:col>2</xdr:col>
      <xdr:colOff>904875</xdr:colOff>
      <xdr:row>328</xdr:row>
      <xdr:rowOff>142875</xdr:rowOff>
    </xdr:to>
    <xdr:pic>
      <xdr:nvPicPr>
        <xdr:cNvPr id="121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179099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2</xdr:col>
      <xdr:colOff>0</xdr:colOff>
      <xdr:row>350</xdr:row>
      <xdr:rowOff>0</xdr:rowOff>
    </xdr:to>
    <xdr:pic>
      <xdr:nvPicPr>
        <xdr:cNvPr id="1219" name="Picture 34749" descr="14-2634m">
          <a:hlinkClick xmlns:r="http://schemas.openxmlformats.org/officeDocument/2006/relationships" r:id="rId1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356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1220" name="Picture 34750" descr="14-2634m">
          <a:hlinkClick xmlns:r="http://schemas.openxmlformats.org/officeDocument/2006/relationships" r:id="rId1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329</xdr:row>
      <xdr:rowOff>0</xdr:rowOff>
    </xdr:to>
    <xdr:pic>
      <xdr:nvPicPr>
        <xdr:cNvPr id="1221" name="Picture 132928" descr="14-1635m">
          <a:hlinkClick xmlns:r="http://schemas.openxmlformats.org/officeDocument/2006/relationships" r:id="rId18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2</xdr:col>
      <xdr:colOff>0</xdr:colOff>
      <xdr:row>530</xdr:row>
      <xdr:rowOff>0</xdr:rowOff>
    </xdr:to>
    <xdr:pic>
      <xdr:nvPicPr>
        <xdr:cNvPr id="1222" name="Picture 132930" descr="14-1635m">
          <a:hlinkClick xmlns:r="http://schemas.openxmlformats.org/officeDocument/2006/relationships" r:id="rId18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963</xdr:row>
      <xdr:rowOff>0</xdr:rowOff>
    </xdr:from>
    <xdr:to>
      <xdr:col>2</xdr:col>
      <xdr:colOff>0</xdr:colOff>
      <xdr:row>964</xdr:row>
      <xdr:rowOff>0</xdr:rowOff>
    </xdr:to>
    <xdr:pic>
      <xdr:nvPicPr>
        <xdr:cNvPr id="1223" name="Picture 168383" descr="K-18m">
          <a:hlinkClick xmlns:r="http://schemas.openxmlformats.org/officeDocument/2006/relationships" r:id="rId1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1289</xdr:row>
      <xdr:rowOff>0</xdr:rowOff>
    </xdr:from>
    <xdr:to>
      <xdr:col>2</xdr:col>
      <xdr:colOff>0</xdr:colOff>
      <xdr:row>1290</xdr:row>
      <xdr:rowOff>0</xdr:rowOff>
    </xdr:to>
    <xdr:pic>
      <xdr:nvPicPr>
        <xdr:cNvPr id="1224" name="Picture 168385" descr="T-TS-077m">
          <a:hlinkClick xmlns:r="http://schemas.openxmlformats.org/officeDocument/2006/relationships" r:id="rId1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145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619</xdr:row>
      <xdr:rowOff>0</xdr:rowOff>
    </xdr:to>
    <xdr:pic>
      <xdr:nvPicPr>
        <xdr:cNvPr id="1225" name="Picture 4191" descr="14-197m">
          <a:hlinkClick xmlns:r="http://schemas.openxmlformats.org/officeDocument/2006/relationships" r:id="rId1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257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1226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2</xdr:col>
      <xdr:colOff>0</xdr:colOff>
      <xdr:row>734</xdr:row>
      <xdr:rowOff>0</xdr:rowOff>
    </xdr:to>
    <xdr:pic>
      <xdr:nvPicPr>
        <xdr:cNvPr id="1227" name="Picture 3927" descr="14-136m">
          <a:hlinkClick xmlns:r="http://schemas.openxmlformats.org/officeDocument/2006/relationships" r:id="rId18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1282</xdr:row>
      <xdr:rowOff>0</xdr:rowOff>
    </xdr:from>
    <xdr:to>
      <xdr:col>2</xdr:col>
      <xdr:colOff>0</xdr:colOff>
      <xdr:row>1283</xdr:row>
      <xdr:rowOff>0</xdr:rowOff>
    </xdr:to>
    <xdr:pic>
      <xdr:nvPicPr>
        <xdr:cNvPr id="1228" name="Picture 222966" descr="T-TS-072-Bm">
          <a:hlinkClick xmlns:r="http://schemas.openxmlformats.org/officeDocument/2006/relationships" r:id="rId1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76404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19050</xdr:colOff>
      <xdr:row>333</xdr:row>
      <xdr:rowOff>0</xdr:rowOff>
    </xdr:to>
    <xdr:pic>
      <xdr:nvPicPr>
        <xdr:cNvPr id="1229" name="Picture 3717" descr="T-TS-067m">
          <a:hlinkClick xmlns:r="http://schemas.openxmlformats.org/officeDocument/2006/relationships" r:id="rId1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0</xdr:rowOff>
    </xdr:to>
    <xdr:pic>
      <xdr:nvPicPr>
        <xdr:cNvPr id="1230" name="Picture 3967" descr="34-136m">
          <a:hlinkClick xmlns:r="http://schemas.openxmlformats.org/officeDocument/2006/relationships" r:id="rId18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246</xdr:row>
      <xdr:rowOff>0</xdr:rowOff>
    </xdr:to>
    <xdr:pic>
      <xdr:nvPicPr>
        <xdr:cNvPr id="1231" name="Picture 3740" descr="28-4576m">
          <a:hlinkClick xmlns:r="http://schemas.openxmlformats.org/officeDocument/2006/relationships" r:id="rId1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269</xdr:row>
      <xdr:rowOff>0</xdr:rowOff>
    </xdr:to>
    <xdr:pic>
      <xdr:nvPicPr>
        <xdr:cNvPr id="1232" name="Picture 8460" descr="14-1623m">
          <a:hlinkClick xmlns:r="http://schemas.openxmlformats.org/officeDocument/2006/relationships" r:id="rId18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269</xdr:row>
      <xdr:rowOff>0</xdr:rowOff>
    </xdr:from>
    <xdr:to>
      <xdr:col>2</xdr:col>
      <xdr:colOff>933450</xdr:colOff>
      <xdr:row>269</xdr:row>
      <xdr:rowOff>0</xdr:rowOff>
    </xdr:to>
    <xdr:pic>
      <xdr:nvPicPr>
        <xdr:cNvPr id="123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0768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2</xdr:col>
      <xdr:colOff>0</xdr:colOff>
      <xdr:row>357</xdr:row>
      <xdr:rowOff>0</xdr:rowOff>
    </xdr:to>
    <xdr:pic>
      <xdr:nvPicPr>
        <xdr:cNvPr id="1234" name="Рисунок 1291">
          <a:hlinkClick xmlns:r="http://schemas.openxmlformats.org/officeDocument/2006/relationships" r:id="rId1884"/>
        </xdr:cNvPr>
        <xdr:cNvPicPr>
          <a:picLocks noChangeAspect="1"/>
        </xdr:cNvPicPr>
      </xdr:nvPicPr>
      <xdr:blipFill>
        <a:blip xmlns:r="http://schemas.openxmlformats.org/officeDocument/2006/relationships" r:embed="rId1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2</xdr:col>
      <xdr:colOff>0</xdr:colOff>
      <xdr:row>385</xdr:row>
      <xdr:rowOff>0</xdr:rowOff>
    </xdr:to>
    <xdr:pic>
      <xdr:nvPicPr>
        <xdr:cNvPr id="1235" name="Рисунок 1293">
          <a:hlinkClick xmlns:r="http://schemas.openxmlformats.org/officeDocument/2006/relationships" r:id="rId1886"/>
        </xdr:cNvPr>
        <xdr:cNvPicPr>
          <a:picLocks noChangeAspect="1"/>
        </xdr:cNvPicPr>
      </xdr:nvPicPr>
      <xdr:blipFill>
        <a:blip xmlns:r="http://schemas.openxmlformats.org/officeDocument/2006/relationships" r:embed="rId18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1236" name="Picture 3964" descr="34-121m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1237" name="Рисунок 1">
          <a:hlinkClick xmlns:r="http://schemas.openxmlformats.org/officeDocument/2006/relationships" r:id="rId1888"/>
        </xdr:cNvPr>
        <xdr:cNvPicPr>
          <a:picLocks noChangeAspect="1"/>
        </xdr:cNvPicPr>
      </xdr:nvPicPr>
      <xdr:blipFill>
        <a:blip xmlns:r="http://schemas.openxmlformats.org/officeDocument/2006/relationships" r:embed="rId18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238" name="Рисунок 1295">
          <a:hlinkClick xmlns:r="http://schemas.openxmlformats.org/officeDocument/2006/relationships" r:id="rId1890"/>
        </xdr:cNvPr>
        <xdr:cNvPicPr>
          <a:picLocks noChangeAspect="1"/>
        </xdr:cNvPicPr>
      </xdr:nvPicPr>
      <xdr:blipFill>
        <a:blip xmlns:r="http://schemas.openxmlformats.org/officeDocument/2006/relationships" r:embed="rId18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4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2</xdr:col>
      <xdr:colOff>0</xdr:colOff>
      <xdr:row>610</xdr:row>
      <xdr:rowOff>0</xdr:rowOff>
    </xdr:to>
    <xdr:pic>
      <xdr:nvPicPr>
        <xdr:cNvPr id="1239" name="Picture 4027" descr="14-374m">
          <a:hlinkClick xmlns:r="http://schemas.openxmlformats.org/officeDocument/2006/relationships" r:id="rId18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1240" name="Рисунок 1298">
          <a:hlinkClick xmlns:r="http://schemas.openxmlformats.org/officeDocument/2006/relationships" r:id="rId1892"/>
        </xdr:cNvPr>
        <xdr:cNvPicPr>
          <a:picLocks noChangeAspect="1"/>
        </xdr:cNvPicPr>
      </xdr:nvPicPr>
      <xdr:blipFill>
        <a:blip xmlns:r="http://schemas.openxmlformats.org/officeDocument/2006/relationships" r:embed="rId1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244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2</xdr:col>
      <xdr:colOff>0</xdr:colOff>
      <xdr:row>609</xdr:row>
      <xdr:rowOff>0</xdr:rowOff>
    </xdr:to>
    <xdr:pic>
      <xdr:nvPicPr>
        <xdr:cNvPr id="1241" name="Рисунок 1299">
          <a:hlinkClick xmlns:r="http://schemas.openxmlformats.org/officeDocument/2006/relationships" r:id="rId1894"/>
        </xdr:cNvPr>
        <xdr:cNvPicPr>
          <a:picLocks noChangeAspect="1"/>
        </xdr:cNvPicPr>
      </xdr:nvPicPr>
      <xdr:blipFill>
        <a:blip xmlns:r="http://schemas.openxmlformats.org/officeDocument/2006/relationships" r:embed="rId1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1242" name="Picture 4027" descr="14-374m">
          <a:hlinkClick xmlns:r="http://schemas.openxmlformats.org/officeDocument/2006/relationships" r:id="rId18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167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243" name="Рисунок 1302">
          <a:hlinkClick xmlns:r="http://schemas.openxmlformats.org/officeDocument/2006/relationships" r:id="rId1896"/>
        </xdr:cNvPr>
        <xdr:cNvPicPr>
          <a:picLocks noChangeAspect="1"/>
        </xdr:cNvPicPr>
      </xdr:nvPicPr>
      <xdr:blipFill>
        <a:blip xmlns:r="http://schemas.openxmlformats.org/officeDocument/2006/relationships" r:embed="rId18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255</xdr:row>
      <xdr:rowOff>0</xdr:rowOff>
    </xdr:to>
    <xdr:pic>
      <xdr:nvPicPr>
        <xdr:cNvPr id="1244" name="Рисунок 1304">
          <a:hlinkClick xmlns:r="http://schemas.openxmlformats.org/officeDocument/2006/relationships" r:id="rId1898"/>
        </xdr:cNvPr>
        <xdr:cNvPicPr>
          <a:picLocks noChangeAspect="1"/>
        </xdr:cNvPicPr>
      </xdr:nvPicPr>
      <xdr:blipFill>
        <a:blip xmlns:r="http://schemas.openxmlformats.org/officeDocument/2006/relationships" r:embed="rId18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1245" name="Рисунок 1306">
          <a:hlinkClick xmlns:r="http://schemas.openxmlformats.org/officeDocument/2006/relationships" r:id="rId1900"/>
        </xdr:cNvPr>
        <xdr:cNvPicPr>
          <a:picLocks noChangeAspect="1"/>
        </xdr:cNvPicPr>
      </xdr:nvPicPr>
      <xdr:blipFill>
        <a:blip xmlns:r="http://schemas.openxmlformats.org/officeDocument/2006/relationships" r:embed="rId19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608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246" name="Picture 3968" descr="34-141m">
          <a:hlinkClick xmlns:r="http://schemas.openxmlformats.org/officeDocument/2006/relationships" r:id="rId1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247" name="Picture 3321" descr="34-1530m">
          <a:hlinkClick xmlns:r="http://schemas.openxmlformats.org/officeDocument/2006/relationships" r:id="rId19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248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784</xdr:row>
      <xdr:rowOff>0</xdr:rowOff>
    </xdr:from>
    <xdr:to>
      <xdr:col>2</xdr:col>
      <xdr:colOff>0</xdr:colOff>
      <xdr:row>784</xdr:row>
      <xdr:rowOff>0</xdr:rowOff>
    </xdr:to>
    <xdr:pic>
      <xdr:nvPicPr>
        <xdr:cNvPr id="1249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pic>
      <xdr:nvPicPr>
        <xdr:cNvPr id="1250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251" name="Picture 543389" descr="14-3641m">
          <a:hlinkClick xmlns:r="http://schemas.openxmlformats.org/officeDocument/2006/relationships" r:id="rId1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082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2</xdr:col>
      <xdr:colOff>9525</xdr:colOff>
      <xdr:row>245</xdr:row>
      <xdr:rowOff>9525</xdr:rowOff>
    </xdr:to>
    <xdr:pic>
      <xdr:nvPicPr>
        <xdr:cNvPr id="1252" name="Picture 543390" descr="14-7641m">
          <a:hlinkClick xmlns:r="http://schemas.openxmlformats.org/officeDocument/2006/relationships" r:id="rId1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15936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245</xdr:row>
      <xdr:rowOff>9525</xdr:rowOff>
    </xdr:from>
    <xdr:to>
      <xdr:col>2</xdr:col>
      <xdr:colOff>9525</xdr:colOff>
      <xdr:row>246</xdr:row>
      <xdr:rowOff>0</xdr:rowOff>
    </xdr:to>
    <xdr:pic>
      <xdr:nvPicPr>
        <xdr:cNvPr id="1253" name="Picture 543391" descr="14-7641-1m">
          <a:hlinkClick xmlns:r="http://schemas.openxmlformats.org/officeDocument/2006/relationships" r:id="rId1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2355650"/>
          <a:ext cx="7620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1254" name="Picture 543394" descr="34-3508-1m">
          <a:hlinkClick xmlns:r="http://schemas.openxmlformats.org/officeDocument/2006/relationships" r:id="rId1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20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255" name="Picture 543395" descr="35-2640m">
          <a:hlinkClick xmlns:r="http://schemas.openxmlformats.org/officeDocument/2006/relationships" r:id="rId1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2</xdr:col>
      <xdr:colOff>0</xdr:colOff>
      <xdr:row>612</xdr:row>
      <xdr:rowOff>0</xdr:rowOff>
    </xdr:to>
    <xdr:pic>
      <xdr:nvPicPr>
        <xdr:cNvPr id="1256" name="Picture 543396" descr="35-5641m">
          <a:hlinkClick xmlns:r="http://schemas.openxmlformats.org/officeDocument/2006/relationships" r:id="rId1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2</xdr:col>
      <xdr:colOff>0</xdr:colOff>
      <xdr:row>613</xdr:row>
      <xdr:rowOff>0</xdr:rowOff>
    </xdr:to>
    <xdr:pic>
      <xdr:nvPicPr>
        <xdr:cNvPr id="1257" name="Picture 543397" descr="35-6538m">
          <a:hlinkClick xmlns:r="http://schemas.openxmlformats.org/officeDocument/2006/relationships" r:id="rId1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1258" name="Picture 543399" descr="28-549m">
          <a:hlinkClick xmlns:r="http://schemas.openxmlformats.org/officeDocument/2006/relationships" r:id="rId1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539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2</xdr:col>
      <xdr:colOff>0</xdr:colOff>
      <xdr:row>556</xdr:row>
      <xdr:rowOff>0</xdr:rowOff>
    </xdr:to>
    <xdr:pic>
      <xdr:nvPicPr>
        <xdr:cNvPr id="1259" name="Picture 543400" descr="14-3508-1">
          <a:hlinkClick xmlns:r="http://schemas.openxmlformats.org/officeDocument/2006/relationships" r:id="rId1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260" name="Picture 4065" descr="34-296m">
          <a:hlinkClick xmlns:r="http://schemas.openxmlformats.org/officeDocument/2006/relationships" r:id="rId1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263</xdr:row>
      <xdr:rowOff>523875</xdr:rowOff>
    </xdr:from>
    <xdr:to>
      <xdr:col>0</xdr:col>
      <xdr:colOff>781050</xdr:colOff>
      <xdr:row>263</xdr:row>
      <xdr:rowOff>619125</xdr:rowOff>
    </xdr:to>
    <xdr:pic>
      <xdr:nvPicPr>
        <xdr:cNvPr id="1261" name="Picture 4011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747</xdr:row>
      <xdr:rowOff>523875</xdr:rowOff>
    </xdr:from>
    <xdr:to>
      <xdr:col>0</xdr:col>
      <xdr:colOff>781050</xdr:colOff>
      <xdr:row>747</xdr:row>
      <xdr:rowOff>619125</xdr:rowOff>
    </xdr:to>
    <xdr:pic>
      <xdr:nvPicPr>
        <xdr:cNvPr id="1262" name="Picture 4010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747</xdr:row>
      <xdr:rowOff>0</xdr:rowOff>
    </xdr:from>
    <xdr:to>
      <xdr:col>2</xdr:col>
      <xdr:colOff>0</xdr:colOff>
      <xdr:row>748</xdr:row>
      <xdr:rowOff>0</xdr:rowOff>
    </xdr:to>
    <xdr:pic>
      <xdr:nvPicPr>
        <xdr:cNvPr id="1263" name="Picture 4061" descr="28-396m"/>
        <xdr:cNvPicPr>
          <a:picLocks noChangeAspect="1" noChangeArrowheads="1"/>
        </xdr:cNvPicPr>
      </xdr:nvPicPr>
      <xdr:blipFill>
        <a:blip xmlns:r="http://schemas.openxmlformats.org/officeDocument/2006/relationships" r:embed="rId1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264" name="Picture 543408" descr="14-1642m">
          <a:hlinkClick xmlns:r="http://schemas.openxmlformats.org/officeDocument/2006/relationships" r:id="rId1922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64125"/>
          <a:ext cx="752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265" name="Picture 543409" descr="14-1642m">
          <a:hlinkClick xmlns:r="http://schemas.openxmlformats.org/officeDocument/2006/relationships" r:id="rId1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1266" name="Picture 543411" descr="14-7641m">
          <a:hlinkClick xmlns:r="http://schemas.openxmlformats.org/officeDocument/2006/relationships" r:id="rId19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158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1020</xdr:row>
      <xdr:rowOff>0</xdr:rowOff>
    </xdr:from>
    <xdr:to>
      <xdr:col>2</xdr:col>
      <xdr:colOff>19050</xdr:colOff>
      <xdr:row>1020</xdr:row>
      <xdr:rowOff>0</xdr:rowOff>
    </xdr:to>
    <xdr:pic>
      <xdr:nvPicPr>
        <xdr:cNvPr id="1267" name="Picture 3644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252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1290</xdr:row>
      <xdr:rowOff>0</xdr:rowOff>
    </xdr:from>
    <xdr:to>
      <xdr:col>2</xdr:col>
      <xdr:colOff>0</xdr:colOff>
      <xdr:row>1291</xdr:row>
      <xdr:rowOff>0</xdr:rowOff>
    </xdr:to>
    <xdr:pic>
      <xdr:nvPicPr>
        <xdr:cNvPr id="1268" name="Picture 543414" descr="T-TS-078m">
          <a:hlinkClick xmlns:r="http://schemas.openxmlformats.org/officeDocument/2006/relationships" r:id="rId1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212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1291</xdr:row>
      <xdr:rowOff>0</xdr:rowOff>
    </xdr:from>
    <xdr:to>
      <xdr:col>2</xdr:col>
      <xdr:colOff>0</xdr:colOff>
      <xdr:row>1292</xdr:row>
      <xdr:rowOff>0</xdr:rowOff>
    </xdr:to>
    <xdr:pic>
      <xdr:nvPicPr>
        <xdr:cNvPr id="1269" name="Picture 543415" descr="T-TS-079m">
          <a:hlinkClick xmlns:r="http://schemas.openxmlformats.org/officeDocument/2006/relationships" r:id="rId1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974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1292</xdr:row>
      <xdr:rowOff>0</xdr:rowOff>
    </xdr:from>
    <xdr:to>
      <xdr:col>2</xdr:col>
      <xdr:colOff>0</xdr:colOff>
      <xdr:row>1293</xdr:row>
      <xdr:rowOff>0</xdr:rowOff>
    </xdr:to>
    <xdr:pic>
      <xdr:nvPicPr>
        <xdr:cNvPr id="1270" name="Picture 543416" descr="T-TS-079-L m">
          <a:hlinkClick xmlns:r="http://schemas.openxmlformats.org/officeDocument/2006/relationships" r:id="rId1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7364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271" name="Picture 3226" descr="14-116m">
          <a:hlinkClick xmlns:r="http://schemas.openxmlformats.org/officeDocument/2006/relationships" r:id="rId1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401</xdr:row>
      <xdr:rowOff>0</xdr:rowOff>
    </xdr:from>
    <xdr:to>
      <xdr:col>2</xdr:col>
      <xdr:colOff>0</xdr:colOff>
      <xdr:row>402</xdr:row>
      <xdr:rowOff>0</xdr:rowOff>
    </xdr:to>
    <xdr:pic>
      <xdr:nvPicPr>
        <xdr:cNvPr id="1272" name="Picture 8443" descr="14-7622-Km">
          <a:hlinkClick xmlns:r="http://schemas.openxmlformats.org/officeDocument/2006/relationships" r:id="rId19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60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1273" name="Picture 543419" descr="14-1637m">
          <a:hlinkClick xmlns:r="http://schemas.openxmlformats.org/officeDocument/2006/relationships" r:id="rId1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1274" name="Picture 543420" descr="14-1639m">
          <a:hlinkClick xmlns:r="http://schemas.openxmlformats.org/officeDocument/2006/relationships" r:id="rId1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472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1275" name="Picture 543421" descr="14-5643m">
          <a:hlinkClick xmlns:r="http://schemas.openxmlformats.org/officeDocument/2006/relationships" r:id="rId1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1276" name="Picture 543422" descr="14-3643m">
          <a:hlinkClick xmlns:r="http://schemas.openxmlformats.org/officeDocument/2006/relationships" r:id="rId1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1277" name="Picture 543423" descr="14-3643-1m">
          <a:hlinkClick xmlns:r="http://schemas.openxmlformats.org/officeDocument/2006/relationships" r:id="rId1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1278" name="Picture 543424" descr="35-6643m">
          <a:hlinkClick xmlns:r="http://schemas.openxmlformats.org/officeDocument/2006/relationships" r:id="rId1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279" name="Picture 543425" descr="35-2644m">
          <a:hlinkClick xmlns:r="http://schemas.openxmlformats.org/officeDocument/2006/relationships" r:id="rId1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1293</xdr:row>
      <xdr:rowOff>0</xdr:rowOff>
    </xdr:from>
    <xdr:to>
      <xdr:col>2</xdr:col>
      <xdr:colOff>0</xdr:colOff>
      <xdr:row>1294</xdr:row>
      <xdr:rowOff>0</xdr:rowOff>
    </xdr:to>
    <xdr:pic>
      <xdr:nvPicPr>
        <xdr:cNvPr id="1280" name="Picture 543427" descr="T-TS-080m">
          <a:hlinkClick xmlns:r="http://schemas.openxmlformats.org/officeDocument/2006/relationships" r:id="rId1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736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1294</xdr:row>
      <xdr:rowOff>0</xdr:rowOff>
    </xdr:from>
    <xdr:to>
      <xdr:col>2</xdr:col>
      <xdr:colOff>0</xdr:colOff>
      <xdr:row>1295</xdr:row>
      <xdr:rowOff>0</xdr:rowOff>
    </xdr:to>
    <xdr:pic>
      <xdr:nvPicPr>
        <xdr:cNvPr id="1281" name="Picture 543429" descr="T-TS-080m">
          <a:hlinkClick xmlns:r="http://schemas.openxmlformats.org/officeDocument/2006/relationships" r:id="rId1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44984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964</xdr:row>
      <xdr:rowOff>0</xdr:rowOff>
    </xdr:from>
    <xdr:to>
      <xdr:col>2</xdr:col>
      <xdr:colOff>0</xdr:colOff>
      <xdr:row>965</xdr:row>
      <xdr:rowOff>0</xdr:rowOff>
    </xdr:to>
    <xdr:pic>
      <xdr:nvPicPr>
        <xdr:cNvPr id="1282" name="Picture 543430" descr="1">
          <a:hlinkClick xmlns:r="http://schemas.openxmlformats.org/officeDocument/2006/relationships" r:id="rId19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204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965</xdr:row>
      <xdr:rowOff>0</xdr:rowOff>
    </xdr:from>
    <xdr:to>
      <xdr:col>2</xdr:col>
      <xdr:colOff>0</xdr:colOff>
      <xdr:row>966</xdr:row>
      <xdr:rowOff>0</xdr:rowOff>
    </xdr:to>
    <xdr:pic>
      <xdr:nvPicPr>
        <xdr:cNvPr id="1283" name="Picture 543431" descr="1">
          <a:hlinkClick xmlns:r="http://schemas.openxmlformats.org/officeDocument/2006/relationships" r:id="rId19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9664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284" name="Picture 543432" descr="14-116-1m">
          <a:hlinkClick xmlns:r="http://schemas.openxmlformats.org/officeDocument/2006/relationships" r:id="rId1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0519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382</xdr:row>
      <xdr:rowOff>0</xdr:rowOff>
    </xdr:to>
    <xdr:pic>
      <xdr:nvPicPr>
        <xdr:cNvPr id="1285" name="Picture 543433" descr="14-5615m">
          <a:hlinkClick xmlns:r="http://schemas.openxmlformats.org/officeDocument/2006/relationships" r:id="rId1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1878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2</xdr:col>
      <xdr:colOff>0</xdr:colOff>
      <xdr:row>474</xdr:row>
      <xdr:rowOff>0</xdr:rowOff>
    </xdr:to>
    <xdr:pic>
      <xdr:nvPicPr>
        <xdr:cNvPr id="1286" name="Picture 543434" descr="28-527m">
          <a:hlinkClick xmlns:r="http://schemas.openxmlformats.org/officeDocument/2006/relationships" r:id="rId19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6475450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0</xdr:rowOff>
    </xdr:to>
    <xdr:pic>
      <xdr:nvPicPr>
        <xdr:cNvPr id="1287" name="Picture 543436" descr="14-3620m">
          <a:hlinkClick xmlns:r="http://schemas.openxmlformats.org/officeDocument/2006/relationships" r:id="rId1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567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263</xdr:row>
      <xdr:rowOff>0</xdr:rowOff>
    </xdr:to>
    <xdr:pic>
      <xdr:nvPicPr>
        <xdr:cNvPr id="1288" name="Picture 543437" descr="35-717m">
          <a:hlinkClick xmlns:r="http://schemas.openxmlformats.org/officeDocument/2006/relationships" r:id="rId1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289" name="Picture 543438" descr="35-7506m">
          <a:hlinkClick xmlns:r="http://schemas.openxmlformats.org/officeDocument/2006/relationships" r:id="rId19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290" name="Picture 543439" descr="35-2640m">
          <a:hlinkClick xmlns:r="http://schemas.openxmlformats.org/officeDocument/2006/relationships" r:id="rId1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216</xdr:row>
      <xdr:rowOff>0</xdr:rowOff>
    </xdr:from>
    <xdr:to>
      <xdr:col>2</xdr:col>
      <xdr:colOff>9525</xdr:colOff>
      <xdr:row>216</xdr:row>
      <xdr:rowOff>0</xdr:rowOff>
    </xdr:to>
    <xdr:pic>
      <xdr:nvPicPr>
        <xdr:cNvPr id="1291" name="Picture 4079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1292" name="Picture 543445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1293" name="Picture 543447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1294" name="Picture 543448" descr="35-1645m">
          <a:hlinkClick xmlns:r="http://schemas.openxmlformats.org/officeDocument/2006/relationships" r:id="rId19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196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295" name="Picture 543450" descr="14-1649m">
          <a:hlinkClick xmlns:r="http://schemas.openxmlformats.org/officeDocument/2006/relationships" r:id="rId19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296" name="Picture 543451" descr="14-1649m">
          <a:hlinkClick xmlns:r="http://schemas.openxmlformats.org/officeDocument/2006/relationships" r:id="rId19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297" name="Picture 543452" descr="14-1652m">
          <a:hlinkClick xmlns:r="http://schemas.openxmlformats.org/officeDocument/2006/relationships" r:id="rId19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298" name="Picture 543453" descr="14-1652m">
          <a:hlinkClick xmlns:r="http://schemas.openxmlformats.org/officeDocument/2006/relationships" r:id="rId19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299" name="Picture 543454" descr="14-1651m">
          <a:hlinkClick xmlns:r="http://schemas.openxmlformats.org/officeDocument/2006/relationships" r:id="rId19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300" name="Picture 543456" descr="14-1650m">
          <a:hlinkClick xmlns:r="http://schemas.openxmlformats.org/officeDocument/2006/relationships" r:id="rId19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00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301" name="Picture 543458" descr="14-1650m">
          <a:hlinkClick xmlns:r="http://schemas.openxmlformats.org/officeDocument/2006/relationships" r:id="rId19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00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1302" name="Picture 543459" descr="28-7648m">
          <a:hlinkClick xmlns:r="http://schemas.openxmlformats.org/officeDocument/2006/relationships" r:id="rId1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1303" name="Picture 543460" descr="35-3648m">
          <a:hlinkClick xmlns:r="http://schemas.openxmlformats.org/officeDocument/2006/relationships" r:id="rId19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1304" name="Picture 543461" descr="35-8648m">
          <a:hlinkClick xmlns:r="http://schemas.openxmlformats.org/officeDocument/2006/relationships" r:id="rId19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305" name="Picture 3068" descr="34-1501m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306" name="Picture 21383" descr="34-1505m">
          <a:hlinkClick xmlns:r="http://schemas.openxmlformats.org/officeDocument/2006/relationships" r:id="rId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307" name="Picture 21384" descr="34-1505-1m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1308" name="Picture 543466" descr="14-1646">
          <a:hlinkClick xmlns:r="http://schemas.openxmlformats.org/officeDocument/2006/relationships" r:id="rId1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226</xdr:row>
      <xdr:rowOff>0</xdr:rowOff>
    </xdr:to>
    <xdr:pic>
      <xdr:nvPicPr>
        <xdr:cNvPr id="1309" name="Picture 3444" descr="14-1559m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435</xdr:row>
      <xdr:rowOff>0</xdr:rowOff>
    </xdr:to>
    <xdr:pic>
      <xdr:nvPicPr>
        <xdr:cNvPr id="1310" name="Picture 4094" descr="14-1621m">
          <a:hlinkClick xmlns:r="http://schemas.openxmlformats.org/officeDocument/2006/relationships" r:id="rId19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127</xdr:row>
      <xdr:rowOff>28575</xdr:rowOff>
    </xdr:from>
    <xdr:to>
      <xdr:col>2</xdr:col>
      <xdr:colOff>904875</xdr:colOff>
      <xdr:row>127</xdr:row>
      <xdr:rowOff>142875</xdr:rowOff>
    </xdr:to>
    <xdr:pic>
      <xdr:nvPicPr>
        <xdr:cNvPr id="131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1226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113</xdr:row>
      <xdr:rowOff>0</xdr:rowOff>
    </xdr:from>
    <xdr:to>
      <xdr:col>2</xdr:col>
      <xdr:colOff>904875</xdr:colOff>
      <xdr:row>113</xdr:row>
      <xdr:rowOff>0</xdr:rowOff>
    </xdr:to>
    <xdr:pic>
      <xdr:nvPicPr>
        <xdr:cNvPr id="131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510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1313" name="Picture 4094" descr="14-1621m">
          <a:hlinkClick xmlns:r="http://schemas.openxmlformats.org/officeDocument/2006/relationships" r:id="rId1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2</xdr:col>
      <xdr:colOff>0</xdr:colOff>
      <xdr:row>406</xdr:row>
      <xdr:rowOff>752475</xdr:rowOff>
    </xdr:to>
    <xdr:pic>
      <xdr:nvPicPr>
        <xdr:cNvPr id="1314" name="Picture 4059">
          <a:hlinkClick xmlns:r="http://schemas.openxmlformats.org/officeDocument/2006/relationships" r:id="rId1601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893675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359</xdr:row>
      <xdr:rowOff>0</xdr:rowOff>
    </xdr:to>
    <xdr:pic>
      <xdr:nvPicPr>
        <xdr:cNvPr id="1315" name="Picture 4004" descr="41-392m">
          <a:hlinkClick xmlns:r="http://schemas.openxmlformats.org/officeDocument/2006/relationships" r:id="rId1992"/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6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</xdr:row>
      <xdr:rowOff>0</xdr:rowOff>
    </xdr:from>
    <xdr:to>
      <xdr:col>2</xdr:col>
      <xdr:colOff>19050</xdr:colOff>
      <xdr:row>102</xdr:row>
      <xdr:rowOff>0</xdr:rowOff>
    </xdr:to>
    <xdr:pic>
      <xdr:nvPicPr>
        <xdr:cNvPr id="1316" name="Picture 3746" descr="14-1593m">
          <a:hlinkClick xmlns:r="http://schemas.openxmlformats.org/officeDocument/2006/relationships" r:id="rId1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53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1317" name="Picture 3538" descr="14-1570m">
          <a:hlinkClick xmlns:r="http://schemas.openxmlformats.org/officeDocument/2006/relationships" r:id="rId9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18" name="Picture 3440" descr="14-1544m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319" name="Picture 4094" descr="14-1621m">
          <a:hlinkClick xmlns:r="http://schemas.openxmlformats.org/officeDocument/2006/relationships" r:id="rId1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320" name="Picture 4094" descr="14-1621m">
          <a:hlinkClick xmlns:r="http://schemas.openxmlformats.org/officeDocument/2006/relationships" r:id="rId1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21" name="Picture 3496" descr="14-5564m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22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23" name="Picture 3666" descr="14-5564m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1324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131</xdr:row>
      <xdr:rowOff>0</xdr:rowOff>
    </xdr:to>
    <xdr:pic>
      <xdr:nvPicPr>
        <xdr:cNvPr id="1325" name="Picture 543503" descr="35-1638m">
          <a:hlinkClick xmlns:r="http://schemas.openxmlformats.org/officeDocument/2006/relationships" r:id="rId1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1326" name="Picture 543504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1327" name="Picture 543505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1328" name="Picture 543506" descr="28-7503m">
          <a:hlinkClick xmlns:r="http://schemas.openxmlformats.org/officeDocument/2006/relationships" r:id="rId1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1329" name="Picture 543507" descr="14-2653m">
          <a:hlinkClick xmlns:r="http://schemas.openxmlformats.org/officeDocument/2006/relationships" r:id="rId2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0</xdr:rowOff>
    </xdr:to>
    <xdr:pic>
      <xdr:nvPicPr>
        <xdr:cNvPr id="1330" name="Picture 543508" descr="14-3177m">
          <a:hlinkClick xmlns:r="http://schemas.openxmlformats.org/officeDocument/2006/relationships" r:id="rId2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567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968</xdr:row>
      <xdr:rowOff>0</xdr:rowOff>
    </xdr:from>
    <xdr:to>
      <xdr:col>2</xdr:col>
      <xdr:colOff>0</xdr:colOff>
      <xdr:row>969</xdr:row>
      <xdr:rowOff>0</xdr:rowOff>
    </xdr:to>
    <xdr:pic>
      <xdr:nvPicPr>
        <xdr:cNvPr id="1331" name="Рисунок 1307">
          <a:hlinkClick xmlns:r="http://schemas.openxmlformats.org/officeDocument/2006/relationships" r:id="rId2004"/>
        </xdr:cNvPr>
        <xdr:cNvPicPr>
          <a:picLocks noChangeAspect="1"/>
        </xdr:cNvPicPr>
      </xdr:nvPicPr>
      <xdr:blipFill>
        <a:blip xmlns:r="http://schemas.openxmlformats.org/officeDocument/2006/relationships" r:embed="rId1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9664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966</xdr:row>
      <xdr:rowOff>0</xdr:rowOff>
    </xdr:from>
    <xdr:to>
      <xdr:col>2</xdr:col>
      <xdr:colOff>0</xdr:colOff>
      <xdr:row>967</xdr:row>
      <xdr:rowOff>0</xdr:rowOff>
    </xdr:to>
    <xdr:pic>
      <xdr:nvPicPr>
        <xdr:cNvPr id="1332" name="Picture 543510" descr="K-06m">
          <a:hlinkClick xmlns:r="http://schemas.openxmlformats.org/officeDocument/2006/relationships" r:id="rId20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9664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967</xdr:row>
      <xdr:rowOff>0</xdr:rowOff>
    </xdr:from>
    <xdr:to>
      <xdr:col>2</xdr:col>
      <xdr:colOff>0</xdr:colOff>
      <xdr:row>968</xdr:row>
      <xdr:rowOff>0</xdr:rowOff>
    </xdr:to>
    <xdr:pic>
      <xdr:nvPicPr>
        <xdr:cNvPr id="1333" name="Picture 543511" descr="K-06m">
          <a:hlinkClick xmlns:r="http://schemas.openxmlformats.org/officeDocument/2006/relationships" r:id="rId20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9664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334" name="Picture 543512" descr="14-788m">
          <a:hlinkClick xmlns:r="http://schemas.openxmlformats.org/officeDocument/2006/relationships" r:id="rId2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008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335" name="Picture 543513" descr="14-488m">
          <a:hlinkClick xmlns:r="http://schemas.openxmlformats.org/officeDocument/2006/relationships" r:id="rId2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77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2</xdr:col>
      <xdr:colOff>0</xdr:colOff>
      <xdr:row>611</xdr:row>
      <xdr:rowOff>0</xdr:rowOff>
    </xdr:to>
    <xdr:pic>
      <xdr:nvPicPr>
        <xdr:cNvPr id="1336" name="Picture 543514" descr="35-5538m">
          <a:hlinkClick xmlns:r="http://schemas.openxmlformats.org/officeDocument/2006/relationships" r:id="rId20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756</xdr:row>
      <xdr:rowOff>0</xdr:rowOff>
    </xdr:from>
    <xdr:to>
      <xdr:col>2</xdr:col>
      <xdr:colOff>0</xdr:colOff>
      <xdr:row>756</xdr:row>
      <xdr:rowOff>9525</xdr:rowOff>
    </xdr:to>
    <xdr:pic>
      <xdr:nvPicPr>
        <xdr:cNvPr id="1337" name="Picture 543516" descr="14-1642m">
          <a:hlinkClick xmlns:r="http://schemas.openxmlformats.org/officeDocument/2006/relationships" r:id="rId2014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602775"/>
          <a:ext cx="752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338</xdr:row>
      <xdr:rowOff>0</xdr:rowOff>
    </xdr:to>
    <xdr:pic>
      <xdr:nvPicPr>
        <xdr:cNvPr id="1338" name="Picture 543517" descr="35-518m">
          <a:hlinkClick xmlns:r="http://schemas.openxmlformats.org/officeDocument/2006/relationships" r:id="rId20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9958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339" name="Picture 543518" descr="14-1651m">
          <a:hlinkClick xmlns:r="http://schemas.openxmlformats.org/officeDocument/2006/relationships" r:id="rId20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424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40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1341" name="Picture 3503" descr="14-1569m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1342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1343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1344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1345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1346" name="Picture 8606" descr="14-1617m">
          <a:hlinkClick xmlns:r="http://schemas.openxmlformats.org/officeDocument/2006/relationships" r:id="rId1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86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1347" name="Picture 8608" descr="14-1617m">
          <a:hlinkClick xmlns:r="http://schemas.openxmlformats.org/officeDocument/2006/relationships" r:id="rId1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62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1348" name="Picture 4191" descr="14-197m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43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1349" name="Picture 4191" descr="14-197m">
          <a:hlinkClick xmlns:r="http://schemas.openxmlformats.org/officeDocument/2006/relationships" r:id="rId1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19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1350" name="Picture 3972" descr="14-1609m">
          <a:hlinkClick xmlns:r="http://schemas.openxmlformats.org/officeDocument/2006/relationships" r:id="rId1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72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1351" name="Picture 3496" descr="14-5564m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81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1352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357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1353" name="Picture 3666" descr="14-5564m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357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1354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357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1355" name="Picture 3320" descr="14-1530m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1356" name="Picture 3321" descr="34-1530m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81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1357" name="Picture 3321" descr="34-1530m">
          <a:hlinkClick xmlns:r="http://schemas.openxmlformats.org/officeDocument/2006/relationships" r:id="rId19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81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358" name="Picture 4166" descr="14-1501m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86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1359" name="Picture 3068" descr="34-1501m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662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</xdr:row>
      <xdr:rowOff>0</xdr:rowOff>
    </xdr:from>
    <xdr:to>
      <xdr:col>2</xdr:col>
      <xdr:colOff>19050</xdr:colOff>
      <xdr:row>122</xdr:row>
      <xdr:rowOff>0</xdr:rowOff>
    </xdr:to>
    <xdr:pic>
      <xdr:nvPicPr>
        <xdr:cNvPr id="1360" name="Picture 3617" descr="14-1581m">
          <a:hlinkClick xmlns:r="http://schemas.openxmlformats.org/officeDocument/2006/relationships" r:id="rId1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91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361" name="Picture 4094" descr="14-1621m">
          <a:hlinkClick xmlns:r="http://schemas.openxmlformats.org/officeDocument/2006/relationships" r:id="rId1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9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1362" name="Picture 4094" descr="14-1621m">
          <a:hlinkClick xmlns:r="http://schemas.openxmlformats.org/officeDocument/2006/relationships" r:id="rId1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6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2</xdr:col>
      <xdr:colOff>0</xdr:colOff>
      <xdr:row>125</xdr:row>
      <xdr:rowOff>9525</xdr:rowOff>
    </xdr:to>
    <xdr:pic>
      <xdr:nvPicPr>
        <xdr:cNvPr id="1363" name="Picture 543546" descr="14-1642m">
          <a:hlinkClick xmlns:r="http://schemas.openxmlformats.org/officeDocument/2006/relationships" r:id="rId1922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6836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1364" name="Picture 543547" descr="14-1642m">
          <a:hlinkClick xmlns:r="http://schemas.openxmlformats.org/officeDocument/2006/relationships" r:id="rId1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126</xdr:row>
      <xdr:rowOff>0</xdr:rowOff>
    </xdr:from>
    <xdr:to>
      <xdr:col>2</xdr:col>
      <xdr:colOff>9525</xdr:colOff>
      <xdr:row>126</xdr:row>
      <xdr:rowOff>0</xdr:rowOff>
    </xdr:to>
    <xdr:pic>
      <xdr:nvPicPr>
        <xdr:cNvPr id="1365" name="Picture 4079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043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1366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67" name="Picture 543550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1368" name="Picture 543551" descr="28-5647m">
          <a:hlinkClick xmlns:r="http://schemas.openxmlformats.org/officeDocument/2006/relationships" r:id="rId2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1369" name="Picture 543554" descr="28-7503m">
          <a:hlinkClick xmlns:r="http://schemas.openxmlformats.org/officeDocument/2006/relationships" r:id="rId1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370" name="Picture 543555" descr="14-2653m">
          <a:hlinkClick xmlns:r="http://schemas.openxmlformats.org/officeDocument/2006/relationships" r:id="rId2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05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1371" name="Picture 543557" descr="35-2640m">
          <a:hlinkClick xmlns:r="http://schemas.openxmlformats.org/officeDocument/2006/relationships" r:id="rId1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1372" name="Picture 543558" descr="35-2640m">
          <a:hlinkClick xmlns:r="http://schemas.openxmlformats.org/officeDocument/2006/relationships" r:id="rId1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100</xdr:row>
      <xdr:rowOff>0</xdr:rowOff>
    </xdr:to>
    <xdr:pic>
      <xdr:nvPicPr>
        <xdr:cNvPr id="1373" name="Picture 4017" descr="14-289m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76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1374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132</xdr:row>
      <xdr:rowOff>0</xdr:rowOff>
    </xdr:to>
    <xdr:pic>
      <xdr:nvPicPr>
        <xdr:cNvPr id="1375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1376" name="Picture 3661" descr="14-1530m">
          <a:hlinkClick xmlns:r="http://schemas.openxmlformats.org/officeDocument/2006/relationships" r:id="rId1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05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377" name="Picture 21372" descr="14-1505-1m">
          <a:hlinkClick xmlns:r="http://schemas.openxmlformats.org/officeDocument/2006/relationships" r:id="rId1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29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378" name="Picture 21373" descr="14-1505m">
          <a:hlinkClick xmlns:r="http://schemas.openxmlformats.org/officeDocument/2006/relationships" r:id="rId1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52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1379" name="Picture 3458" descr="36-1530m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05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1380" name="Picture 3908" descr="14-2605m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9</xdr:row>
      <xdr:rowOff>9525</xdr:rowOff>
    </xdr:from>
    <xdr:to>
      <xdr:col>2</xdr:col>
      <xdr:colOff>0</xdr:colOff>
      <xdr:row>10</xdr:row>
      <xdr:rowOff>0</xdr:rowOff>
    </xdr:to>
    <xdr:pic>
      <xdr:nvPicPr>
        <xdr:cNvPr id="1381" name="Picture 543568" descr="14-1642m">
          <a:hlinkClick xmlns:r="http://schemas.openxmlformats.org/officeDocument/2006/relationships" r:id="rId2014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62125"/>
          <a:ext cx="752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180</xdr:row>
      <xdr:rowOff>0</xdr:rowOff>
    </xdr:to>
    <xdr:pic>
      <xdr:nvPicPr>
        <xdr:cNvPr id="1382" name="Picture 543569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180</xdr:row>
      <xdr:rowOff>0</xdr:rowOff>
    </xdr:to>
    <xdr:pic>
      <xdr:nvPicPr>
        <xdr:cNvPr id="1383" name="Picture 543570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1384" name="Picture 543571" descr="35-2640m">
          <a:hlinkClick xmlns:r="http://schemas.openxmlformats.org/officeDocument/2006/relationships" r:id="rId1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567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1385" name="Picture 543572" descr="35-2640m">
          <a:hlinkClick xmlns:r="http://schemas.openxmlformats.org/officeDocument/2006/relationships" r:id="rId1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97</xdr:row>
      <xdr:rowOff>0</xdr:rowOff>
    </xdr:to>
    <xdr:pic>
      <xdr:nvPicPr>
        <xdr:cNvPr id="1386" name="Picture 3930" descr="14-167m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8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387" name="Picture 543574" descr="14-3177m">
          <a:hlinkClick xmlns:r="http://schemas.openxmlformats.org/officeDocument/2006/relationships" r:id="rId2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38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19050</xdr:colOff>
      <xdr:row>127</xdr:row>
      <xdr:rowOff>0</xdr:rowOff>
    </xdr:to>
    <xdr:pic>
      <xdr:nvPicPr>
        <xdr:cNvPr id="1388" name="Picture 3648" descr="14-1583m">
          <a:hlinkClick xmlns:r="http://schemas.openxmlformats.org/officeDocument/2006/relationships" r:id="rId1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111</xdr:row>
      <xdr:rowOff>0</xdr:rowOff>
    </xdr:to>
    <xdr:pic>
      <xdr:nvPicPr>
        <xdr:cNvPr id="1389" name="Picture 3502" descr="14-1569m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434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1390" name="Picture 3503" descr="14-1569m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434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391" name="Picture 3440" descr="14-1544m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196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392" name="Picture 3566" descr="14-1575m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729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146</xdr:row>
      <xdr:rowOff>0</xdr:rowOff>
    </xdr:from>
    <xdr:to>
      <xdr:col>2</xdr:col>
      <xdr:colOff>9525</xdr:colOff>
      <xdr:row>147</xdr:row>
      <xdr:rowOff>0</xdr:rowOff>
    </xdr:to>
    <xdr:pic>
      <xdr:nvPicPr>
        <xdr:cNvPr id="1393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05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147</xdr:row>
      <xdr:rowOff>0</xdr:rowOff>
    </xdr:from>
    <xdr:to>
      <xdr:col>2</xdr:col>
      <xdr:colOff>9525</xdr:colOff>
      <xdr:row>148</xdr:row>
      <xdr:rowOff>0</xdr:rowOff>
    </xdr:to>
    <xdr:pic>
      <xdr:nvPicPr>
        <xdr:cNvPr id="1394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05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1395" name="Picture 3253" descr="14-1526-2m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434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396" name="Picture 21372" descr="14-1505-1m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881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397" name="Picture 21373" descr="14-1505m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805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1398" name="Picture 3968" descr="34-141m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399" name="Picture 3968" descr="34-141m">
          <a:hlinkClick xmlns:r="http://schemas.openxmlformats.org/officeDocument/2006/relationships" r:id="rId1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1400" name="Picture 543588" descr="35-2644m">
          <a:hlinkClick xmlns:r="http://schemas.openxmlformats.org/officeDocument/2006/relationships" r:id="rId1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1401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1402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1403" name="Picture 3927" descr="14-136m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1404" name="Picture 3967" descr="34-136m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1405" name="Picture 3967" descr="34-136m">
          <a:hlinkClick xmlns:r="http://schemas.openxmlformats.org/officeDocument/2006/relationships" r:id="rId18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1406" name="Picture 3442" descr="14-1559m">
          <a:hlinkClick xmlns:r="http://schemas.openxmlformats.org/officeDocument/2006/relationships" r:id="rId8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8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98</xdr:row>
      <xdr:rowOff>0</xdr:rowOff>
    </xdr:to>
    <xdr:pic>
      <xdr:nvPicPr>
        <xdr:cNvPr id="1407" name="Picture 3815" descr="14-1599m">
          <a:hlinkClick xmlns:r="http://schemas.openxmlformats.org/officeDocument/2006/relationships" r:id="rId1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4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408" name="Picture 3766" descr="14-6539m">
          <a:hlinkClick xmlns:r="http://schemas.openxmlformats.org/officeDocument/2006/relationships" r:id="rId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653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409" name="Picture 3767" descr="14-6539m">
          <a:hlinkClick xmlns:r="http://schemas.openxmlformats.org/officeDocument/2006/relationships" r:id="rId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729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1410" name="Picture 8565" descr="14-1624m">
          <a:hlinkClick xmlns:r="http://schemas.openxmlformats.org/officeDocument/2006/relationships" r:id="rId1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8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411" name="Picture 3933" descr="14-172m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412" name="Picture 3908" descr="14-2605m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643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1413" name="Picture 3908" descr="14-2605m">
          <a:hlinkClick xmlns:r="http://schemas.openxmlformats.org/officeDocument/2006/relationships" r:id="rId1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567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1414" name="Picture 8460" descr="14-1623m">
          <a:hlinkClick xmlns:r="http://schemas.openxmlformats.org/officeDocument/2006/relationships" r:id="rId1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415" name="Picture 8460" descr="14-1623m">
          <a:hlinkClick xmlns:r="http://schemas.openxmlformats.org/officeDocument/2006/relationships" r:id="rId18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11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416" name="Picture 4058" descr="14-218m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1417" name="Picture 543608" descr="35-518m">
          <a:hlinkClick xmlns:r="http://schemas.openxmlformats.org/officeDocument/2006/relationships" r:id="rId20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01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1418" name="Picture 3987" descr="14-3615m">
          <a:hlinkClick xmlns:r="http://schemas.openxmlformats.org/officeDocument/2006/relationships" r:id="rId1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77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1419" name="Picture 4004" descr="41-392m">
          <a:hlinkClick xmlns:r="http://schemas.openxmlformats.org/officeDocument/2006/relationships" r:id="rId1992"/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77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1420" name="Picture 4164" descr="14-130m">
          <a:hlinkClick xmlns:r="http://schemas.openxmlformats.org/officeDocument/2006/relationships" r:id="rId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662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1295</xdr:row>
      <xdr:rowOff>0</xdr:rowOff>
    </xdr:from>
    <xdr:to>
      <xdr:col>2</xdr:col>
      <xdr:colOff>0</xdr:colOff>
      <xdr:row>1296</xdr:row>
      <xdr:rowOff>0</xdr:rowOff>
    </xdr:to>
    <xdr:pic>
      <xdr:nvPicPr>
        <xdr:cNvPr id="1421" name="Picture 543612" descr="T-TS-081m">
          <a:hlinkClick xmlns:r="http://schemas.openxmlformats.org/officeDocument/2006/relationships" r:id="rId20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4498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422" name="Picture 543613" descr="14-1656m">
          <a:hlinkClick xmlns:r="http://schemas.openxmlformats.org/officeDocument/2006/relationships" r:id="rId20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10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423" name="Picture 543614" descr="35-1656m">
          <a:hlinkClick xmlns:r="http://schemas.openxmlformats.org/officeDocument/2006/relationships" r:id="rId2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86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1424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1425" name="Picture 3647" descr="14-1582m">
          <a:hlinkClick xmlns:r="http://schemas.openxmlformats.org/officeDocument/2006/relationships" r:id="rId20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1426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1427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428" name="Picture 3932" descr="14-170m">
          <a:hlinkClick xmlns:r="http://schemas.openxmlformats.org/officeDocument/2006/relationships" r:id="rId2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91</xdr:row>
      <xdr:rowOff>0</xdr:rowOff>
    </xdr:from>
    <xdr:to>
      <xdr:col>2</xdr:col>
      <xdr:colOff>19050</xdr:colOff>
      <xdr:row>92</xdr:row>
      <xdr:rowOff>0</xdr:rowOff>
    </xdr:to>
    <xdr:pic>
      <xdr:nvPicPr>
        <xdr:cNvPr id="1429" name="Picture 3585" descr="14-1577m">
          <a:hlinkClick xmlns:r="http://schemas.openxmlformats.org/officeDocument/2006/relationships" r:id="rId1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92</xdr:row>
      <xdr:rowOff>0</xdr:rowOff>
    </xdr:from>
    <xdr:to>
      <xdr:col>2</xdr:col>
      <xdr:colOff>19050</xdr:colOff>
      <xdr:row>93</xdr:row>
      <xdr:rowOff>0</xdr:rowOff>
    </xdr:to>
    <xdr:pic>
      <xdr:nvPicPr>
        <xdr:cNvPr id="1430" name="Picture 3585" descr="14-1577m">
          <a:hlinkClick xmlns:r="http://schemas.openxmlformats.org/officeDocument/2006/relationships" r:id="rId1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67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79</xdr:row>
      <xdr:rowOff>0</xdr:rowOff>
    </xdr:to>
    <xdr:pic>
      <xdr:nvPicPr>
        <xdr:cNvPr id="1431" name="Picture 543626" descr="14-1657m">
          <a:hlinkClick xmlns:r="http://schemas.openxmlformats.org/officeDocument/2006/relationships" r:id="rId20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432" name="Picture 543627" descr="14-2658m">
          <a:hlinkClick xmlns:r="http://schemas.openxmlformats.org/officeDocument/2006/relationships" r:id="rId20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1433" name="Picture 543628" descr="14-2659m">
          <a:hlinkClick xmlns:r="http://schemas.openxmlformats.org/officeDocument/2006/relationships" r:id="rId2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434" name="Picture 543629" descr="14-2659m">
          <a:hlinkClick xmlns:r="http://schemas.openxmlformats.org/officeDocument/2006/relationships" r:id="rId20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33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435" name="Picture 543630" descr="14-2659m">
          <a:hlinkClick xmlns:r="http://schemas.openxmlformats.org/officeDocument/2006/relationships" r:id="rId20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338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436" name="Picture 543631" descr="14-1657m">
          <a:hlinkClick xmlns:r="http://schemas.openxmlformats.org/officeDocument/2006/relationships" r:id="rId20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1437" name="Picture 3920" descr="14-119m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4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1438" name="Picture 3920" descr="14-119m">
          <a:hlinkClick xmlns:r="http://schemas.openxmlformats.org/officeDocument/2006/relationships" r:id="rId1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00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513</xdr:row>
      <xdr:rowOff>0</xdr:rowOff>
    </xdr:to>
    <xdr:pic>
      <xdr:nvPicPr>
        <xdr:cNvPr id="1439" name="Picture 3965" descr="34-123m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76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695</xdr:row>
      <xdr:rowOff>0</xdr:rowOff>
    </xdr:from>
    <xdr:to>
      <xdr:col>2</xdr:col>
      <xdr:colOff>9525</xdr:colOff>
      <xdr:row>696</xdr:row>
      <xdr:rowOff>0</xdr:rowOff>
    </xdr:to>
    <xdr:pic>
      <xdr:nvPicPr>
        <xdr:cNvPr id="1440" name="Picture 543636" descr="42-923m">
          <a:hlinkClick xmlns:r="http://schemas.openxmlformats.org/officeDocument/2006/relationships" r:id="rId20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59450"/>
          <a:ext cx="771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79</xdr:row>
      <xdr:rowOff>0</xdr:rowOff>
    </xdr:from>
    <xdr:to>
      <xdr:col>2</xdr:col>
      <xdr:colOff>904875</xdr:colOff>
      <xdr:row>79</xdr:row>
      <xdr:rowOff>0</xdr:rowOff>
    </xdr:to>
    <xdr:pic>
      <xdr:nvPicPr>
        <xdr:cNvPr id="144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6814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79</xdr:row>
      <xdr:rowOff>28575</xdr:rowOff>
    </xdr:from>
    <xdr:to>
      <xdr:col>2</xdr:col>
      <xdr:colOff>904875</xdr:colOff>
      <xdr:row>79</xdr:row>
      <xdr:rowOff>142875</xdr:rowOff>
    </xdr:to>
    <xdr:pic>
      <xdr:nvPicPr>
        <xdr:cNvPr id="144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6814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304</xdr:row>
      <xdr:rowOff>0</xdr:rowOff>
    </xdr:to>
    <xdr:pic>
      <xdr:nvPicPr>
        <xdr:cNvPr id="1443" name="Picture 3209" descr="14-1519m">
          <a:hlinkClick xmlns:r="http://schemas.openxmlformats.org/officeDocument/2006/relationships" r:id="rId20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444" name="Picture 3965" descr="34-123m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10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118</xdr:row>
      <xdr:rowOff>9525</xdr:rowOff>
    </xdr:from>
    <xdr:to>
      <xdr:col>2</xdr:col>
      <xdr:colOff>9525</xdr:colOff>
      <xdr:row>119</xdr:row>
      <xdr:rowOff>0</xdr:rowOff>
    </xdr:to>
    <xdr:pic>
      <xdr:nvPicPr>
        <xdr:cNvPr id="1445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397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</xdr:row>
      <xdr:rowOff>0</xdr:rowOff>
    </xdr:from>
    <xdr:to>
      <xdr:col>2</xdr:col>
      <xdr:colOff>19050</xdr:colOff>
      <xdr:row>119</xdr:row>
      <xdr:rowOff>0</xdr:rowOff>
    </xdr:to>
    <xdr:pic>
      <xdr:nvPicPr>
        <xdr:cNvPr id="1446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7388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119</xdr:row>
      <xdr:rowOff>0</xdr:rowOff>
    </xdr:from>
    <xdr:to>
      <xdr:col>2</xdr:col>
      <xdr:colOff>0</xdr:colOff>
      <xdr:row>119</xdr:row>
      <xdr:rowOff>0</xdr:rowOff>
    </xdr:to>
    <xdr:pic>
      <xdr:nvPicPr>
        <xdr:cNvPr id="1447" name="Picture 543654" descr="14-1642m">
          <a:hlinkClick xmlns:r="http://schemas.openxmlformats.org/officeDocument/2006/relationships" r:id="rId1922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150125"/>
          <a:ext cx="752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pic>
      <xdr:nvPicPr>
        <xdr:cNvPr id="1448" name="Picture 543655" descr="14-1642m">
          <a:hlinkClick xmlns:r="http://schemas.openxmlformats.org/officeDocument/2006/relationships" r:id="rId1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15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119</xdr:row>
      <xdr:rowOff>9525</xdr:rowOff>
    </xdr:from>
    <xdr:to>
      <xdr:col>2</xdr:col>
      <xdr:colOff>9525</xdr:colOff>
      <xdr:row>120</xdr:row>
      <xdr:rowOff>0</xdr:rowOff>
    </xdr:to>
    <xdr:pic>
      <xdr:nvPicPr>
        <xdr:cNvPr id="1449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1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</xdr:row>
      <xdr:rowOff>0</xdr:rowOff>
    </xdr:from>
    <xdr:to>
      <xdr:col>2</xdr:col>
      <xdr:colOff>19050</xdr:colOff>
      <xdr:row>120</xdr:row>
      <xdr:rowOff>0</xdr:rowOff>
    </xdr:to>
    <xdr:pic>
      <xdr:nvPicPr>
        <xdr:cNvPr id="1450" name="Picture 3647" descr="14-1582m">
          <a:hlinkClick xmlns:r="http://schemas.openxmlformats.org/officeDocument/2006/relationships" r:id="rId20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150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119</xdr:row>
      <xdr:rowOff>9525</xdr:rowOff>
    </xdr:from>
    <xdr:to>
      <xdr:col>2</xdr:col>
      <xdr:colOff>9525</xdr:colOff>
      <xdr:row>120</xdr:row>
      <xdr:rowOff>0</xdr:rowOff>
    </xdr:to>
    <xdr:pic>
      <xdr:nvPicPr>
        <xdr:cNvPr id="1451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1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</xdr:row>
      <xdr:rowOff>0</xdr:rowOff>
    </xdr:from>
    <xdr:to>
      <xdr:col>2</xdr:col>
      <xdr:colOff>19050</xdr:colOff>
      <xdr:row>120</xdr:row>
      <xdr:rowOff>0</xdr:rowOff>
    </xdr:to>
    <xdr:pic>
      <xdr:nvPicPr>
        <xdr:cNvPr id="1452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150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1453" name="Picture 3444" descr="14-1559m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454" name="Picture 3932" descr="14-170m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156</xdr:row>
      <xdr:rowOff>0</xdr:rowOff>
    </xdr:to>
    <xdr:pic>
      <xdr:nvPicPr>
        <xdr:cNvPr id="1455" name="Picture 3937" descr="14-186m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456" name="Picture 3969" descr="34-170m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457" name="Picture 3932" descr="14-170m">
          <a:hlinkClick xmlns:r="http://schemas.openxmlformats.org/officeDocument/2006/relationships" r:id="rId2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68</xdr:row>
      <xdr:rowOff>0</xdr:rowOff>
    </xdr:to>
    <xdr:pic>
      <xdr:nvPicPr>
        <xdr:cNvPr id="1458" name="Picture 543665" descr="14-1519m">
          <a:hlinkClick xmlns:r="http://schemas.openxmlformats.org/officeDocument/2006/relationships" r:id="rId20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5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1459" name="Picture 543666" descr="14-1519m">
          <a:hlinkClick xmlns:r="http://schemas.openxmlformats.org/officeDocument/2006/relationships" r:id="rId20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5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1460" name="Picture 543667" descr="14-1519m">
          <a:hlinkClick xmlns:r="http://schemas.openxmlformats.org/officeDocument/2006/relationships" r:id="rId20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5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66</xdr:row>
      <xdr:rowOff>28575</xdr:rowOff>
    </xdr:from>
    <xdr:to>
      <xdr:col>2</xdr:col>
      <xdr:colOff>904875</xdr:colOff>
      <xdr:row>66</xdr:row>
      <xdr:rowOff>142875</xdr:rowOff>
    </xdr:to>
    <xdr:pic>
      <xdr:nvPicPr>
        <xdr:cNvPr id="146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922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68</xdr:row>
      <xdr:rowOff>28575</xdr:rowOff>
    </xdr:from>
    <xdr:to>
      <xdr:col>2</xdr:col>
      <xdr:colOff>904875</xdr:colOff>
      <xdr:row>68</xdr:row>
      <xdr:rowOff>142875</xdr:rowOff>
    </xdr:to>
    <xdr:pic>
      <xdr:nvPicPr>
        <xdr:cNvPr id="146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9956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84</xdr:row>
      <xdr:rowOff>28575</xdr:rowOff>
    </xdr:from>
    <xdr:to>
      <xdr:col>2</xdr:col>
      <xdr:colOff>904875</xdr:colOff>
      <xdr:row>84</xdr:row>
      <xdr:rowOff>142875</xdr:rowOff>
    </xdr:to>
    <xdr:pic>
      <xdr:nvPicPr>
        <xdr:cNvPr id="146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910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464" name="Picture 3922" descr="34-1610m">
          <a:hlinkClick xmlns:r="http://schemas.openxmlformats.org/officeDocument/2006/relationships" r:id="rId20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1465" name="Picture 543932" descr="14-1660m">
          <a:hlinkClick xmlns:r="http://schemas.openxmlformats.org/officeDocument/2006/relationships" r:id="rId2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1466" name="Picture 543933" descr="14-1660m">
          <a:hlinkClick xmlns:r="http://schemas.openxmlformats.org/officeDocument/2006/relationships" r:id="rId2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1467" name="Picture 543934" descr="14-1660m">
          <a:hlinkClick xmlns:r="http://schemas.openxmlformats.org/officeDocument/2006/relationships" r:id="rId2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1468" name="Picture 543935" descr="14-1660m">
          <a:hlinkClick xmlns:r="http://schemas.openxmlformats.org/officeDocument/2006/relationships" r:id="rId20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1469" name="Picture 543937" descr="14-1660m">
          <a:hlinkClick xmlns:r="http://schemas.openxmlformats.org/officeDocument/2006/relationships" r:id="rId2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8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1470" name="Picture 543938" descr="14-1660m">
          <a:hlinkClick xmlns:r="http://schemas.openxmlformats.org/officeDocument/2006/relationships" r:id="rId2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1471" name="Picture 543939" descr="14-1660m">
          <a:hlinkClick xmlns:r="http://schemas.openxmlformats.org/officeDocument/2006/relationships" r:id="rId20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1472" name="Picture 543940" descr="14-1660m">
          <a:hlinkClick xmlns:r="http://schemas.openxmlformats.org/officeDocument/2006/relationships" r:id="rId2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1473" name="Picture 543941" descr="14-1660m">
          <a:hlinkClick xmlns:r="http://schemas.openxmlformats.org/officeDocument/2006/relationships" r:id="rId20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1474" name="Picture 543942" descr="14-1660m">
          <a:hlinkClick xmlns:r="http://schemas.openxmlformats.org/officeDocument/2006/relationships" r:id="rId2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1475" name="Picture 543943" descr="14-1660m">
          <a:hlinkClick xmlns:r="http://schemas.openxmlformats.org/officeDocument/2006/relationships" r:id="rId20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476" name="Picture 543944" descr="14-1655m">
          <a:hlinkClick xmlns:r="http://schemas.openxmlformats.org/officeDocument/2006/relationships" r:id="rId20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9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477" name="Picture 543945" descr="14-1655m">
          <a:hlinkClick xmlns:r="http://schemas.openxmlformats.org/officeDocument/2006/relationships" r:id="rId20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5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1478" name="Picture 543947" descr="36-1661m">
          <a:hlinkClick xmlns:r="http://schemas.openxmlformats.org/officeDocument/2006/relationships" r:id="rId20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00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479" name="Picture 543951" descr="14-1660m">
          <a:hlinkClick xmlns:r="http://schemas.openxmlformats.org/officeDocument/2006/relationships" r:id="rId20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480" name="Picture 543952" descr="14-1660m">
          <a:hlinkClick xmlns:r="http://schemas.openxmlformats.org/officeDocument/2006/relationships" r:id="rId2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481" name="Picture 543953" descr="14-1660m">
          <a:hlinkClick xmlns:r="http://schemas.openxmlformats.org/officeDocument/2006/relationships" r:id="rId20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1296</xdr:row>
      <xdr:rowOff>0</xdr:rowOff>
    </xdr:from>
    <xdr:to>
      <xdr:col>2</xdr:col>
      <xdr:colOff>0</xdr:colOff>
      <xdr:row>1297</xdr:row>
      <xdr:rowOff>0</xdr:rowOff>
    </xdr:to>
    <xdr:pic>
      <xdr:nvPicPr>
        <xdr:cNvPr id="1482" name="Picture 543954" descr="T-TS-082m">
          <a:hlinkClick xmlns:r="http://schemas.openxmlformats.org/officeDocument/2006/relationships" r:id="rId20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5260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70</xdr:row>
      <xdr:rowOff>0</xdr:rowOff>
    </xdr:to>
    <xdr:pic>
      <xdr:nvPicPr>
        <xdr:cNvPr id="1483" name="Picture 3486" descr="14-1566m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1484" name="Picture 3488" descr="34-1566m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74</xdr:row>
      <xdr:rowOff>28575</xdr:rowOff>
    </xdr:from>
    <xdr:to>
      <xdr:col>2</xdr:col>
      <xdr:colOff>904875</xdr:colOff>
      <xdr:row>74</xdr:row>
      <xdr:rowOff>142875</xdr:rowOff>
    </xdr:to>
    <xdr:pic>
      <xdr:nvPicPr>
        <xdr:cNvPr id="1485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303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28575</xdr:rowOff>
    </xdr:from>
    <xdr:to>
      <xdr:col>2</xdr:col>
      <xdr:colOff>904875</xdr:colOff>
      <xdr:row>73</xdr:row>
      <xdr:rowOff>142875</xdr:rowOff>
    </xdr:to>
    <xdr:pic>
      <xdr:nvPicPr>
        <xdr:cNvPr id="148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227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0</xdr:rowOff>
    </xdr:from>
    <xdr:to>
      <xdr:col>2</xdr:col>
      <xdr:colOff>904875</xdr:colOff>
      <xdr:row>73</xdr:row>
      <xdr:rowOff>0</xdr:rowOff>
    </xdr:to>
    <xdr:pic>
      <xdr:nvPicPr>
        <xdr:cNvPr id="148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224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0</xdr:rowOff>
    </xdr:from>
    <xdr:to>
      <xdr:col>2</xdr:col>
      <xdr:colOff>904875</xdr:colOff>
      <xdr:row>73</xdr:row>
      <xdr:rowOff>0</xdr:rowOff>
    </xdr:to>
    <xdr:pic>
      <xdr:nvPicPr>
        <xdr:cNvPr id="148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224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0</xdr:rowOff>
    </xdr:from>
    <xdr:to>
      <xdr:col>2</xdr:col>
      <xdr:colOff>904875</xdr:colOff>
      <xdr:row>73</xdr:row>
      <xdr:rowOff>0</xdr:rowOff>
    </xdr:to>
    <xdr:pic>
      <xdr:nvPicPr>
        <xdr:cNvPr id="148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224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1490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148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149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148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149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148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149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148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494" name="Picture 543970" descr="14-5643m">
          <a:hlinkClick xmlns:r="http://schemas.openxmlformats.org/officeDocument/2006/relationships" r:id="rId1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948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1495" name="Picture 543971" descr="14-3643m">
          <a:hlinkClick xmlns:r="http://schemas.openxmlformats.org/officeDocument/2006/relationships" r:id="rId1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1496" name="Picture 543972" descr="14-3643-1m">
          <a:hlinkClick xmlns:r="http://schemas.openxmlformats.org/officeDocument/2006/relationships" r:id="rId1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872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497" name="Picture 543973" descr="35-6643m">
          <a:hlinkClick xmlns:r="http://schemas.openxmlformats.org/officeDocument/2006/relationships" r:id="rId1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0</xdr:rowOff>
    </xdr:to>
    <xdr:pic>
      <xdr:nvPicPr>
        <xdr:cNvPr id="1498" name="Picture 543975" descr="14-1662m">
          <a:hlinkClick xmlns:r="http://schemas.openxmlformats.org/officeDocument/2006/relationships" r:id="rId20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90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499" name="Picture 543976" descr="14-3662m">
          <a:hlinkClick xmlns:r="http://schemas.openxmlformats.org/officeDocument/2006/relationships" r:id="rId20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500" name="Picture 543977" descr="14-4662m">
          <a:hlinkClick xmlns:r="http://schemas.openxmlformats.org/officeDocument/2006/relationships" r:id="rId20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501" name="Picture 543978" descr="14-7662m">
          <a:hlinkClick xmlns:r="http://schemas.openxmlformats.org/officeDocument/2006/relationships" r:id="rId20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502" name="Picture 543979" descr="14-3662-1m">
          <a:hlinkClick xmlns:r="http://schemas.openxmlformats.org/officeDocument/2006/relationships" r:id="rId20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503" name="Picture 543980" descr="36-3662m">
          <a:hlinkClick xmlns:r="http://schemas.openxmlformats.org/officeDocument/2006/relationships" r:id="rId20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43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66</xdr:row>
      <xdr:rowOff>0</xdr:rowOff>
    </xdr:to>
    <xdr:pic>
      <xdr:nvPicPr>
        <xdr:cNvPr id="1504" name="Picture 543981" descr="14-8662m">
          <a:hlinkClick xmlns:r="http://schemas.openxmlformats.org/officeDocument/2006/relationships" r:id="rId2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9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214</xdr:row>
      <xdr:rowOff>514350</xdr:rowOff>
    </xdr:from>
    <xdr:to>
      <xdr:col>0</xdr:col>
      <xdr:colOff>590550</xdr:colOff>
      <xdr:row>214</xdr:row>
      <xdr:rowOff>628650</xdr:rowOff>
    </xdr:to>
    <xdr:pic>
      <xdr:nvPicPr>
        <xdr:cNvPr id="150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320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442</xdr:row>
      <xdr:rowOff>0</xdr:rowOff>
    </xdr:from>
    <xdr:to>
      <xdr:col>2</xdr:col>
      <xdr:colOff>0</xdr:colOff>
      <xdr:row>443</xdr:row>
      <xdr:rowOff>0</xdr:rowOff>
    </xdr:to>
    <xdr:pic>
      <xdr:nvPicPr>
        <xdr:cNvPr id="1506" name="Picture 3946" descr="14-938m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581</xdr:row>
      <xdr:rowOff>514350</xdr:rowOff>
    </xdr:from>
    <xdr:to>
      <xdr:col>0</xdr:col>
      <xdr:colOff>590550</xdr:colOff>
      <xdr:row>581</xdr:row>
      <xdr:rowOff>628650</xdr:rowOff>
    </xdr:to>
    <xdr:pic>
      <xdr:nvPicPr>
        <xdr:cNvPr id="150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584</xdr:row>
      <xdr:rowOff>514350</xdr:rowOff>
    </xdr:from>
    <xdr:to>
      <xdr:col>0</xdr:col>
      <xdr:colOff>590550</xdr:colOff>
      <xdr:row>584</xdr:row>
      <xdr:rowOff>628650</xdr:rowOff>
    </xdr:to>
    <xdr:pic>
      <xdr:nvPicPr>
        <xdr:cNvPr id="150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604</xdr:row>
      <xdr:rowOff>514350</xdr:rowOff>
    </xdr:from>
    <xdr:to>
      <xdr:col>0</xdr:col>
      <xdr:colOff>590550</xdr:colOff>
      <xdr:row>604</xdr:row>
      <xdr:rowOff>628650</xdr:rowOff>
    </xdr:to>
    <xdr:pic>
      <xdr:nvPicPr>
        <xdr:cNvPr id="150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304</xdr:row>
      <xdr:rowOff>514350</xdr:rowOff>
    </xdr:from>
    <xdr:to>
      <xdr:col>0</xdr:col>
      <xdr:colOff>590550</xdr:colOff>
      <xdr:row>304</xdr:row>
      <xdr:rowOff>628650</xdr:rowOff>
    </xdr:to>
    <xdr:pic>
      <xdr:nvPicPr>
        <xdr:cNvPr id="151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57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511" name="Picture 3983" descr="14-1612m">
          <a:hlinkClick xmlns:r="http://schemas.openxmlformats.org/officeDocument/2006/relationships" r:id="rId18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</xdr:row>
      <xdr:rowOff>0</xdr:rowOff>
    </xdr:from>
    <xdr:to>
      <xdr:col>2</xdr:col>
      <xdr:colOff>19050</xdr:colOff>
      <xdr:row>121</xdr:row>
      <xdr:rowOff>0</xdr:rowOff>
    </xdr:to>
    <xdr:pic>
      <xdr:nvPicPr>
        <xdr:cNvPr id="1512" name="Picture 3750" descr="14-1582m">
          <a:hlinkClick xmlns:r="http://schemas.openxmlformats.org/officeDocument/2006/relationships" r:id="rId1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15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1513" name="Picture 3498" descr="36-1566m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1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1514" name="Picture 3760" descr="36-1595m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1515" name="Picture 8677" descr="14-2627m">
          <a:hlinkClick xmlns:r="http://schemas.openxmlformats.org/officeDocument/2006/relationships" r:id="rId1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516" name="Picture 543999" descr="14-2662m">
          <a:hlinkClick xmlns:r="http://schemas.openxmlformats.org/officeDocument/2006/relationships" r:id="rId2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0</xdr:rowOff>
    </xdr:to>
    <xdr:pic>
      <xdr:nvPicPr>
        <xdr:cNvPr id="1517" name="Picture 544000" descr="14-2662m">
          <a:hlinkClick xmlns:r="http://schemas.openxmlformats.org/officeDocument/2006/relationships" r:id="rId2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90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220</xdr:row>
      <xdr:rowOff>0</xdr:rowOff>
    </xdr:to>
    <xdr:pic>
      <xdr:nvPicPr>
        <xdr:cNvPr id="1518" name="Picture 3707" descr="14-1587m">
          <a:hlinkClick xmlns:r="http://schemas.openxmlformats.org/officeDocument/2006/relationships" r:id="rId1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220</xdr:row>
      <xdr:rowOff>0</xdr:rowOff>
    </xdr:to>
    <xdr:pic>
      <xdr:nvPicPr>
        <xdr:cNvPr id="1519" name="Picture 3706" descr="14-1587m">
          <a:hlinkClick xmlns:r="http://schemas.openxmlformats.org/officeDocument/2006/relationships" r:id="rId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520" name="Picture 544004" descr="22-9662m">
          <a:hlinkClick xmlns:r="http://schemas.openxmlformats.org/officeDocument/2006/relationships" r:id="rId20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19050</xdr:colOff>
      <xdr:row>57</xdr:row>
      <xdr:rowOff>0</xdr:rowOff>
    </xdr:to>
    <xdr:pic>
      <xdr:nvPicPr>
        <xdr:cNvPr id="1521" name="Picture 3706" descr="14-1587m">
          <a:hlinkClick xmlns:r="http://schemas.openxmlformats.org/officeDocument/2006/relationships" r:id="rId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8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1522" name="Picture 3921" descr="14-121m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4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0</xdr:rowOff>
    </xdr:to>
    <xdr:pic>
      <xdr:nvPicPr>
        <xdr:cNvPr id="1523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90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524" name="Picture 3760" descr="36-1595m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90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pic>
      <xdr:nvPicPr>
        <xdr:cNvPr id="1525" name="Picture 544009" descr="35-1663m">
          <a:hlinkClick xmlns:r="http://schemas.openxmlformats.org/officeDocument/2006/relationships" r:id="rId20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pic>
      <xdr:nvPicPr>
        <xdr:cNvPr id="1526" name="Picture 544010" descr="35-1663m">
          <a:hlinkClick xmlns:r="http://schemas.openxmlformats.org/officeDocument/2006/relationships" r:id="rId2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50</xdr:row>
      <xdr:rowOff>0</xdr:rowOff>
    </xdr:from>
    <xdr:to>
      <xdr:col>2</xdr:col>
      <xdr:colOff>904875</xdr:colOff>
      <xdr:row>50</xdr:row>
      <xdr:rowOff>0</xdr:rowOff>
    </xdr:to>
    <xdr:pic>
      <xdr:nvPicPr>
        <xdr:cNvPr id="152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462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50</xdr:row>
      <xdr:rowOff>0</xdr:rowOff>
    </xdr:from>
    <xdr:to>
      <xdr:col>2</xdr:col>
      <xdr:colOff>904875</xdr:colOff>
      <xdr:row>50</xdr:row>
      <xdr:rowOff>0</xdr:rowOff>
    </xdr:to>
    <xdr:pic>
      <xdr:nvPicPr>
        <xdr:cNvPr id="152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462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19050</xdr:colOff>
      <xdr:row>62</xdr:row>
      <xdr:rowOff>0</xdr:rowOff>
    </xdr:to>
    <xdr:pic>
      <xdr:nvPicPr>
        <xdr:cNvPr id="1529" name="Picture 3740" descr="28-4576m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725</xdr:row>
      <xdr:rowOff>28575</xdr:rowOff>
    </xdr:from>
    <xdr:to>
      <xdr:col>2</xdr:col>
      <xdr:colOff>904875</xdr:colOff>
      <xdr:row>725</xdr:row>
      <xdr:rowOff>142875</xdr:rowOff>
    </xdr:to>
    <xdr:pic>
      <xdr:nvPicPr>
        <xdr:cNvPr id="1530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46027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2</xdr:col>
      <xdr:colOff>0</xdr:colOff>
      <xdr:row>726</xdr:row>
      <xdr:rowOff>0</xdr:rowOff>
    </xdr:to>
    <xdr:pic>
      <xdr:nvPicPr>
        <xdr:cNvPr id="1531" name="Picture 544018" descr="35-1663m">
          <a:hlinkClick xmlns:r="http://schemas.openxmlformats.org/officeDocument/2006/relationships" r:id="rId20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725</xdr:row>
      <xdr:rowOff>0</xdr:rowOff>
    </xdr:from>
    <xdr:to>
      <xdr:col>11</xdr:col>
      <xdr:colOff>9525</xdr:colOff>
      <xdr:row>725</xdr:row>
      <xdr:rowOff>161925</xdr:rowOff>
    </xdr:to>
    <xdr:pic>
      <xdr:nvPicPr>
        <xdr:cNvPr id="1532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409575</xdr:colOff>
      <xdr:row>725</xdr:row>
      <xdr:rowOff>161925</xdr:rowOff>
    </xdr:to>
    <xdr:pic>
      <xdr:nvPicPr>
        <xdr:cNvPr id="1533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725</xdr:row>
      <xdr:rowOff>0</xdr:rowOff>
    </xdr:from>
    <xdr:to>
      <xdr:col>13</xdr:col>
      <xdr:colOff>19050</xdr:colOff>
      <xdr:row>725</xdr:row>
      <xdr:rowOff>161925</xdr:rowOff>
    </xdr:to>
    <xdr:pic>
      <xdr:nvPicPr>
        <xdr:cNvPr id="1534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725</xdr:row>
      <xdr:rowOff>0</xdr:rowOff>
    </xdr:from>
    <xdr:to>
      <xdr:col>13</xdr:col>
      <xdr:colOff>409575</xdr:colOff>
      <xdr:row>725</xdr:row>
      <xdr:rowOff>161925</xdr:rowOff>
    </xdr:to>
    <xdr:pic>
      <xdr:nvPicPr>
        <xdr:cNvPr id="1535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0</xdr:rowOff>
    </xdr:to>
    <xdr:pic>
      <xdr:nvPicPr>
        <xdr:cNvPr id="1536" name="Picture 544028" descr="14-2664m">
          <a:hlinkClick xmlns:r="http://schemas.openxmlformats.org/officeDocument/2006/relationships" r:id="rId2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146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752475</xdr:colOff>
      <xdr:row>58</xdr:row>
      <xdr:rowOff>0</xdr:rowOff>
    </xdr:to>
    <xdr:pic>
      <xdr:nvPicPr>
        <xdr:cNvPr id="1537" name="Picture 3976" descr="14-8584m">
          <a:hlinkClick xmlns:r="http://schemas.openxmlformats.org/officeDocument/2006/relationships" r:id="rId15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155650"/>
          <a:ext cx="74295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2</xdr:col>
      <xdr:colOff>0</xdr:colOff>
      <xdr:row>779</xdr:row>
      <xdr:rowOff>0</xdr:rowOff>
    </xdr:to>
    <xdr:pic>
      <xdr:nvPicPr>
        <xdr:cNvPr id="1538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779</xdr:row>
      <xdr:rowOff>0</xdr:rowOff>
    </xdr:from>
    <xdr:to>
      <xdr:col>2</xdr:col>
      <xdr:colOff>0</xdr:colOff>
      <xdr:row>780</xdr:row>
      <xdr:rowOff>0</xdr:rowOff>
    </xdr:to>
    <xdr:pic>
      <xdr:nvPicPr>
        <xdr:cNvPr id="1539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780</xdr:row>
      <xdr:rowOff>0</xdr:rowOff>
    </xdr:from>
    <xdr:to>
      <xdr:col>2</xdr:col>
      <xdr:colOff>0</xdr:colOff>
      <xdr:row>781</xdr:row>
      <xdr:rowOff>0</xdr:rowOff>
    </xdr:to>
    <xdr:pic>
      <xdr:nvPicPr>
        <xdr:cNvPr id="1540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778</xdr:row>
      <xdr:rowOff>0</xdr:rowOff>
    </xdr:to>
    <xdr:pic>
      <xdr:nvPicPr>
        <xdr:cNvPr id="1541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19050</xdr:colOff>
      <xdr:row>59</xdr:row>
      <xdr:rowOff>0</xdr:rowOff>
    </xdr:to>
    <xdr:pic>
      <xdr:nvPicPr>
        <xdr:cNvPr id="1542" name="Picture 3651" descr="28-3584m">
          <a:hlinkClick xmlns:r="http://schemas.openxmlformats.org/officeDocument/2006/relationships" r:id="rId20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90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435</xdr:row>
      <xdr:rowOff>9525</xdr:rowOff>
    </xdr:from>
    <xdr:to>
      <xdr:col>1</xdr:col>
      <xdr:colOff>752475</xdr:colOff>
      <xdr:row>436</xdr:row>
      <xdr:rowOff>0</xdr:rowOff>
    </xdr:to>
    <xdr:pic>
      <xdr:nvPicPr>
        <xdr:cNvPr id="1543" name="Picture 3976" descr="14-8584m">
          <a:hlinkClick xmlns:r="http://schemas.openxmlformats.org/officeDocument/2006/relationships" r:id="rId20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703675"/>
          <a:ext cx="7429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544" name="Picture 544036" descr="14-2662m">
          <a:hlinkClick xmlns:r="http://schemas.openxmlformats.org/officeDocument/2006/relationships" r:id="rId20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1545" name="Picture 544038" descr="35-1667m">
          <a:hlinkClick xmlns:r="http://schemas.openxmlformats.org/officeDocument/2006/relationships" r:id="rId20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19050</xdr:colOff>
      <xdr:row>39</xdr:row>
      <xdr:rowOff>0</xdr:rowOff>
    </xdr:to>
    <xdr:pic>
      <xdr:nvPicPr>
        <xdr:cNvPr id="1546" name="Picture 3740" descr="28-4576m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76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1547" name="Picture 3930" descr="14-167m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5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1548" name="Picture 4017" descr="14-289m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7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44</xdr:row>
      <xdr:rowOff>9525</xdr:rowOff>
    </xdr:from>
    <xdr:to>
      <xdr:col>2</xdr:col>
      <xdr:colOff>9525</xdr:colOff>
      <xdr:row>45</xdr:row>
      <xdr:rowOff>0</xdr:rowOff>
    </xdr:to>
    <xdr:pic>
      <xdr:nvPicPr>
        <xdr:cNvPr id="1549" name="Picture 4079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345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1550" name="Picture 544045" descr="35-1638m">
          <a:hlinkClick xmlns:r="http://schemas.openxmlformats.org/officeDocument/2006/relationships" r:id="rId1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pic>
      <xdr:nvPicPr>
        <xdr:cNvPr id="1551" name="Picture 544046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pic>
      <xdr:nvPicPr>
        <xdr:cNvPr id="1552" name="Picture 544047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1553" name="Picture 4091" descr="28-5620m">
          <a:hlinkClick xmlns:r="http://schemas.openxmlformats.org/officeDocument/2006/relationships" r:id="rId1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1554" name="Picture 544049" descr="14-3620m">
          <a:hlinkClick xmlns:r="http://schemas.openxmlformats.org/officeDocument/2006/relationships" r:id="rId1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6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0</xdr:rowOff>
    </xdr:to>
    <xdr:pic>
      <xdr:nvPicPr>
        <xdr:cNvPr id="1555" name="Picture 544050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0</xdr:rowOff>
    </xdr:to>
    <xdr:pic>
      <xdr:nvPicPr>
        <xdr:cNvPr id="1556" name="Picture 544051" descr="28-5647m">
          <a:hlinkClick xmlns:r="http://schemas.openxmlformats.org/officeDocument/2006/relationships" r:id="rId2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1557" name="Picture 544058" descr="14-6611m">
          <a:hlinkClick xmlns:r="http://schemas.openxmlformats.org/officeDocument/2006/relationships" r:id="rId20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8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558" name="Picture 544059" descr="14-1668m">
          <a:hlinkClick xmlns:r="http://schemas.openxmlformats.org/officeDocument/2006/relationships" r:id="rId20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14</xdr:row>
      <xdr:rowOff>28575</xdr:rowOff>
    </xdr:from>
    <xdr:to>
      <xdr:col>2</xdr:col>
      <xdr:colOff>904875</xdr:colOff>
      <xdr:row>14</xdr:row>
      <xdr:rowOff>142875</xdr:rowOff>
    </xdr:to>
    <xdr:pic>
      <xdr:nvPicPr>
        <xdr:cNvPr id="155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55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560" name="Picture 544061" descr="44-4611m">
          <a:hlinkClick xmlns:r="http://schemas.openxmlformats.org/officeDocument/2006/relationships" r:id="rId20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84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1561" name="Picture 3502" descr="14-1569m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562" name="Picture 544065" descr="14-1646">
          <a:hlinkClick xmlns:r="http://schemas.openxmlformats.org/officeDocument/2006/relationships" r:id="rId1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48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563" name="Picture 544089" descr="14-1660m">
          <a:hlinkClick xmlns:r="http://schemas.openxmlformats.org/officeDocument/2006/relationships" r:id="rId2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110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564" name="Picture 544090" descr="14-1660m">
          <a:hlinkClick xmlns:r="http://schemas.openxmlformats.org/officeDocument/2006/relationships" r:id="rId2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186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1565" name="Picture 544091" descr="14-1660m">
          <a:hlinkClick xmlns:r="http://schemas.openxmlformats.org/officeDocument/2006/relationships" r:id="rId2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2628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1566" name="Picture 544092" descr="14-1660m">
          <a:hlinkClick xmlns:r="http://schemas.openxmlformats.org/officeDocument/2006/relationships" r:id="rId20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339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567" name="Picture 544101" descr="14-1660m">
          <a:hlinkClick xmlns:r="http://schemas.openxmlformats.org/officeDocument/2006/relationships" r:id="rId2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1568" name="Picture 544102" descr="14-1660m">
          <a:hlinkClick xmlns:r="http://schemas.openxmlformats.org/officeDocument/2006/relationships" r:id="rId20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569" name="Picture 544107" descr="14-1660m">
          <a:hlinkClick xmlns:r="http://schemas.openxmlformats.org/officeDocument/2006/relationships" r:id="rId2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1570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1571" name="Picture 544113" descr="35-7611m">
          <a:hlinkClick xmlns:r="http://schemas.openxmlformats.org/officeDocument/2006/relationships" r:id="rId18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1572" name="Picture 544115" descr="14-8662m">
          <a:hlinkClick xmlns:r="http://schemas.openxmlformats.org/officeDocument/2006/relationships" r:id="rId2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1573" name="Picture 544117" descr="14-1669m">
          <a:hlinkClick xmlns:r="http://schemas.openxmlformats.org/officeDocument/2006/relationships" r:id="rId20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1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1574" name="Picture 544118" descr="14-1670m">
          <a:hlinkClick xmlns:r="http://schemas.openxmlformats.org/officeDocument/2006/relationships" r:id="rId2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5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31</xdr:row>
      <xdr:rowOff>28575</xdr:rowOff>
    </xdr:from>
    <xdr:to>
      <xdr:col>2</xdr:col>
      <xdr:colOff>904875</xdr:colOff>
      <xdr:row>31</xdr:row>
      <xdr:rowOff>142875</xdr:rowOff>
    </xdr:to>
    <xdr:pic>
      <xdr:nvPicPr>
        <xdr:cNvPr id="1575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398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</xdr:row>
      <xdr:rowOff>28575</xdr:rowOff>
    </xdr:from>
    <xdr:to>
      <xdr:col>2</xdr:col>
      <xdr:colOff>904875</xdr:colOff>
      <xdr:row>32</xdr:row>
      <xdr:rowOff>142875</xdr:rowOff>
    </xdr:to>
    <xdr:pic>
      <xdr:nvPicPr>
        <xdr:cNvPr id="157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4744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1577" name="Picture 544121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78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1578" name="Picture 544122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40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1579" name="Picture 544123" descr="35-1663m">
          <a:hlinkClick xmlns:r="http://schemas.openxmlformats.org/officeDocument/2006/relationships" r:id="rId20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4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1580" name="Picture 544124" descr="35-1663m">
          <a:hlinkClick xmlns:r="http://schemas.openxmlformats.org/officeDocument/2006/relationships" r:id="rId2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1581" name="Picture 544127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68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1582" name="Picture 544128" descr="28-5647m">
          <a:hlinkClick xmlns:r="http://schemas.openxmlformats.org/officeDocument/2006/relationships" r:id="rId2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3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1583" name="Picture 3486" descr="14-1566m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1584" name="Picture 3815" descr="14-1599m">
          <a:hlinkClick xmlns:r="http://schemas.openxmlformats.org/officeDocument/2006/relationships" r:id="rId1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28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114</xdr:row>
      <xdr:rowOff>514350</xdr:rowOff>
    </xdr:from>
    <xdr:to>
      <xdr:col>0</xdr:col>
      <xdr:colOff>590550</xdr:colOff>
      <xdr:row>114</xdr:row>
      <xdr:rowOff>628650</xdr:rowOff>
    </xdr:to>
    <xdr:pic>
      <xdr:nvPicPr>
        <xdr:cNvPr id="158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586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130</xdr:row>
      <xdr:rowOff>514350</xdr:rowOff>
    </xdr:from>
    <xdr:to>
      <xdr:col>0</xdr:col>
      <xdr:colOff>590550</xdr:colOff>
      <xdr:row>130</xdr:row>
      <xdr:rowOff>628650</xdr:rowOff>
    </xdr:to>
    <xdr:pic>
      <xdr:nvPicPr>
        <xdr:cNvPr id="158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72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174</xdr:row>
      <xdr:rowOff>514350</xdr:rowOff>
    </xdr:from>
    <xdr:to>
      <xdr:col>0</xdr:col>
      <xdr:colOff>590550</xdr:colOff>
      <xdr:row>174</xdr:row>
      <xdr:rowOff>628650</xdr:rowOff>
    </xdr:to>
    <xdr:pic>
      <xdr:nvPicPr>
        <xdr:cNvPr id="158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491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176</xdr:row>
      <xdr:rowOff>514350</xdr:rowOff>
    </xdr:from>
    <xdr:to>
      <xdr:col>0</xdr:col>
      <xdr:colOff>590550</xdr:colOff>
      <xdr:row>176</xdr:row>
      <xdr:rowOff>628650</xdr:rowOff>
    </xdr:to>
    <xdr:pic>
      <xdr:nvPicPr>
        <xdr:cNvPr id="158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491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177</xdr:row>
      <xdr:rowOff>514350</xdr:rowOff>
    </xdr:from>
    <xdr:to>
      <xdr:col>0</xdr:col>
      <xdr:colOff>590550</xdr:colOff>
      <xdr:row>177</xdr:row>
      <xdr:rowOff>628650</xdr:rowOff>
    </xdr:to>
    <xdr:pic>
      <xdr:nvPicPr>
        <xdr:cNvPr id="158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491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191</xdr:row>
      <xdr:rowOff>514350</xdr:rowOff>
    </xdr:from>
    <xdr:to>
      <xdr:col>0</xdr:col>
      <xdr:colOff>590550</xdr:colOff>
      <xdr:row>191</xdr:row>
      <xdr:rowOff>628650</xdr:rowOff>
    </xdr:to>
    <xdr:pic>
      <xdr:nvPicPr>
        <xdr:cNvPr id="159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177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197</xdr:row>
      <xdr:rowOff>514350</xdr:rowOff>
    </xdr:from>
    <xdr:to>
      <xdr:col>0</xdr:col>
      <xdr:colOff>590550</xdr:colOff>
      <xdr:row>197</xdr:row>
      <xdr:rowOff>628650</xdr:rowOff>
    </xdr:to>
    <xdr:pic>
      <xdr:nvPicPr>
        <xdr:cNvPr id="159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558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202</xdr:row>
      <xdr:rowOff>133350</xdr:rowOff>
    </xdr:from>
    <xdr:to>
      <xdr:col>0</xdr:col>
      <xdr:colOff>590550</xdr:colOff>
      <xdr:row>202</xdr:row>
      <xdr:rowOff>247650</xdr:rowOff>
    </xdr:to>
    <xdr:pic>
      <xdr:nvPicPr>
        <xdr:cNvPr id="159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8630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215</xdr:row>
      <xdr:rowOff>514350</xdr:rowOff>
    </xdr:from>
    <xdr:to>
      <xdr:col>0</xdr:col>
      <xdr:colOff>590550</xdr:colOff>
      <xdr:row>215</xdr:row>
      <xdr:rowOff>628650</xdr:rowOff>
    </xdr:to>
    <xdr:pic>
      <xdr:nvPicPr>
        <xdr:cNvPr id="159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320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232</xdr:row>
      <xdr:rowOff>0</xdr:rowOff>
    </xdr:from>
    <xdr:to>
      <xdr:col>0</xdr:col>
      <xdr:colOff>590550</xdr:colOff>
      <xdr:row>232</xdr:row>
      <xdr:rowOff>0</xdr:rowOff>
    </xdr:to>
    <xdr:pic>
      <xdr:nvPicPr>
        <xdr:cNvPr id="159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701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238</xdr:row>
      <xdr:rowOff>0</xdr:rowOff>
    </xdr:from>
    <xdr:to>
      <xdr:col>0</xdr:col>
      <xdr:colOff>590550</xdr:colOff>
      <xdr:row>238</xdr:row>
      <xdr:rowOff>0</xdr:rowOff>
    </xdr:to>
    <xdr:pic>
      <xdr:nvPicPr>
        <xdr:cNvPr id="159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929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246</xdr:row>
      <xdr:rowOff>514350</xdr:rowOff>
    </xdr:from>
    <xdr:to>
      <xdr:col>0</xdr:col>
      <xdr:colOff>590550</xdr:colOff>
      <xdr:row>246</xdr:row>
      <xdr:rowOff>628650</xdr:rowOff>
    </xdr:to>
    <xdr:pic>
      <xdr:nvPicPr>
        <xdr:cNvPr id="159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310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247</xdr:row>
      <xdr:rowOff>514350</xdr:rowOff>
    </xdr:from>
    <xdr:to>
      <xdr:col>0</xdr:col>
      <xdr:colOff>590550</xdr:colOff>
      <xdr:row>247</xdr:row>
      <xdr:rowOff>628650</xdr:rowOff>
    </xdr:to>
    <xdr:pic>
      <xdr:nvPicPr>
        <xdr:cNvPr id="159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310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248</xdr:row>
      <xdr:rowOff>514350</xdr:rowOff>
    </xdr:from>
    <xdr:to>
      <xdr:col>0</xdr:col>
      <xdr:colOff>590550</xdr:colOff>
      <xdr:row>248</xdr:row>
      <xdr:rowOff>628650</xdr:rowOff>
    </xdr:to>
    <xdr:pic>
      <xdr:nvPicPr>
        <xdr:cNvPr id="159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310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254</xdr:row>
      <xdr:rowOff>514350</xdr:rowOff>
    </xdr:from>
    <xdr:to>
      <xdr:col>0</xdr:col>
      <xdr:colOff>590550</xdr:colOff>
      <xdr:row>254</xdr:row>
      <xdr:rowOff>628650</xdr:rowOff>
    </xdr:to>
    <xdr:pic>
      <xdr:nvPicPr>
        <xdr:cNvPr id="159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691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263</xdr:row>
      <xdr:rowOff>0</xdr:rowOff>
    </xdr:from>
    <xdr:to>
      <xdr:col>0</xdr:col>
      <xdr:colOff>590550</xdr:colOff>
      <xdr:row>263</xdr:row>
      <xdr:rowOff>0</xdr:rowOff>
    </xdr:to>
    <xdr:pic>
      <xdr:nvPicPr>
        <xdr:cNvPr id="160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7680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270</xdr:row>
      <xdr:rowOff>514350</xdr:rowOff>
    </xdr:from>
    <xdr:to>
      <xdr:col>0</xdr:col>
      <xdr:colOff>590550</xdr:colOff>
      <xdr:row>270</xdr:row>
      <xdr:rowOff>628650</xdr:rowOff>
    </xdr:to>
    <xdr:pic>
      <xdr:nvPicPr>
        <xdr:cNvPr id="160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7680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273</xdr:row>
      <xdr:rowOff>514350</xdr:rowOff>
    </xdr:from>
    <xdr:to>
      <xdr:col>0</xdr:col>
      <xdr:colOff>590550</xdr:colOff>
      <xdr:row>273</xdr:row>
      <xdr:rowOff>628650</xdr:rowOff>
    </xdr:to>
    <xdr:pic>
      <xdr:nvPicPr>
        <xdr:cNvPr id="160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44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277</xdr:row>
      <xdr:rowOff>0</xdr:rowOff>
    </xdr:from>
    <xdr:to>
      <xdr:col>0</xdr:col>
      <xdr:colOff>590550</xdr:colOff>
      <xdr:row>277</xdr:row>
      <xdr:rowOff>0</xdr:rowOff>
    </xdr:to>
    <xdr:pic>
      <xdr:nvPicPr>
        <xdr:cNvPr id="160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920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282</xdr:row>
      <xdr:rowOff>0</xdr:rowOff>
    </xdr:from>
    <xdr:to>
      <xdr:col>0</xdr:col>
      <xdr:colOff>590550</xdr:colOff>
      <xdr:row>282</xdr:row>
      <xdr:rowOff>0</xdr:rowOff>
    </xdr:to>
    <xdr:pic>
      <xdr:nvPicPr>
        <xdr:cNvPr id="160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105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286</xdr:row>
      <xdr:rowOff>514350</xdr:rowOff>
    </xdr:from>
    <xdr:to>
      <xdr:col>0</xdr:col>
      <xdr:colOff>590550</xdr:colOff>
      <xdr:row>286</xdr:row>
      <xdr:rowOff>628650</xdr:rowOff>
    </xdr:to>
    <xdr:pic>
      <xdr:nvPicPr>
        <xdr:cNvPr id="160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105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287</xdr:row>
      <xdr:rowOff>514350</xdr:rowOff>
    </xdr:from>
    <xdr:to>
      <xdr:col>0</xdr:col>
      <xdr:colOff>590550</xdr:colOff>
      <xdr:row>287</xdr:row>
      <xdr:rowOff>628650</xdr:rowOff>
    </xdr:to>
    <xdr:pic>
      <xdr:nvPicPr>
        <xdr:cNvPr id="160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105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289</xdr:row>
      <xdr:rowOff>514350</xdr:rowOff>
    </xdr:from>
    <xdr:to>
      <xdr:col>0</xdr:col>
      <xdr:colOff>590550</xdr:colOff>
      <xdr:row>289</xdr:row>
      <xdr:rowOff>628650</xdr:rowOff>
    </xdr:to>
    <xdr:pic>
      <xdr:nvPicPr>
        <xdr:cNvPr id="160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181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300</xdr:row>
      <xdr:rowOff>514350</xdr:rowOff>
    </xdr:from>
    <xdr:to>
      <xdr:col>0</xdr:col>
      <xdr:colOff>590550</xdr:colOff>
      <xdr:row>300</xdr:row>
      <xdr:rowOff>628650</xdr:rowOff>
    </xdr:to>
    <xdr:pic>
      <xdr:nvPicPr>
        <xdr:cNvPr id="160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57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301</xdr:row>
      <xdr:rowOff>514350</xdr:rowOff>
    </xdr:from>
    <xdr:to>
      <xdr:col>0</xdr:col>
      <xdr:colOff>590550</xdr:colOff>
      <xdr:row>301</xdr:row>
      <xdr:rowOff>628650</xdr:rowOff>
    </xdr:to>
    <xdr:pic>
      <xdr:nvPicPr>
        <xdr:cNvPr id="160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57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302</xdr:row>
      <xdr:rowOff>514350</xdr:rowOff>
    </xdr:from>
    <xdr:to>
      <xdr:col>0</xdr:col>
      <xdr:colOff>590550</xdr:colOff>
      <xdr:row>302</xdr:row>
      <xdr:rowOff>628650</xdr:rowOff>
    </xdr:to>
    <xdr:pic>
      <xdr:nvPicPr>
        <xdr:cNvPr id="161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57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306</xdr:row>
      <xdr:rowOff>514350</xdr:rowOff>
    </xdr:from>
    <xdr:to>
      <xdr:col>0</xdr:col>
      <xdr:colOff>590550</xdr:colOff>
      <xdr:row>306</xdr:row>
      <xdr:rowOff>628650</xdr:rowOff>
    </xdr:to>
    <xdr:pic>
      <xdr:nvPicPr>
        <xdr:cNvPr id="161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333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309</xdr:row>
      <xdr:rowOff>514350</xdr:rowOff>
    </xdr:from>
    <xdr:to>
      <xdr:col>0</xdr:col>
      <xdr:colOff>590550</xdr:colOff>
      <xdr:row>309</xdr:row>
      <xdr:rowOff>628650</xdr:rowOff>
    </xdr:to>
    <xdr:pic>
      <xdr:nvPicPr>
        <xdr:cNvPr id="161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86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320</xdr:row>
      <xdr:rowOff>0</xdr:rowOff>
    </xdr:from>
    <xdr:to>
      <xdr:col>0</xdr:col>
      <xdr:colOff>590550</xdr:colOff>
      <xdr:row>320</xdr:row>
      <xdr:rowOff>0</xdr:rowOff>
    </xdr:to>
    <xdr:pic>
      <xdr:nvPicPr>
        <xdr:cNvPr id="161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325</xdr:row>
      <xdr:rowOff>0</xdr:rowOff>
    </xdr:from>
    <xdr:to>
      <xdr:col>0</xdr:col>
      <xdr:colOff>590550</xdr:colOff>
      <xdr:row>325</xdr:row>
      <xdr:rowOff>0</xdr:rowOff>
    </xdr:to>
    <xdr:pic>
      <xdr:nvPicPr>
        <xdr:cNvPr id="161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326</xdr:row>
      <xdr:rowOff>0</xdr:rowOff>
    </xdr:from>
    <xdr:to>
      <xdr:col>0</xdr:col>
      <xdr:colOff>590550</xdr:colOff>
      <xdr:row>326</xdr:row>
      <xdr:rowOff>0</xdr:rowOff>
    </xdr:to>
    <xdr:pic>
      <xdr:nvPicPr>
        <xdr:cNvPr id="161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329</xdr:row>
      <xdr:rowOff>0</xdr:rowOff>
    </xdr:from>
    <xdr:to>
      <xdr:col>0</xdr:col>
      <xdr:colOff>590550</xdr:colOff>
      <xdr:row>329</xdr:row>
      <xdr:rowOff>0</xdr:rowOff>
    </xdr:to>
    <xdr:pic>
      <xdr:nvPicPr>
        <xdr:cNvPr id="161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329</xdr:row>
      <xdr:rowOff>0</xdr:rowOff>
    </xdr:from>
    <xdr:to>
      <xdr:col>0</xdr:col>
      <xdr:colOff>590550</xdr:colOff>
      <xdr:row>329</xdr:row>
      <xdr:rowOff>0</xdr:rowOff>
    </xdr:to>
    <xdr:pic>
      <xdr:nvPicPr>
        <xdr:cNvPr id="161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329</xdr:row>
      <xdr:rowOff>0</xdr:rowOff>
    </xdr:from>
    <xdr:to>
      <xdr:col>0</xdr:col>
      <xdr:colOff>590550</xdr:colOff>
      <xdr:row>329</xdr:row>
      <xdr:rowOff>0</xdr:rowOff>
    </xdr:to>
    <xdr:pic>
      <xdr:nvPicPr>
        <xdr:cNvPr id="161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335</xdr:row>
      <xdr:rowOff>514350</xdr:rowOff>
    </xdr:from>
    <xdr:to>
      <xdr:col>0</xdr:col>
      <xdr:colOff>590550</xdr:colOff>
      <xdr:row>335</xdr:row>
      <xdr:rowOff>628650</xdr:rowOff>
    </xdr:to>
    <xdr:pic>
      <xdr:nvPicPr>
        <xdr:cNvPr id="161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899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340</xdr:row>
      <xdr:rowOff>514350</xdr:rowOff>
    </xdr:from>
    <xdr:to>
      <xdr:col>0</xdr:col>
      <xdr:colOff>590550</xdr:colOff>
      <xdr:row>340</xdr:row>
      <xdr:rowOff>628650</xdr:rowOff>
    </xdr:to>
    <xdr:pic>
      <xdr:nvPicPr>
        <xdr:cNvPr id="162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975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345</xdr:row>
      <xdr:rowOff>514350</xdr:rowOff>
    </xdr:from>
    <xdr:to>
      <xdr:col>0</xdr:col>
      <xdr:colOff>590550</xdr:colOff>
      <xdr:row>345</xdr:row>
      <xdr:rowOff>628650</xdr:rowOff>
    </xdr:to>
    <xdr:pic>
      <xdr:nvPicPr>
        <xdr:cNvPr id="162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1281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351</xdr:row>
      <xdr:rowOff>514350</xdr:rowOff>
    </xdr:from>
    <xdr:to>
      <xdr:col>0</xdr:col>
      <xdr:colOff>590550</xdr:colOff>
      <xdr:row>351</xdr:row>
      <xdr:rowOff>628650</xdr:rowOff>
    </xdr:to>
    <xdr:pic>
      <xdr:nvPicPr>
        <xdr:cNvPr id="162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4329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352</xdr:row>
      <xdr:rowOff>514350</xdr:rowOff>
    </xdr:from>
    <xdr:to>
      <xdr:col>0</xdr:col>
      <xdr:colOff>590550</xdr:colOff>
      <xdr:row>352</xdr:row>
      <xdr:rowOff>628650</xdr:rowOff>
    </xdr:to>
    <xdr:pic>
      <xdr:nvPicPr>
        <xdr:cNvPr id="162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4329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356</xdr:row>
      <xdr:rowOff>514350</xdr:rowOff>
    </xdr:from>
    <xdr:to>
      <xdr:col>0</xdr:col>
      <xdr:colOff>590550</xdr:colOff>
      <xdr:row>356</xdr:row>
      <xdr:rowOff>628650</xdr:rowOff>
    </xdr:to>
    <xdr:pic>
      <xdr:nvPicPr>
        <xdr:cNvPr id="162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661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361</xdr:row>
      <xdr:rowOff>514350</xdr:rowOff>
    </xdr:from>
    <xdr:to>
      <xdr:col>0</xdr:col>
      <xdr:colOff>590550</xdr:colOff>
      <xdr:row>361</xdr:row>
      <xdr:rowOff>628650</xdr:rowOff>
    </xdr:to>
    <xdr:pic>
      <xdr:nvPicPr>
        <xdr:cNvPr id="162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661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366</xdr:row>
      <xdr:rowOff>514350</xdr:rowOff>
    </xdr:from>
    <xdr:to>
      <xdr:col>0</xdr:col>
      <xdr:colOff>590550</xdr:colOff>
      <xdr:row>366</xdr:row>
      <xdr:rowOff>628650</xdr:rowOff>
    </xdr:to>
    <xdr:pic>
      <xdr:nvPicPr>
        <xdr:cNvPr id="162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8901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372</xdr:row>
      <xdr:rowOff>514350</xdr:rowOff>
    </xdr:from>
    <xdr:to>
      <xdr:col>0</xdr:col>
      <xdr:colOff>590550</xdr:colOff>
      <xdr:row>372</xdr:row>
      <xdr:rowOff>628650</xdr:rowOff>
    </xdr:to>
    <xdr:pic>
      <xdr:nvPicPr>
        <xdr:cNvPr id="162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1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375</xdr:row>
      <xdr:rowOff>514350</xdr:rowOff>
    </xdr:from>
    <xdr:to>
      <xdr:col>0</xdr:col>
      <xdr:colOff>590550</xdr:colOff>
      <xdr:row>375</xdr:row>
      <xdr:rowOff>628650</xdr:rowOff>
    </xdr:to>
    <xdr:pic>
      <xdr:nvPicPr>
        <xdr:cNvPr id="162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1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380</xdr:row>
      <xdr:rowOff>514350</xdr:rowOff>
    </xdr:from>
    <xdr:to>
      <xdr:col>0</xdr:col>
      <xdr:colOff>590550</xdr:colOff>
      <xdr:row>380</xdr:row>
      <xdr:rowOff>628650</xdr:rowOff>
    </xdr:to>
    <xdr:pic>
      <xdr:nvPicPr>
        <xdr:cNvPr id="162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1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383</xdr:row>
      <xdr:rowOff>514350</xdr:rowOff>
    </xdr:from>
    <xdr:to>
      <xdr:col>0</xdr:col>
      <xdr:colOff>590550</xdr:colOff>
      <xdr:row>383</xdr:row>
      <xdr:rowOff>628650</xdr:rowOff>
    </xdr:to>
    <xdr:pic>
      <xdr:nvPicPr>
        <xdr:cNvPr id="163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1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384</xdr:row>
      <xdr:rowOff>514350</xdr:rowOff>
    </xdr:from>
    <xdr:to>
      <xdr:col>0</xdr:col>
      <xdr:colOff>590550</xdr:colOff>
      <xdr:row>384</xdr:row>
      <xdr:rowOff>628650</xdr:rowOff>
    </xdr:to>
    <xdr:pic>
      <xdr:nvPicPr>
        <xdr:cNvPr id="163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1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387</xdr:row>
      <xdr:rowOff>514350</xdr:rowOff>
    </xdr:from>
    <xdr:to>
      <xdr:col>0</xdr:col>
      <xdr:colOff>590550</xdr:colOff>
      <xdr:row>387</xdr:row>
      <xdr:rowOff>628650</xdr:rowOff>
    </xdr:to>
    <xdr:pic>
      <xdr:nvPicPr>
        <xdr:cNvPr id="163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1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398</xdr:row>
      <xdr:rowOff>514350</xdr:rowOff>
    </xdr:from>
    <xdr:to>
      <xdr:col>0</xdr:col>
      <xdr:colOff>590550</xdr:colOff>
      <xdr:row>398</xdr:row>
      <xdr:rowOff>628650</xdr:rowOff>
    </xdr:to>
    <xdr:pic>
      <xdr:nvPicPr>
        <xdr:cNvPr id="163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083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401</xdr:row>
      <xdr:rowOff>514350</xdr:rowOff>
    </xdr:from>
    <xdr:to>
      <xdr:col>0</xdr:col>
      <xdr:colOff>590550</xdr:colOff>
      <xdr:row>401</xdr:row>
      <xdr:rowOff>628650</xdr:rowOff>
    </xdr:to>
    <xdr:pic>
      <xdr:nvPicPr>
        <xdr:cNvPr id="163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7607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405</xdr:row>
      <xdr:rowOff>514350</xdr:rowOff>
    </xdr:from>
    <xdr:to>
      <xdr:col>0</xdr:col>
      <xdr:colOff>590550</xdr:colOff>
      <xdr:row>405</xdr:row>
      <xdr:rowOff>628650</xdr:rowOff>
    </xdr:to>
    <xdr:pic>
      <xdr:nvPicPr>
        <xdr:cNvPr id="163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646025"/>
          <a:ext cx="3619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410</xdr:row>
      <xdr:rowOff>514350</xdr:rowOff>
    </xdr:from>
    <xdr:to>
      <xdr:col>0</xdr:col>
      <xdr:colOff>590550</xdr:colOff>
      <xdr:row>410</xdr:row>
      <xdr:rowOff>628650</xdr:rowOff>
    </xdr:to>
    <xdr:pic>
      <xdr:nvPicPr>
        <xdr:cNvPr id="163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1417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413</xdr:row>
      <xdr:rowOff>514350</xdr:rowOff>
    </xdr:from>
    <xdr:to>
      <xdr:col>0</xdr:col>
      <xdr:colOff>590550</xdr:colOff>
      <xdr:row>413</xdr:row>
      <xdr:rowOff>628650</xdr:rowOff>
    </xdr:to>
    <xdr:pic>
      <xdr:nvPicPr>
        <xdr:cNvPr id="163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2179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424</xdr:row>
      <xdr:rowOff>514350</xdr:rowOff>
    </xdr:from>
    <xdr:to>
      <xdr:col>0</xdr:col>
      <xdr:colOff>590550</xdr:colOff>
      <xdr:row>424</xdr:row>
      <xdr:rowOff>628650</xdr:rowOff>
    </xdr:to>
    <xdr:pic>
      <xdr:nvPicPr>
        <xdr:cNvPr id="163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3703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462</xdr:row>
      <xdr:rowOff>514350</xdr:rowOff>
    </xdr:from>
    <xdr:to>
      <xdr:col>0</xdr:col>
      <xdr:colOff>590550</xdr:colOff>
      <xdr:row>462</xdr:row>
      <xdr:rowOff>628650</xdr:rowOff>
    </xdr:to>
    <xdr:pic>
      <xdr:nvPicPr>
        <xdr:cNvPr id="163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495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466</xdr:row>
      <xdr:rowOff>95250</xdr:rowOff>
    </xdr:from>
    <xdr:to>
      <xdr:col>0</xdr:col>
      <xdr:colOff>590550</xdr:colOff>
      <xdr:row>466</xdr:row>
      <xdr:rowOff>209550</xdr:rowOff>
    </xdr:to>
    <xdr:pic>
      <xdr:nvPicPr>
        <xdr:cNvPr id="164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5713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475</xdr:row>
      <xdr:rowOff>514350</xdr:rowOff>
    </xdr:from>
    <xdr:to>
      <xdr:col>0</xdr:col>
      <xdr:colOff>590550</xdr:colOff>
      <xdr:row>475</xdr:row>
      <xdr:rowOff>628650</xdr:rowOff>
    </xdr:to>
    <xdr:pic>
      <xdr:nvPicPr>
        <xdr:cNvPr id="164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723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515</xdr:row>
      <xdr:rowOff>514350</xdr:rowOff>
    </xdr:from>
    <xdr:to>
      <xdr:col>0</xdr:col>
      <xdr:colOff>590550</xdr:colOff>
      <xdr:row>515</xdr:row>
      <xdr:rowOff>628650</xdr:rowOff>
    </xdr:to>
    <xdr:pic>
      <xdr:nvPicPr>
        <xdr:cNvPr id="164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522</xdr:row>
      <xdr:rowOff>514350</xdr:rowOff>
    </xdr:from>
    <xdr:to>
      <xdr:col>0</xdr:col>
      <xdr:colOff>590550</xdr:colOff>
      <xdr:row>522</xdr:row>
      <xdr:rowOff>628650</xdr:rowOff>
    </xdr:to>
    <xdr:pic>
      <xdr:nvPicPr>
        <xdr:cNvPr id="164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526</xdr:row>
      <xdr:rowOff>514350</xdr:rowOff>
    </xdr:from>
    <xdr:to>
      <xdr:col>0</xdr:col>
      <xdr:colOff>590550</xdr:colOff>
      <xdr:row>526</xdr:row>
      <xdr:rowOff>628650</xdr:rowOff>
    </xdr:to>
    <xdr:pic>
      <xdr:nvPicPr>
        <xdr:cNvPr id="164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537</xdr:row>
      <xdr:rowOff>514350</xdr:rowOff>
    </xdr:from>
    <xdr:to>
      <xdr:col>0</xdr:col>
      <xdr:colOff>590550</xdr:colOff>
      <xdr:row>537</xdr:row>
      <xdr:rowOff>628650</xdr:rowOff>
    </xdr:to>
    <xdr:pic>
      <xdr:nvPicPr>
        <xdr:cNvPr id="164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539</xdr:row>
      <xdr:rowOff>514350</xdr:rowOff>
    </xdr:from>
    <xdr:to>
      <xdr:col>0</xdr:col>
      <xdr:colOff>590550</xdr:colOff>
      <xdr:row>539</xdr:row>
      <xdr:rowOff>628650</xdr:rowOff>
    </xdr:to>
    <xdr:pic>
      <xdr:nvPicPr>
        <xdr:cNvPr id="164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550</xdr:row>
      <xdr:rowOff>514350</xdr:rowOff>
    </xdr:from>
    <xdr:to>
      <xdr:col>0</xdr:col>
      <xdr:colOff>590550</xdr:colOff>
      <xdr:row>550</xdr:row>
      <xdr:rowOff>628650</xdr:rowOff>
    </xdr:to>
    <xdr:pic>
      <xdr:nvPicPr>
        <xdr:cNvPr id="164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553</xdr:row>
      <xdr:rowOff>514350</xdr:rowOff>
    </xdr:from>
    <xdr:to>
      <xdr:col>0</xdr:col>
      <xdr:colOff>590550</xdr:colOff>
      <xdr:row>553</xdr:row>
      <xdr:rowOff>628650</xdr:rowOff>
    </xdr:to>
    <xdr:pic>
      <xdr:nvPicPr>
        <xdr:cNvPr id="164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555</xdr:row>
      <xdr:rowOff>514350</xdr:rowOff>
    </xdr:from>
    <xdr:to>
      <xdr:col>0</xdr:col>
      <xdr:colOff>590550</xdr:colOff>
      <xdr:row>555</xdr:row>
      <xdr:rowOff>628650</xdr:rowOff>
    </xdr:to>
    <xdr:pic>
      <xdr:nvPicPr>
        <xdr:cNvPr id="164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558</xdr:row>
      <xdr:rowOff>514350</xdr:rowOff>
    </xdr:from>
    <xdr:to>
      <xdr:col>0</xdr:col>
      <xdr:colOff>590550</xdr:colOff>
      <xdr:row>558</xdr:row>
      <xdr:rowOff>628650</xdr:rowOff>
    </xdr:to>
    <xdr:pic>
      <xdr:nvPicPr>
        <xdr:cNvPr id="165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562</xdr:row>
      <xdr:rowOff>514350</xdr:rowOff>
    </xdr:from>
    <xdr:to>
      <xdr:col>0</xdr:col>
      <xdr:colOff>590550</xdr:colOff>
      <xdr:row>562</xdr:row>
      <xdr:rowOff>628650</xdr:rowOff>
    </xdr:to>
    <xdr:pic>
      <xdr:nvPicPr>
        <xdr:cNvPr id="165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568</xdr:row>
      <xdr:rowOff>514350</xdr:rowOff>
    </xdr:from>
    <xdr:to>
      <xdr:col>0</xdr:col>
      <xdr:colOff>590550</xdr:colOff>
      <xdr:row>568</xdr:row>
      <xdr:rowOff>628650</xdr:rowOff>
    </xdr:to>
    <xdr:pic>
      <xdr:nvPicPr>
        <xdr:cNvPr id="165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583</xdr:row>
      <xdr:rowOff>514350</xdr:rowOff>
    </xdr:from>
    <xdr:to>
      <xdr:col>0</xdr:col>
      <xdr:colOff>590550</xdr:colOff>
      <xdr:row>583</xdr:row>
      <xdr:rowOff>628650</xdr:rowOff>
    </xdr:to>
    <xdr:pic>
      <xdr:nvPicPr>
        <xdr:cNvPr id="165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586</xdr:row>
      <xdr:rowOff>514350</xdr:rowOff>
    </xdr:from>
    <xdr:to>
      <xdr:col>0</xdr:col>
      <xdr:colOff>590550</xdr:colOff>
      <xdr:row>586</xdr:row>
      <xdr:rowOff>628650</xdr:rowOff>
    </xdr:to>
    <xdr:pic>
      <xdr:nvPicPr>
        <xdr:cNvPr id="165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587</xdr:row>
      <xdr:rowOff>514350</xdr:rowOff>
    </xdr:from>
    <xdr:to>
      <xdr:col>0</xdr:col>
      <xdr:colOff>590550</xdr:colOff>
      <xdr:row>587</xdr:row>
      <xdr:rowOff>628650</xdr:rowOff>
    </xdr:to>
    <xdr:pic>
      <xdr:nvPicPr>
        <xdr:cNvPr id="165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590</xdr:row>
      <xdr:rowOff>514350</xdr:rowOff>
    </xdr:from>
    <xdr:to>
      <xdr:col>0</xdr:col>
      <xdr:colOff>590550</xdr:colOff>
      <xdr:row>590</xdr:row>
      <xdr:rowOff>628650</xdr:rowOff>
    </xdr:to>
    <xdr:pic>
      <xdr:nvPicPr>
        <xdr:cNvPr id="165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602</xdr:row>
      <xdr:rowOff>514350</xdr:rowOff>
    </xdr:from>
    <xdr:to>
      <xdr:col>0</xdr:col>
      <xdr:colOff>590550</xdr:colOff>
      <xdr:row>602</xdr:row>
      <xdr:rowOff>628650</xdr:rowOff>
    </xdr:to>
    <xdr:pic>
      <xdr:nvPicPr>
        <xdr:cNvPr id="165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602</xdr:row>
      <xdr:rowOff>514350</xdr:rowOff>
    </xdr:from>
    <xdr:to>
      <xdr:col>0</xdr:col>
      <xdr:colOff>590550</xdr:colOff>
      <xdr:row>602</xdr:row>
      <xdr:rowOff>628650</xdr:rowOff>
    </xdr:to>
    <xdr:pic>
      <xdr:nvPicPr>
        <xdr:cNvPr id="165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610</xdr:row>
      <xdr:rowOff>514350</xdr:rowOff>
    </xdr:from>
    <xdr:to>
      <xdr:col>0</xdr:col>
      <xdr:colOff>590550</xdr:colOff>
      <xdr:row>610</xdr:row>
      <xdr:rowOff>628650</xdr:rowOff>
    </xdr:to>
    <xdr:pic>
      <xdr:nvPicPr>
        <xdr:cNvPr id="165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611</xdr:row>
      <xdr:rowOff>514350</xdr:rowOff>
    </xdr:from>
    <xdr:to>
      <xdr:col>0</xdr:col>
      <xdr:colOff>590550</xdr:colOff>
      <xdr:row>611</xdr:row>
      <xdr:rowOff>628650</xdr:rowOff>
    </xdr:to>
    <xdr:pic>
      <xdr:nvPicPr>
        <xdr:cNvPr id="166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612</xdr:row>
      <xdr:rowOff>514350</xdr:rowOff>
    </xdr:from>
    <xdr:to>
      <xdr:col>0</xdr:col>
      <xdr:colOff>590550</xdr:colOff>
      <xdr:row>612</xdr:row>
      <xdr:rowOff>628650</xdr:rowOff>
    </xdr:to>
    <xdr:pic>
      <xdr:nvPicPr>
        <xdr:cNvPr id="166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76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628</xdr:row>
      <xdr:rowOff>514350</xdr:rowOff>
    </xdr:from>
    <xdr:to>
      <xdr:col>0</xdr:col>
      <xdr:colOff>590550</xdr:colOff>
      <xdr:row>628</xdr:row>
      <xdr:rowOff>628650</xdr:rowOff>
    </xdr:to>
    <xdr:pic>
      <xdr:nvPicPr>
        <xdr:cNvPr id="166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905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633</xdr:row>
      <xdr:rowOff>514350</xdr:rowOff>
    </xdr:from>
    <xdr:to>
      <xdr:col>0</xdr:col>
      <xdr:colOff>590550</xdr:colOff>
      <xdr:row>633</xdr:row>
      <xdr:rowOff>628650</xdr:rowOff>
    </xdr:to>
    <xdr:pic>
      <xdr:nvPicPr>
        <xdr:cNvPr id="166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19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634</xdr:row>
      <xdr:rowOff>514350</xdr:rowOff>
    </xdr:from>
    <xdr:to>
      <xdr:col>0</xdr:col>
      <xdr:colOff>590550</xdr:colOff>
      <xdr:row>634</xdr:row>
      <xdr:rowOff>628650</xdr:rowOff>
    </xdr:to>
    <xdr:pic>
      <xdr:nvPicPr>
        <xdr:cNvPr id="166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191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653</xdr:row>
      <xdr:rowOff>514350</xdr:rowOff>
    </xdr:from>
    <xdr:to>
      <xdr:col>0</xdr:col>
      <xdr:colOff>590550</xdr:colOff>
      <xdr:row>653</xdr:row>
      <xdr:rowOff>628650</xdr:rowOff>
    </xdr:to>
    <xdr:pic>
      <xdr:nvPicPr>
        <xdr:cNvPr id="166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009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658</xdr:row>
      <xdr:rowOff>514350</xdr:rowOff>
    </xdr:from>
    <xdr:to>
      <xdr:col>0</xdr:col>
      <xdr:colOff>590550</xdr:colOff>
      <xdr:row>658</xdr:row>
      <xdr:rowOff>628650</xdr:rowOff>
    </xdr:to>
    <xdr:pic>
      <xdr:nvPicPr>
        <xdr:cNvPr id="166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009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664</xdr:row>
      <xdr:rowOff>514350</xdr:rowOff>
    </xdr:from>
    <xdr:to>
      <xdr:col>0</xdr:col>
      <xdr:colOff>590550</xdr:colOff>
      <xdr:row>664</xdr:row>
      <xdr:rowOff>628650</xdr:rowOff>
    </xdr:to>
    <xdr:pic>
      <xdr:nvPicPr>
        <xdr:cNvPr id="166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009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669</xdr:row>
      <xdr:rowOff>514350</xdr:rowOff>
    </xdr:from>
    <xdr:to>
      <xdr:col>0</xdr:col>
      <xdr:colOff>590550</xdr:colOff>
      <xdr:row>669</xdr:row>
      <xdr:rowOff>628650</xdr:rowOff>
    </xdr:to>
    <xdr:pic>
      <xdr:nvPicPr>
        <xdr:cNvPr id="166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009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670</xdr:row>
      <xdr:rowOff>514350</xdr:rowOff>
    </xdr:from>
    <xdr:to>
      <xdr:col>0</xdr:col>
      <xdr:colOff>590550</xdr:colOff>
      <xdr:row>670</xdr:row>
      <xdr:rowOff>628650</xdr:rowOff>
    </xdr:to>
    <xdr:pic>
      <xdr:nvPicPr>
        <xdr:cNvPr id="166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009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711</xdr:row>
      <xdr:rowOff>514350</xdr:rowOff>
    </xdr:from>
    <xdr:to>
      <xdr:col>0</xdr:col>
      <xdr:colOff>590550</xdr:colOff>
      <xdr:row>711</xdr:row>
      <xdr:rowOff>628650</xdr:rowOff>
    </xdr:to>
    <xdr:pic>
      <xdr:nvPicPr>
        <xdr:cNvPr id="167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31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714</xdr:row>
      <xdr:rowOff>514350</xdr:rowOff>
    </xdr:from>
    <xdr:to>
      <xdr:col>0</xdr:col>
      <xdr:colOff>590550</xdr:colOff>
      <xdr:row>714</xdr:row>
      <xdr:rowOff>628650</xdr:rowOff>
    </xdr:to>
    <xdr:pic>
      <xdr:nvPicPr>
        <xdr:cNvPr id="167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31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791</xdr:row>
      <xdr:rowOff>514350</xdr:rowOff>
    </xdr:from>
    <xdr:to>
      <xdr:col>0</xdr:col>
      <xdr:colOff>590550</xdr:colOff>
      <xdr:row>791</xdr:row>
      <xdr:rowOff>628650</xdr:rowOff>
    </xdr:to>
    <xdr:pic>
      <xdr:nvPicPr>
        <xdr:cNvPr id="167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4602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793</xdr:row>
      <xdr:rowOff>514350</xdr:rowOff>
    </xdr:from>
    <xdr:to>
      <xdr:col>0</xdr:col>
      <xdr:colOff>590550</xdr:colOff>
      <xdr:row>793</xdr:row>
      <xdr:rowOff>628650</xdr:rowOff>
    </xdr:to>
    <xdr:pic>
      <xdr:nvPicPr>
        <xdr:cNvPr id="167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4602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794</xdr:row>
      <xdr:rowOff>514350</xdr:rowOff>
    </xdr:from>
    <xdr:to>
      <xdr:col>0</xdr:col>
      <xdr:colOff>590550</xdr:colOff>
      <xdr:row>794</xdr:row>
      <xdr:rowOff>628650</xdr:rowOff>
    </xdr:to>
    <xdr:pic>
      <xdr:nvPicPr>
        <xdr:cNvPr id="167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4602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798</xdr:row>
      <xdr:rowOff>514350</xdr:rowOff>
    </xdr:from>
    <xdr:to>
      <xdr:col>0</xdr:col>
      <xdr:colOff>590550</xdr:colOff>
      <xdr:row>798</xdr:row>
      <xdr:rowOff>628650</xdr:rowOff>
    </xdr:to>
    <xdr:pic>
      <xdr:nvPicPr>
        <xdr:cNvPr id="167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5364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801</xdr:row>
      <xdr:rowOff>514350</xdr:rowOff>
    </xdr:from>
    <xdr:to>
      <xdr:col>0</xdr:col>
      <xdr:colOff>590550</xdr:colOff>
      <xdr:row>801</xdr:row>
      <xdr:rowOff>628650</xdr:rowOff>
    </xdr:to>
    <xdr:pic>
      <xdr:nvPicPr>
        <xdr:cNvPr id="167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888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808</xdr:row>
      <xdr:rowOff>514350</xdr:rowOff>
    </xdr:from>
    <xdr:to>
      <xdr:col>0</xdr:col>
      <xdr:colOff>590550</xdr:colOff>
      <xdr:row>808</xdr:row>
      <xdr:rowOff>628650</xdr:rowOff>
    </xdr:to>
    <xdr:pic>
      <xdr:nvPicPr>
        <xdr:cNvPr id="167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9174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812</xdr:row>
      <xdr:rowOff>514350</xdr:rowOff>
    </xdr:from>
    <xdr:to>
      <xdr:col>0</xdr:col>
      <xdr:colOff>590550</xdr:colOff>
      <xdr:row>812</xdr:row>
      <xdr:rowOff>628650</xdr:rowOff>
    </xdr:to>
    <xdr:pic>
      <xdr:nvPicPr>
        <xdr:cNvPr id="167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993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813</xdr:row>
      <xdr:rowOff>514350</xdr:rowOff>
    </xdr:from>
    <xdr:to>
      <xdr:col>0</xdr:col>
      <xdr:colOff>590550</xdr:colOff>
      <xdr:row>813</xdr:row>
      <xdr:rowOff>628650</xdr:rowOff>
    </xdr:to>
    <xdr:pic>
      <xdr:nvPicPr>
        <xdr:cNvPr id="167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993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815</xdr:row>
      <xdr:rowOff>514350</xdr:rowOff>
    </xdr:from>
    <xdr:to>
      <xdr:col>0</xdr:col>
      <xdr:colOff>590550</xdr:colOff>
      <xdr:row>815</xdr:row>
      <xdr:rowOff>628650</xdr:rowOff>
    </xdr:to>
    <xdr:pic>
      <xdr:nvPicPr>
        <xdr:cNvPr id="168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993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819</xdr:row>
      <xdr:rowOff>514350</xdr:rowOff>
    </xdr:from>
    <xdr:to>
      <xdr:col>0</xdr:col>
      <xdr:colOff>590550</xdr:colOff>
      <xdr:row>819</xdr:row>
      <xdr:rowOff>628650</xdr:rowOff>
    </xdr:to>
    <xdr:pic>
      <xdr:nvPicPr>
        <xdr:cNvPr id="168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993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822</xdr:row>
      <xdr:rowOff>514350</xdr:rowOff>
    </xdr:from>
    <xdr:to>
      <xdr:col>0</xdr:col>
      <xdr:colOff>590550</xdr:colOff>
      <xdr:row>822</xdr:row>
      <xdr:rowOff>628650</xdr:rowOff>
    </xdr:to>
    <xdr:pic>
      <xdr:nvPicPr>
        <xdr:cNvPr id="168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993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836</xdr:row>
      <xdr:rowOff>514350</xdr:rowOff>
    </xdr:from>
    <xdr:to>
      <xdr:col>0</xdr:col>
      <xdr:colOff>590550</xdr:colOff>
      <xdr:row>836</xdr:row>
      <xdr:rowOff>628650</xdr:rowOff>
    </xdr:to>
    <xdr:pic>
      <xdr:nvPicPr>
        <xdr:cNvPr id="168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74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837</xdr:row>
      <xdr:rowOff>514350</xdr:rowOff>
    </xdr:from>
    <xdr:to>
      <xdr:col>0</xdr:col>
      <xdr:colOff>590550</xdr:colOff>
      <xdr:row>837</xdr:row>
      <xdr:rowOff>628650</xdr:rowOff>
    </xdr:to>
    <xdr:pic>
      <xdr:nvPicPr>
        <xdr:cNvPr id="168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7467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636</xdr:row>
      <xdr:rowOff>514350</xdr:rowOff>
    </xdr:from>
    <xdr:to>
      <xdr:col>0</xdr:col>
      <xdr:colOff>590550</xdr:colOff>
      <xdr:row>636</xdr:row>
      <xdr:rowOff>628650</xdr:rowOff>
    </xdr:to>
    <xdr:pic>
      <xdr:nvPicPr>
        <xdr:cNvPr id="168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953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686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85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745</xdr:row>
      <xdr:rowOff>28575</xdr:rowOff>
    </xdr:from>
    <xdr:to>
      <xdr:col>2</xdr:col>
      <xdr:colOff>904875</xdr:colOff>
      <xdr:row>745</xdr:row>
      <xdr:rowOff>142875</xdr:rowOff>
    </xdr:to>
    <xdr:pic>
      <xdr:nvPicPr>
        <xdr:cNvPr id="168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46027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2</xdr:col>
      <xdr:colOff>0</xdr:colOff>
      <xdr:row>746</xdr:row>
      <xdr:rowOff>0</xdr:rowOff>
    </xdr:to>
    <xdr:pic>
      <xdr:nvPicPr>
        <xdr:cNvPr id="1688" name="Picture 544374" descr="14-2664m">
          <a:hlinkClick xmlns:r="http://schemas.openxmlformats.org/officeDocument/2006/relationships" r:id="rId2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745</xdr:row>
      <xdr:rowOff>0</xdr:rowOff>
    </xdr:from>
    <xdr:to>
      <xdr:col>11</xdr:col>
      <xdr:colOff>9525</xdr:colOff>
      <xdr:row>745</xdr:row>
      <xdr:rowOff>161925</xdr:rowOff>
    </xdr:to>
    <xdr:pic>
      <xdr:nvPicPr>
        <xdr:cNvPr id="1689" name="Picture 4027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409575</xdr:colOff>
      <xdr:row>745</xdr:row>
      <xdr:rowOff>161925</xdr:rowOff>
    </xdr:to>
    <xdr:pic>
      <xdr:nvPicPr>
        <xdr:cNvPr id="1690" name="Picture 4028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745</xdr:row>
      <xdr:rowOff>0</xdr:rowOff>
    </xdr:from>
    <xdr:to>
      <xdr:col>13</xdr:col>
      <xdr:colOff>19050</xdr:colOff>
      <xdr:row>745</xdr:row>
      <xdr:rowOff>161925</xdr:rowOff>
    </xdr:to>
    <xdr:pic>
      <xdr:nvPicPr>
        <xdr:cNvPr id="1691" name="Picture 4029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745</xdr:row>
      <xdr:rowOff>0</xdr:rowOff>
    </xdr:from>
    <xdr:to>
      <xdr:col>13</xdr:col>
      <xdr:colOff>409575</xdr:colOff>
      <xdr:row>745</xdr:row>
      <xdr:rowOff>161925</xdr:rowOff>
    </xdr:to>
    <xdr:pic>
      <xdr:nvPicPr>
        <xdr:cNvPr id="1692" name="Picture 4030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739</xdr:row>
      <xdr:rowOff>28575</xdr:rowOff>
    </xdr:from>
    <xdr:to>
      <xdr:col>2</xdr:col>
      <xdr:colOff>904875</xdr:colOff>
      <xdr:row>739</xdr:row>
      <xdr:rowOff>142875</xdr:rowOff>
    </xdr:to>
    <xdr:pic>
      <xdr:nvPicPr>
        <xdr:cNvPr id="169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46027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2</xdr:col>
      <xdr:colOff>0</xdr:colOff>
      <xdr:row>740</xdr:row>
      <xdr:rowOff>0</xdr:rowOff>
    </xdr:to>
    <xdr:pic>
      <xdr:nvPicPr>
        <xdr:cNvPr id="1694" name="Picture 544380" descr="14-1660m">
          <a:hlinkClick xmlns:r="http://schemas.openxmlformats.org/officeDocument/2006/relationships" r:id="rId2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739</xdr:row>
      <xdr:rowOff>0</xdr:rowOff>
    </xdr:from>
    <xdr:to>
      <xdr:col>11</xdr:col>
      <xdr:colOff>9525</xdr:colOff>
      <xdr:row>739</xdr:row>
      <xdr:rowOff>161925</xdr:rowOff>
    </xdr:to>
    <xdr:pic>
      <xdr:nvPicPr>
        <xdr:cNvPr id="1695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409575</xdr:colOff>
      <xdr:row>739</xdr:row>
      <xdr:rowOff>161925</xdr:rowOff>
    </xdr:to>
    <xdr:pic>
      <xdr:nvPicPr>
        <xdr:cNvPr id="1696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739</xdr:row>
      <xdr:rowOff>0</xdr:rowOff>
    </xdr:from>
    <xdr:to>
      <xdr:col>13</xdr:col>
      <xdr:colOff>19050</xdr:colOff>
      <xdr:row>739</xdr:row>
      <xdr:rowOff>161925</xdr:rowOff>
    </xdr:to>
    <xdr:pic>
      <xdr:nvPicPr>
        <xdr:cNvPr id="1697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739</xdr:row>
      <xdr:rowOff>0</xdr:rowOff>
    </xdr:from>
    <xdr:to>
      <xdr:col>13</xdr:col>
      <xdr:colOff>409575</xdr:colOff>
      <xdr:row>739</xdr:row>
      <xdr:rowOff>161925</xdr:rowOff>
    </xdr:to>
    <xdr:pic>
      <xdr:nvPicPr>
        <xdr:cNvPr id="1698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46027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1699" name="Picture 3436" descr="14-1543m">
          <a:hlinkClick xmlns:r="http://schemas.openxmlformats.org/officeDocument/2006/relationships" r:id="rId8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18</xdr:row>
      <xdr:rowOff>28575</xdr:rowOff>
    </xdr:from>
    <xdr:to>
      <xdr:col>2</xdr:col>
      <xdr:colOff>904875</xdr:colOff>
      <xdr:row>18</xdr:row>
      <xdr:rowOff>142875</xdr:rowOff>
    </xdr:to>
    <xdr:pic>
      <xdr:nvPicPr>
        <xdr:cNvPr id="1700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838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19</xdr:row>
      <xdr:rowOff>28575</xdr:rowOff>
    </xdr:from>
    <xdr:to>
      <xdr:col>2</xdr:col>
      <xdr:colOff>904875</xdr:colOff>
      <xdr:row>19</xdr:row>
      <xdr:rowOff>142875</xdr:rowOff>
    </xdr:to>
    <xdr:pic>
      <xdr:nvPicPr>
        <xdr:cNvPr id="170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57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20</xdr:row>
      <xdr:rowOff>28575</xdr:rowOff>
    </xdr:from>
    <xdr:to>
      <xdr:col>2</xdr:col>
      <xdr:colOff>904875</xdr:colOff>
      <xdr:row>20</xdr:row>
      <xdr:rowOff>142875</xdr:rowOff>
    </xdr:to>
    <xdr:pic>
      <xdr:nvPicPr>
        <xdr:cNvPr id="170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60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426</xdr:row>
      <xdr:rowOff>28575</xdr:rowOff>
    </xdr:from>
    <xdr:to>
      <xdr:col>2</xdr:col>
      <xdr:colOff>904875</xdr:colOff>
      <xdr:row>426</xdr:row>
      <xdr:rowOff>142875</xdr:rowOff>
    </xdr:to>
    <xdr:pic>
      <xdr:nvPicPr>
        <xdr:cNvPr id="170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43703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704" name="Picture 544392" descr="35-2674m">
          <a:hlinkClick xmlns:r="http://schemas.openxmlformats.org/officeDocument/2006/relationships" r:id="rId2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4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16</xdr:row>
      <xdr:rowOff>28575</xdr:rowOff>
    </xdr:from>
    <xdr:to>
      <xdr:col>2</xdr:col>
      <xdr:colOff>904875</xdr:colOff>
      <xdr:row>16</xdr:row>
      <xdr:rowOff>142875</xdr:rowOff>
    </xdr:to>
    <xdr:pic>
      <xdr:nvPicPr>
        <xdr:cNvPr id="1705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048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25</xdr:row>
      <xdr:rowOff>28575</xdr:rowOff>
    </xdr:from>
    <xdr:to>
      <xdr:col>2</xdr:col>
      <xdr:colOff>904875</xdr:colOff>
      <xdr:row>25</xdr:row>
      <xdr:rowOff>142875</xdr:rowOff>
    </xdr:to>
    <xdr:pic>
      <xdr:nvPicPr>
        <xdr:cNvPr id="170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941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15</xdr:row>
      <xdr:rowOff>28575</xdr:rowOff>
    </xdr:from>
    <xdr:to>
      <xdr:col>2</xdr:col>
      <xdr:colOff>904875</xdr:colOff>
      <xdr:row>15</xdr:row>
      <xdr:rowOff>142875</xdr:rowOff>
    </xdr:to>
    <xdr:pic>
      <xdr:nvPicPr>
        <xdr:cNvPr id="170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314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708" name="Picture 544396" descr="14-1675m">
          <a:hlinkClick xmlns:r="http://schemas.openxmlformats.org/officeDocument/2006/relationships" r:id="rId2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8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709" name="Picture 544397" descr="14-6672m">
          <a:hlinkClick xmlns:r="http://schemas.openxmlformats.org/officeDocument/2006/relationships" r:id="rId2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1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710" name="Picture 544398" descr="35-6672m">
          <a:hlinkClick xmlns:r="http://schemas.openxmlformats.org/officeDocument/2006/relationships" r:id="rId2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7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1711" name="Picture 544399" descr="14-2673m">
          <a:hlinkClick xmlns:r="http://schemas.openxmlformats.org/officeDocument/2006/relationships" r:id="rId2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8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127</xdr:row>
      <xdr:rowOff>9525</xdr:rowOff>
    </xdr:from>
    <xdr:to>
      <xdr:col>2</xdr:col>
      <xdr:colOff>0</xdr:colOff>
      <xdr:row>128</xdr:row>
      <xdr:rowOff>0</xdr:rowOff>
    </xdr:to>
    <xdr:pic>
      <xdr:nvPicPr>
        <xdr:cNvPr id="1712" name="Picture 544400" descr="14-1645m">
          <a:hlinkClick xmlns:r="http://schemas.openxmlformats.org/officeDocument/2006/relationships" r:id="rId2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1207650"/>
          <a:ext cx="7620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1713" name="Picture 544401" descr="14-1661m">
          <a:hlinkClick xmlns:r="http://schemas.openxmlformats.org/officeDocument/2006/relationships" r:id="rId2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2</xdr:col>
      <xdr:colOff>0</xdr:colOff>
      <xdr:row>782</xdr:row>
      <xdr:rowOff>0</xdr:rowOff>
    </xdr:to>
    <xdr:pic>
      <xdr:nvPicPr>
        <xdr:cNvPr id="1714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782</xdr:row>
      <xdr:rowOff>0</xdr:rowOff>
    </xdr:from>
    <xdr:to>
      <xdr:col>2</xdr:col>
      <xdr:colOff>0</xdr:colOff>
      <xdr:row>783</xdr:row>
      <xdr:rowOff>0</xdr:rowOff>
    </xdr:to>
    <xdr:pic>
      <xdr:nvPicPr>
        <xdr:cNvPr id="1715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10</xdr:row>
      <xdr:rowOff>28575</xdr:rowOff>
    </xdr:from>
    <xdr:to>
      <xdr:col>2</xdr:col>
      <xdr:colOff>904875</xdr:colOff>
      <xdr:row>10</xdr:row>
      <xdr:rowOff>142875</xdr:rowOff>
    </xdr:to>
    <xdr:pic>
      <xdr:nvPicPr>
        <xdr:cNvPr id="171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6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1717" name="Picture 3350" descr="14-fuckm">
          <a:hlinkClick xmlns:r="http://schemas.openxmlformats.org/officeDocument/2006/relationships" r:id="rId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1718" name="Picture 3571" descr="14-1574m">
          <a:hlinkClick xmlns:r="http://schemas.openxmlformats.org/officeDocument/2006/relationships" r:id="rId1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217</xdr:row>
      <xdr:rowOff>514350</xdr:rowOff>
    </xdr:from>
    <xdr:to>
      <xdr:col>0</xdr:col>
      <xdr:colOff>590550</xdr:colOff>
      <xdr:row>217</xdr:row>
      <xdr:rowOff>628650</xdr:rowOff>
    </xdr:to>
    <xdr:pic>
      <xdr:nvPicPr>
        <xdr:cNvPr id="171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396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257</xdr:row>
      <xdr:rowOff>0</xdr:rowOff>
    </xdr:from>
    <xdr:to>
      <xdr:col>2</xdr:col>
      <xdr:colOff>19050</xdr:colOff>
      <xdr:row>258</xdr:row>
      <xdr:rowOff>0</xdr:rowOff>
    </xdr:to>
    <xdr:pic>
      <xdr:nvPicPr>
        <xdr:cNvPr id="1720" name="Picture 3582" descr="28-4576m">
          <a:hlinkClick xmlns:r="http://schemas.openxmlformats.org/officeDocument/2006/relationships" r:id="rId1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256</xdr:row>
      <xdr:rowOff>0</xdr:rowOff>
    </xdr:from>
    <xdr:to>
      <xdr:col>2</xdr:col>
      <xdr:colOff>19050</xdr:colOff>
      <xdr:row>257</xdr:row>
      <xdr:rowOff>0</xdr:rowOff>
    </xdr:to>
    <xdr:pic>
      <xdr:nvPicPr>
        <xdr:cNvPr id="1721" name="Picture 3740" descr="28-4576m">
          <a:hlinkClick xmlns:r="http://schemas.openxmlformats.org/officeDocument/2006/relationships" r:id="rId1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722" name="Picture 544413" descr="35-717m">
          <a:hlinkClick xmlns:r="http://schemas.openxmlformats.org/officeDocument/2006/relationships" r:id="rId1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723" name="Picture 3984" descr="38-694m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4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274</xdr:row>
      <xdr:rowOff>514350</xdr:rowOff>
    </xdr:from>
    <xdr:to>
      <xdr:col>0</xdr:col>
      <xdr:colOff>590550</xdr:colOff>
      <xdr:row>274</xdr:row>
      <xdr:rowOff>628650</xdr:rowOff>
    </xdr:to>
    <xdr:pic>
      <xdr:nvPicPr>
        <xdr:cNvPr id="172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44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275</xdr:row>
      <xdr:rowOff>0</xdr:rowOff>
    </xdr:from>
    <xdr:to>
      <xdr:col>2</xdr:col>
      <xdr:colOff>9525</xdr:colOff>
      <xdr:row>276</xdr:row>
      <xdr:rowOff>0</xdr:rowOff>
    </xdr:to>
    <xdr:pic>
      <xdr:nvPicPr>
        <xdr:cNvPr id="1725" name="Picture 3918" descr="14-112m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844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1726" name="Picture 3207" descr="14-1520m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727" name="Picture 3428" descr="14-1537m">
          <a:hlinkClick xmlns:r="http://schemas.openxmlformats.org/officeDocument/2006/relationships" r:id="rId8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728" name="Picture 3429" descr="14-1537-1m">
          <a:hlinkClick xmlns:r="http://schemas.openxmlformats.org/officeDocument/2006/relationships" r:id="rId8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57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1729" name="Picture 3864" descr="14-1608m">
          <a:hlinkClick xmlns:r="http://schemas.openxmlformats.org/officeDocument/2006/relationships" r:id="rId1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86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310</xdr:row>
      <xdr:rowOff>514350</xdr:rowOff>
    </xdr:from>
    <xdr:to>
      <xdr:col>0</xdr:col>
      <xdr:colOff>590550</xdr:colOff>
      <xdr:row>310</xdr:row>
      <xdr:rowOff>628650</xdr:rowOff>
    </xdr:to>
    <xdr:pic>
      <xdr:nvPicPr>
        <xdr:cNvPr id="173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86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320</xdr:row>
      <xdr:rowOff>0</xdr:rowOff>
    </xdr:to>
    <xdr:pic>
      <xdr:nvPicPr>
        <xdr:cNvPr id="1731" name="Picture 3808" descr="14-1602m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9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320</xdr:row>
      <xdr:rowOff>0</xdr:rowOff>
    </xdr:from>
    <xdr:to>
      <xdr:col>0</xdr:col>
      <xdr:colOff>590550</xdr:colOff>
      <xdr:row>320</xdr:row>
      <xdr:rowOff>0</xdr:rowOff>
    </xdr:to>
    <xdr:pic>
      <xdr:nvPicPr>
        <xdr:cNvPr id="173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9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1733" name="Picture 3759" descr="14-1594m">
          <a:hlinkClick xmlns:r="http://schemas.openxmlformats.org/officeDocument/2006/relationships" r:id="rId1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86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311</xdr:row>
      <xdr:rowOff>514350</xdr:rowOff>
    </xdr:from>
    <xdr:to>
      <xdr:col>0</xdr:col>
      <xdr:colOff>590550</xdr:colOff>
      <xdr:row>311</xdr:row>
      <xdr:rowOff>628650</xdr:rowOff>
    </xdr:to>
    <xdr:pic>
      <xdr:nvPicPr>
        <xdr:cNvPr id="173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86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312</xdr:row>
      <xdr:rowOff>0</xdr:rowOff>
    </xdr:from>
    <xdr:to>
      <xdr:col>2</xdr:col>
      <xdr:colOff>0</xdr:colOff>
      <xdr:row>313</xdr:row>
      <xdr:rowOff>0</xdr:rowOff>
    </xdr:to>
    <xdr:pic>
      <xdr:nvPicPr>
        <xdr:cNvPr id="1735" name="Picture 3808" descr="14-1602m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861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1736" name="Picture 3931" descr="14-169m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38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315</xdr:row>
      <xdr:rowOff>0</xdr:rowOff>
    </xdr:from>
    <xdr:to>
      <xdr:col>2</xdr:col>
      <xdr:colOff>0</xdr:colOff>
      <xdr:row>316</xdr:row>
      <xdr:rowOff>0</xdr:rowOff>
    </xdr:to>
    <xdr:pic>
      <xdr:nvPicPr>
        <xdr:cNvPr id="1737" name="Picture 3934" descr="14-175m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38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312</xdr:row>
      <xdr:rowOff>9525</xdr:rowOff>
    </xdr:from>
    <xdr:to>
      <xdr:col>2</xdr:col>
      <xdr:colOff>0</xdr:colOff>
      <xdr:row>313</xdr:row>
      <xdr:rowOff>9525</xdr:rowOff>
    </xdr:to>
    <xdr:pic>
      <xdr:nvPicPr>
        <xdr:cNvPr id="1738" name="Picture 26904" descr="14-1633m">
          <a:hlinkClick xmlns:r="http://schemas.openxmlformats.org/officeDocument/2006/relationships" r:id="rId1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8715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1739" name="Picture 132928" descr="14-1635m">
          <a:hlinkClick xmlns:r="http://schemas.openxmlformats.org/officeDocument/2006/relationships" r:id="rId18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623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314</xdr:row>
      <xdr:rowOff>514350</xdr:rowOff>
    </xdr:from>
    <xdr:to>
      <xdr:col>0</xdr:col>
      <xdr:colOff>590550</xdr:colOff>
      <xdr:row>314</xdr:row>
      <xdr:rowOff>628650</xdr:rowOff>
    </xdr:to>
    <xdr:pic>
      <xdr:nvPicPr>
        <xdr:cNvPr id="174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38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315</xdr:row>
      <xdr:rowOff>514350</xdr:rowOff>
    </xdr:from>
    <xdr:to>
      <xdr:col>0</xdr:col>
      <xdr:colOff>590550</xdr:colOff>
      <xdr:row>315</xdr:row>
      <xdr:rowOff>628650</xdr:rowOff>
    </xdr:to>
    <xdr:pic>
      <xdr:nvPicPr>
        <xdr:cNvPr id="174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38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24</xdr:row>
      <xdr:rowOff>28575</xdr:rowOff>
    </xdr:from>
    <xdr:to>
      <xdr:col>2</xdr:col>
      <xdr:colOff>904875</xdr:colOff>
      <xdr:row>24</xdr:row>
      <xdr:rowOff>142875</xdr:rowOff>
    </xdr:to>
    <xdr:pic>
      <xdr:nvPicPr>
        <xdr:cNvPr id="174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648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743" name="Picture 544446" descr="14-2664m">
          <a:hlinkClick xmlns:r="http://schemas.openxmlformats.org/officeDocument/2006/relationships" r:id="rId2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620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744" name="Picture 544447" descr="14-1662m">
          <a:hlinkClick xmlns:r="http://schemas.openxmlformats.org/officeDocument/2006/relationships" r:id="rId20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3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745" name="Picture 544448" descr="14-2662m">
          <a:hlinkClick xmlns:r="http://schemas.openxmlformats.org/officeDocument/2006/relationships" r:id="rId2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9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1746" name="Picture 544449" descr="14-1519m">
          <a:hlinkClick xmlns:r="http://schemas.openxmlformats.org/officeDocument/2006/relationships" r:id="rId20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144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1747" name="Picture 12602" descr="14-1632m">
          <a:hlinkClick xmlns:r="http://schemas.openxmlformats.org/officeDocument/2006/relationships" r:id="rId1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19050</xdr:colOff>
      <xdr:row>76</xdr:row>
      <xdr:rowOff>0</xdr:rowOff>
    </xdr:to>
    <xdr:pic>
      <xdr:nvPicPr>
        <xdr:cNvPr id="1748" name="Picture 3708" descr="14-7580m">
          <a:hlinkClick xmlns:r="http://schemas.openxmlformats.org/officeDocument/2006/relationships" r:id="rId2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76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1749" name="Picture 544453" descr="14-1657m">
          <a:hlinkClick xmlns:r="http://schemas.openxmlformats.org/officeDocument/2006/relationships" r:id="rId20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06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1297</xdr:row>
      <xdr:rowOff>0</xdr:rowOff>
    </xdr:from>
    <xdr:to>
      <xdr:col>2</xdr:col>
      <xdr:colOff>0</xdr:colOff>
      <xdr:row>1298</xdr:row>
      <xdr:rowOff>0</xdr:rowOff>
    </xdr:to>
    <xdr:pic>
      <xdr:nvPicPr>
        <xdr:cNvPr id="1750" name="Picture 544455" descr="t-ts084m">
          <a:hlinkClick xmlns:r="http://schemas.openxmlformats.org/officeDocument/2006/relationships" r:id="rId2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022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1298</xdr:row>
      <xdr:rowOff>0</xdr:rowOff>
    </xdr:from>
    <xdr:to>
      <xdr:col>2</xdr:col>
      <xdr:colOff>0</xdr:colOff>
      <xdr:row>1299</xdr:row>
      <xdr:rowOff>0</xdr:rowOff>
    </xdr:to>
    <xdr:pic>
      <xdr:nvPicPr>
        <xdr:cNvPr id="1751" name="Picture 544456" descr="t-ts-085m">
          <a:hlinkClick xmlns:r="http://schemas.openxmlformats.org/officeDocument/2006/relationships" r:id="rId2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784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752" name="Picture 544457" descr="21-1530m">
          <a:hlinkClick xmlns:r="http://schemas.openxmlformats.org/officeDocument/2006/relationships" r:id="rId2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753" name="Picture 544458" descr="36-2672m">
          <a:hlinkClick xmlns:r="http://schemas.openxmlformats.org/officeDocument/2006/relationships" r:id="rId2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7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2</xdr:col>
      <xdr:colOff>0</xdr:colOff>
      <xdr:row>427</xdr:row>
      <xdr:rowOff>0</xdr:rowOff>
    </xdr:to>
    <xdr:pic>
      <xdr:nvPicPr>
        <xdr:cNvPr id="1754" name="Picture 544459" descr="42-9672m">
          <a:hlinkClick xmlns:r="http://schemas.openxmlformats.org/officeDocument/2006/relationships" r:id="rId2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70367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755" name="Picture 544460" descr="14-1671m">
          <a:hlinkClick xmlns:r="http://schemas.openxmlformats.org/officeDocument/2006/relationships" r:id="rId2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11</xdr:row>
      <xdr:rowOff>28575</xdr:rowOff>
    </xdr:from>
    <xdr:to>
      <xdr:col>2</xdr:col>
      <xdr:colOff>904875</xdr:colOff>
      <xdr:row>11</xdr:row>
      <xdr:rowOff>142875</xdr:rowOff>
    </xdr:to>
    <xdr:pic>
      <xdr:nvPicPr>
        <xdr:cNvPr id="175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6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12</xdr:row>
      <xdr:rowOff>28575</xdr:rowOff>
    </xdr:from>
    <xdr:to>
      <xdr:col>2</xdr:col>
      <xdr:colOff>904875</xdr:colOff>
      <xdr:row>12</xdr:row>
      <xdr:rowOff>142875</xdr:rowOff>
    </xdr:to>
    <xdr:pic>
      <xdr:nvPicPr>
        <xdr:cNvPr id="175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6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13</xdr:row>
      <xdr:rowOff>28575</xdr:rowOff>
    </xdr:from>
    <xdr:to>
      <xdr:col>2</xdr:col>
      <xdr:colOff>904875</xdr:colOff>
      <xdr:row>13</xdr:row>
      <xdr:rowOff>142875</xdr:rowOff>
    </xdr:to>
    <xdr:pic>
      <xdr:nvPicPr>
        <xdr:cNvPr id="175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9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759" name="Picture 544464" descr="14-1662m">
          <a:hlinkClick xmlns:r="http://schemas.openxmlformats.org/officeDocument/2006/relationships" r:id="rId2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760" name="Picture 8606" descr="14-1617m">
          <a:hlinkClick xmlns:r="http://schemas.openxmlformats.org/officeDocument/2006/relationships" r:id="rId2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2</xdr:col>
      <xdr:colOff>0</xdr:colOff>
      <xdr:row>784</xdr:row>
      <xdr:rowOff>0</xdr:rowOff>
    </xdr:to>
    <xdr:pic>
      <xdr:nvPicPr>
        <xdr:cNvPr id="1991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027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571500</xdr:colOff>
      <xdr:row>0</xdr:row>
      <xdr:rowOff>57150</xdr:rowOff>
    </xdr:from>
    <xdr:to>
      <xdr:col>2</xdr:col>
      <xdr:colOff>1476375</xdr:colOff>
      <xdr:row>0</xdr:row>
      <xdr:rowOff>238125</xdr:rowOff>
    </xdr:to>
    <xdr:pic>
      <xdr:nvPicPr>
        <xdr:cNvPr id="1762" name="Picture 62" descr="лого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7150"/>
          <a:ext cx="9048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565</xdr:row>
      <xdr:rowOff>28575</xdr:rowOff>
    </xdr:from>
    <xdr:to>
      <xdr:col>2</xdr:col>
      <xdr:colOff>904875</xdr:colOff>
      <xdr:row>565</xdr:row>
      <xdr:rowOff>142875</xdr:rowOff>
    </xdr:to>
    <xdr:pic>
      <xdr:nvPicPr>
        <xdr:cNvPr id="176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263711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748</xdr:row>
      <xdr:rowOff>0</xdr:rowOff>
    </xdr:to>
    <xdr:pic>
      <xdr:nvPicPr>
        <xdr:cNvPr id="1764" name="Picture 3916" descr="11-417m">
          <a:hlinkClick xmlns:r="http://schemas.openxmlformats.org/officeDocument/2006/relationships" r:id="rId3"/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562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765" name="Picture 3917" descr="14-102m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485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282</xdr:row>
      <xdr:rowOff>0</xdr:rowOff>
    </xdr:from>
    <xdr:to>
      <xdr:col>2</xdr:col>
      <xdr:colOff>9525</xdr:colOff>
      <xdr:row>282</xdr:row>
      <xdr:rowOff>0</xdr:rowOff>
    </xdr:to>
    <xdr:pic>
      <xdr:nvPicPr>
        <xdr:cNvPr id="1766" name="Picture 3918" descr="14-112m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767" name="Picture 3920" descr="14-119m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768" name="Picture 3921" descr="14-121m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1769" name="Picture 3924" descr="14-123m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770" name="Picture 3925" descr="14-125m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771" name="Picture 3926" descr="14-128m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0</xdr:rowOff>
    </xdr:to>
    <xdr:pic>
      <xdr:nvPicPr>
        <xdr:cNvPr id="1772" name="Picture 3927" descr="14-136m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773" name="Picture 3928" descr="14-151m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322</xdr:row>
      <xdr:rowOff>0</xdr:rowOff>
    </xdr:from>
    <xdr:to>
      <xdr:col>2</xdr:col>
      <xdr:colOff>0</xdr:colOff>
      <xdr:row>323</xdr:row>
      <xdr:rowOff>0</xdr:rowOff>
    </xdr:to>
    <xdr:pic>
      <xdr:nvPicPr>
        <xdr:cNvPr id="1774" name="Picture 3929" descr="14-160m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775" name="Picture 3930" descr="14-167m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329</xdr:row>
      <xdr:rowOff>0</xdr:rowOff>
    </xdr:to>
    <xdr:pic>
      <xdr:nvPicPr>
        <xdr:cNvPr id="1776" name="Picture 3931" descr="14-169m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777" name="Picture 3932" descr="14-170m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778" name="Picture 3933" descr="14-172m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329</xdr:row>
      <xdr:rowOff>0</xdr:rowOff>
    </xdr:to>
    <xdr:pic>
      <xdr:nvPicPr>
        <xdr:cNvPr id="1779" name="Picture 3934" descr="14-175m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330</xdr:row>
      <xdr:rowOff>0</xdr:rowOff>
    </xdr:to>
    <xdr:pic>
      <xdr:nvPicPr>
        <xdr:cNvPr id="1780" name="Picture 3935" descr="14-182m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781" name="Picture 3937" descr="14-186m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1782" name="Picture 3939" descr="14-248m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063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1783" name="Picture 3941" descr="14-249m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7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410</xdr:row>
      <xdr:rowOff>0</xdr:rowOff>
    </xdr:from>
    <xdr:to>
      <xdr:col>2</xdr:col>
      <xdr:colOff>0</xdr:colOff>
      <xdr:row>411</xdr:row>
      <xdr:rowOff>0</xdr:rowOff>
    </xdr:to>
    <xdr:pic>
      <xdr:nvPicPr>
        <xdr:cNvPr id="1784" name="Picture 3945" descr="14-922m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375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1785" name="Picture 3946" descr="14-938m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74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465</xdr:row>
      <xdr:rowOff>0</xdr:rowOff>
    </xdr:to>
    <xdr:pic>
      <xdr:nvPicPr>
        <xdr:cNvPr id="1786" name="Picture 3948" descr="28-379m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468</xdr:row>
      <xdr:rowOff>0</xdr:rowOff>
    </xdr:from>
    <xdr:to>
      <xdr:col>2</xdr:col>
      <xdr:colOff>0</xdr:colOff>
      <xdr:row>469</xdr:row>
      <xdr:rowOff>0</xdr:rowOff>
    </xdr:to>
    <xdr:pic>
      <xdr:nvPicPr>
        <xdr:cNvPr id="1787" name="Picture 3949" descr="28-417m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14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469</xdr:row>
      <xdr:rowOff>0</xdr:rowOff>
    </xdr:from>
    <xdr:to>
      <xdr:col>2</xdr:col>
      <xdr:colOff>0</xdr:colOff>
      <xdr:row>470</xdr:row>
      <xdr:rowOff>0</xdr:rowOff>
    </xdr:to>
    <xdr:pic>
      <xdr:nvPicPr>
        <xdr:cNvPr id="1788" name="Picture 3950" descr="28-427m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14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465</xdr:row>
      <xdr:rowOff>0</xdr:rowOff>
    </xdr:from>
    <xdr:to>
      <xdr:col>2</xdr:col>
      <xdr:colOff>0</xdr:colOff>
      <xdr:row>465</xdr:row>
      <xdr:rowOff>0</xdr:rowOff>
    </xdr:to>
    <xdr:pic>
      <xdr:nvPicPr>
        <xdr:cNvPr id="1789" name="Picture 3951" descr="28-515m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474</xdr:row>
      <xdr:rowOff>0</xdr:rowOff>
    </xdr:from>
    <xdr:to>
      <xdr:col>2</xdr:col>
      <xdr:colOff>0</xdr:colOff>
      <xdr:row>475</xdr:row>
      <xdr:rowOff>0</xdr:rowOff>
    </xdr:to>
    <xdr:pic>
      <xdr:nvPicPr>
        <xdr:cNvPr id="1790" name="Picture 3952" descr="28-558m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91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476</xdr:row>
      <xdr:rowOff>0</xdr:rowOff>
    </xdr:from>
    <xdr:to>
      <xdr:col>2</xdr:col>
      <xdr:colOff>0</xdr:colOff>
      <xdr:row>477</xdr:row>
      <xdr:rowOff>0</xdr:rowOff>
    </xdr:to>
    <xdr:pic>
      <xdr:nvPicPr>
        <xdr:cNvPr id="1791" name="Picture 3953" descr="28-585m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667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487</xdr:row>
      <xdr:rowOff>0</xdr:rowOff>
    </xdr:from>
    <xdr:to>
      <xdr:col>2</xdr:col>
      <xdr:colOff>0</xdr:colOff>
      <xdr:row>488</xdr:row>
      <xdr:rowOff>0</xdr:rowOff>
    </xdr:to>
    <xdr:pic>
      <xdr:nvPicPr>
        <xdr:cNvPr id="1792" name="Picture 3955" descr="30-123m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1793" name="Picture 3956" descr="30-125m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490</xdr:row>
      <xdr:rowOff>0</xdr:rowOff>
    </xdr:to>
    <xdr:pic>
      <xdr:nvPicPr>
        <xdr:cNvPr id="1794" name="Picture 3957" descr="30-128m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484</xdr:row>
      <xdr:rowOff>0</xdr:rowOff>
    </xdr:from>
    <xdr:to>
      <xdr:col>2</xdr:col>
      <xdr:colOff>0</xdr:colOff>
      <xdr:row>485</xdr:row>
      <xdr:rowOff>0</xdr:rowOff>
    </xdr:to>
    <xdr:pic>
      <xdr:nvPicPr>
        <xdr:cNvPr id="1795" name="Picture 3959" descr="30-172m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972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1128</xdr:row>
      <xdr:rowOff>0</xdr:rowOff>
    </xdr:from>
    <xdr:to>
      <xdr:col>2</xdr:col>
      <xdr:colOff>0</xdr:colOff>
      <xdr:row>1128</xdr:row>
      <xdr:rowOff>0</xdr:rowOff>
    </xdr:to>
    <xdr:pic>
      <xdr:nvPicPr>
        <xdr:cNvPr id="1796" name="Picture 3960" descr="30-186-1m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515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1797" name="Picture 3961" descr="30-417m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53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486</xdr:row>
      <xdr:rowOff>0</xdr:rowOff>
    </xdr:from>
    <xdr:to>
      <xdr:col>2</xdr:col>
      <xdr:colOff>0</xdr:colOff>
      <xdr:row>487</xdr:row>
      <xdr:rowOff>0</xdr:rowOff>
    </xdr:to>
    <xdr:pic>
      <xdr:nvPicPr>
        <xdr:cNvPr id="1798" name="Picture 3962" descr="30-427m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511</xdr:row>
      <xdr:rowOff>0</xdr:rowOff>
    </xdr:from>
    <xdr:to>
      <xdr:col>2</xdr:col>
      <xdr:colOff>0</xdr:colOff>
      <xdr:row>512</xdr:row>
      <xdr:rowOff>0</xdr:rowOff>
    </xdr:to>
    <xdr:pic>
      <xdr:nvPicPr>
        <xdr:cNvPr id="1799" name="Picture 3963" descr="34-105m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1800" name="Picture 3964" descr="34-121m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512</xdr:row>
      <xdr:rowOff>0</xdr:rowOff>
    </xdr:from>
    <xdr:to>
      <xdr:col>2</xdr:col>
      <xdr:colOff>0</xdr:colOff>
      <xdr:row>513</xdr:row>
      <xdr:rowOff>0</xdr:rowOff>
    </xdr:to>
    <xdr:pic>
      <xdr:nvPicPr>
        <xdr:cNvPr id="1801" name="Picture 3965" descr="34-123m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514</xdr:row>
      <xdr:rowOff>0</xdr:rowOff>
    </xdr:to>
    <xdr:pic>
      <xdr:nvPicPr>
        <xdr:cNvPr id="1802" name="Picture 3966" descr="34-125m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0</xdr:rowOff>
    </xdr:to>
    <xdr:pic>
      <xdr:nvPicPr>
        <xdr:cNvPr id="1803" name="Picture 3967" descr="34-136m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1804" name="Picture 3968" descr="34-141m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805" name="Picture 3969" descr="34-170m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806" name="Picture 3970" descr="34-172m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1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531</xdr:row>
      <xdr:rowOff>0</xdr:rowOff>
    </xdr:from>
    <xdr:to>
      <xdr:col>2</xdr:col>
      <xdr:colOff>0</xdr:colOff>
      <xdr:row>532</xdr:row>
      <xdr:rowOff>0</xdr:rowOff>
    </xdr:to>
    <xdr:pic>
      <xdr:nvPicPr>
        <xdr:cNvPr id="1807" name="Picture 3971" descr="34-184m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427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538</xdr:row>
      <xdr:rowOff>0</xdr:rowOff>
    </xdr:to>
    <xdr:pic>
      <xdr:nvPicPr>
        <xdr:cNvPr id="1808" name="Picture 3972" descr="34-248m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7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551</xdr:row>
      <xdr:rowOff>0</xdr:rowOff>
    </xdr:from>
    <xdr:to>
      <xdr:col>2</xdr:col>
      <xdr:colOff>0</xdr:colOff>
      <xdr:row>552</xdr:row>
      <xdr:rowOff>0</xdr:rowOff>
    </xdr:to>
    <xdr:pic>
      <xdr:nvPicPr>
        <xdr:cNvPr id="1809" name="Picture 3974" descr="34-284m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3323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561</xdr:row>
      <xdr:rowOff>0</xdr:rowOff>
    </xdr:from>
    <xdr:to>
      <xdr:col>2</xdr:col>
      <xdr:colOff>0</xdr:colOff>
      <xdr:row>562</xdr:row>
      <xdr:rowOff>0</xdr:rowOff>
    </xdr:to>
    <xdr:pic>
      <xdr:nvPicPr>
        <xdr:cNvPr id="1810" name="Picture 3975" descr="34-384m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847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599</xdr:row>
      <xdr:rowOff>0</xdr:rowOff>
    </xdr:from>
    <xdr:to>
      <xdr:col>2</xdr:col>
      <xdr:colOff>0</xdr:colOff>
      <xdr:row>600</xdr:row>
      <xdr:rowOff>0</xdr:rowOff>
    </xdr:to>
    <xdr:pic>
      <xdr:nvPicPr>
        <xdr:cNvPr id="1811" name="Picture 3977" descr="34-922m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67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601</xdr:row>
      <xdr:rowOff>0</xdr:rowOff>
    </xdr:to>
    <xdr:pic>
      <xdr:nvPicPr>
        <xdr:cNvPr id="1812" name="Picture 3978" descr="34-938m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626</xdr:row>
      <xdr:rowOff>0</xdr:rowOff>
    </xdr:to>
    <xdr:pic>
      <xdr:nvPicPr>
        <xdr:cNvPr id="1813" name="Picture 3980" descr="36-128m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345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1814" name="Picture 3981" descr="36-136m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3459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649</xdr:row>
      <xdr:rowOff>0</xdr:rowOff>
    </xdr:from>
    <xdr:to>
      <xdr:col>2</xdr:col>
      <xdr:colOff>0</xdr:colOff>
      <xdr:row>650</xdr:row>
      <xdr:rowOff>0</xdr:rowOff>
    </xdr:to>
    <xdr:pic>
      <xdr:nvPicPr>
        <xdr:cNvPr id="1815" name="Picture 3982" descr="36-160m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488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615</xdr:row>
      <xdr:rowOff>0</xdr:rowOff>
    </xdr:from>
    <xdr:to>
      <xdr:col>2</xdr:col>
      <xdr:colOff>0</xdr:colOff>
      <xdr:row>616</xdr:row>
      <xdr:rowOff>0</xdr:rowOff>
    </xdr:to>
    <xdr:pic>
      <xdr:nvPicPr>
        <xdr:cNvPr id="1816" name="Picture 3983" descr="36-922m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5839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277</xdr:row>
      <xdr:rowOff>0</xdr:rowOff>
    </xdr:to>
    <xdr:pic>
      <xdr:nvPicPr>
        <xdr:cNvPr id="1817" name="Picture 3984" descr="38-694m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1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683</xdr:row>
      <xdr:rowOff>0</xdr:rowOff>
    </xdr:from>
    <xdr:to>
      <xdr:col>2</xdr:col>
      <xdr:colOff>0</xdr:colOff>
      <xdr:row>684</xdr:row>
      <xdr:rowOff>0</xdr:rowOff>
    </xdr:to>
    <xdr:pic>
      <xdr:nvPicPr>
        <xdr:cNvPr id="1818" name="Picture 3986" descr="41-492m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250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684</xdr:row>
      <xdr:rowOff>0</xdr:rowOff>
    </xdr:from>
    <xdr:to>
      <xdr:col>2</xdr:col>
      <xdr:colOff>0</xdr:colOff>
      <xdr:row>685</xdr:row>
      <xdr:rowOff>0</xdr:rowOff>
    </xdr:to>
    <xdr:pic>
      <xdr:nvPicPr>
        <xdr:cNvPr id="1819" name="Picture 3988" descr="41-692m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250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879</xdr:row>
      <xdr:rowOff>0</xdr:rowOff>
    </xdr:to>
    <xdr:pic>
      <xdr:nvPicPr>
        <xdr:cNvPr id="1820" name="Picture 3989" descr="a-103m">
          <a:hlinkClick xmlns:r="http://schemas.openxmlformats.org/officeDocument/2006/relationships" r:id="rId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879</xdr:row>
      <xdr:rowOff>0</xdr:rowOff>
    </xdr:to>
    <xdr:pic>
      <xdr:nvPicPr>
        <xdr:cNvPr id="1821" name="Picture 3991" descr="a-107m">
          <a:hlinkClick xmlns:r="http://schemas.openxmlformats.org/officeDocument/2006/relationships" r:id="rId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879</xdr:row>
      <xdr:rowOff>0</xdr:rowOff>
    </xdr:to>
    <xdr:pic>
      <xdr:nvPicPr>
        <xdr:cNvPr id="1822" name="Picture 3992" descr="a-109m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1823" name="Picture 4004" descr="41-392m">
          <a:hlinkClick xmlns:r="http://schemas.openxmlformats.org/officeDocument/2006/relationships" r:id="rId100"/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174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824" name="Picture 4017" descr="14-289m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1825" name="Picture 4022" descr="14-879m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61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481</xdr:row>
      <xdr:rowOff>0</xdr:rowOff>
    </xdr:from>
    <xdr:to>
      <xdr:col>2</xdr:col>
      <xdr:colOff>0</xdr:colOff>
      <xdr:row>482</xdr:row>
      <xdr:rowOff>0</xdr:rowOff>
    </xdr:to>
    <xdr:pic>
      <xdr:nvPicPr>
        <xdr:cNvPr id="1826" name="Picture 4023" descr="28-674m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19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748</xdr:row>
      <xdr:rowOff>0</xdr:rowOff>
    </xdr:to>
    <xdr:pic>
      <xdr:nvPicPr>
        <xdr:cNvPr id="1827" name="Picture 4026" descr="11-418m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562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357</xdr:row>
      <xdr:rowOff>0</xdr:rowOff>
    </xdr:from>
    <xdr:to>
      <xdr:col>2</xdr:col>
      <xdr:colOff>0</xdr:colOff>
      <xdr:row>358</xdr:row>
      <xdr:rowOff>0</xdr:rowOff>
    </xdr:to>
    <xdr:pic>
      <xdr:nvPicPr>
        <xdr:cNvPr id="1828" name="Picture 4027" descr="14-374m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753</xdr:row>
      <xdr:rowOff>0</xdr:rowOff>
    </xdr:from>
    <xdr:to>
      <xdr:col>2</xdr:col>
      <xdr:colOff>0</xdr:colOff>
      <xdr:row>753</xdr:row>
      <xdr:rowOff>0</xdr:rowOff>
    </xdr:to>
    <xdr:pic>
      <xdr:nvPicPr>
        <xdr:cNvPr id="1829" name="Picture 4029" descr="15-918m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791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880</xdr:row>
      <xdr:rowOff>0</xdr:rowOff>
    </xdr:from>
    <xdr:to>
      <xdr:col>2</xdr:col>
      <xdr:colOff>0</xdr:colOff>
      <xdr:row>880</xdr:row>
      <xdr:rowOff>0</xdr:rowOff>
    </xdr:to>
    <xdr:pic>
      <xdr:nvPicPr>
        <xdr:cNvPr id="1830" name="Picture 4034" descr="a-111m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932</xdr:row>
      <xdr:rowOff>0</xdr:rowOff>
    </xdr:from>
    <xdr:to>
      <xdr:col>2</xdr:col>
      <xdr:colOff>0</xdr:colOff>
      <xdr:row>933</xdr:row>
      <xdr:rowOff>0</xdr:rowOff>
    </xdr:to>
    <xdr:pic>
      <xdr:nvPicPr>
        <xdr:cNvPr id="1831" name="Picture 4042" descr="rw-024-bm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3034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933</xdr:row>
      <xdr:rowOff>0</xdr:rowOff>
    </xdr:from>
    <xdr:to>
      <xdr:col>2</xdr:col>
      <xdr:colOff>0</xdr:colOff>
      <xdr:row>934</xdr:row>
      <xdr:rowOff>0</xdr:rowOff>
    </xdr:to>
    <xdr:pic>
      <xdr:nvPicPr>
        <xdr:cNvPr id="1832" name="Picture 4043" descr="rw-033-gm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3796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338</xdr:row>
      <xdr:rowOff>0</xdr:rowOff>
    </xdr:to>
    <xdr:pic>
      <xdr:nvPicPr>
        <xdr:cNvPr id="1833" name="Picture 4058" descr="14-218m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810</xdr:row>
      <xdr:rowOff>0</xdr:rowOff>
    </xdr:from>
    <xdr:to>
      <xdr:col>2</xdr:col>
      <xdr:colOff>0</xdr:colOff>
      <xdr:row>811</xdr:row>
      <xdr:rowOff>0</xdr:rowOff>
    </xdr:to>
    <xdr:pic>
      <xdr:nvPicPr>
        <xdr:cNvPr id="1834" name="Picture 4134" descr="77-en-002m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543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814</xdr:row>
      <xdr:rowOff>0</xdr:rowOff>
    </xdr:from>
    <xdr:to>
      <xdr:col>2</xdr:col>
      <xdr:colOff>0</xdr:colOff>
      <xdr:row>815</xdr:row>
      <xdr:rowOff>0</xdr:rowOff>
    </xdr:to>
    <xdr:pic>
      <xdr:nvPicPr>
        <xdr:cNvPr id="1835" name="Picture 4138" descr="77-fnf-04-bm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543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815</xdr:row>
      <xdr:rowOff>0</xdr:rowOff>
    </xdr:from>
    <xdr:to>
      <xdr:col>2</xdr:col>
      <xdr:colOff>0</xdr:colOff>
      <xdr:row>816</xdr:row>
      <xdr:rowOff>0</xdr:rowOff>
    </xdr:to>
    <xdr:pic>
      <xdr:nvPicPr>
        <xdr:cNvPr id="1836" name="Picture 4140" descr="77-fnf-06-pm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543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816</xdr:row>
      <xdr:rowOff>0</xdr:rowOff>
    </xdr:from>
    <xdr:to>
      <xdr:col>2</xdr:col>
      <xdr:colOff>0</xdr:colOff>
      <xdr:row>817</xdr:row>
      <xdr:rowOff>0</xdr:rowOff>
    </xdr:to>
    <xdr:pic>
      <xdr:nvPicPr>
        <xdr:cNvPr id="1837" name="Picture 4141" descr="77-fnf-06-ym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543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817</xdr:row>
      <xdr:rowOff>0</xdr:rowOff>
    </xdr:from>
    <xdr:to>
      <xdr:col>2</xdr:col>
      <xdr:colOff>0</xdr:colOff>
      <xdr:row>818</xdr:row>
      <xdr:rowOff>0</xdr:rowOff>
    </xdr:to>
    <xdr:pic>
      <xdr:nvPicPr>
        <xdr:cNvPr id="1838" name="Picture 4143" descr="77-fnf-10-gm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824</xdr:row>
      <xdr:rowOff>0</xdr:rowOff>
    </xdr:from>
    <xdr:to>
      <xdr:col>2</xdr:col>
      <xdr:colOff>0</xdr:colOff>
      <xdr:row>825</xdr:row>
      <xdr:rowOff>0</xdr:rowOff>
    </xdr:to>
    <xdr:pic>
      <xdr:nvPicPr>
        <xdr:cNvPr id="1839" name="Picture 4144" descr="77-rm-008m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837</xdr:row>
      <xdr:rowOff>0</xdr:rowOff>
    </xdr:from>
    <xdr:to>
      <xdr:col>2</xdr:col>
      <xdr:colOff>0</xdr:colOff>
      <xdr:row>838</xdr:row>
      <xdr:rowOff>0</xdr:rowOff>
    </xdr:to>
    <xdr:pic>
      <xdr:nvPicPr>
        <xdr:cNvPr id="1840" name="Picture 4145" descr="77-wl-013m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305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840</xdr:row>
      <xdr:rowOff>0</xdr:rowOff>
    </xdr:from>
    <xdr:to>
      <xdr:col>2</xdr:col>
      <xdr:colOff>0</xdr:colOff>
      <xdr:row>841</xdr:row>
      <xdr:rowOff>0</xdr:rowOff>
    </xdr:to>
    <xdr:pic>
      <xdr:nvPicPr>
        <xdr:cNvPr id="1841" name="Picture 4146" descr="77-wl-051m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382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351</xdr:row>
      <xdr:rowOff>0</xdr:rowOff>
    </xdr:to>
    <xdr:pic>
      <xdr:nvPicPr>
        <xdr:cNvPr id="1842" name="Picture 4150" descr="14-298m">
          <a:hlinkClick xmlns:r="http://schemas.openxmlformats.org/officeDocument/2006/relationships" r:id="rId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92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537</xdr:row>
      <xdr:rowOff>0</xdr:rowOff>
    </xdr:to>
    <xdr:pic>
      <xdr:nvPicPr>
        <xdr:cNvPr id="1843" name="Picture 4152" descr="34-262m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7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1844" name="Picture 4153" descr="14-235m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337</xdr:row>
      <xdr:rowOff>0</xdr:rowOff>
    </xdr:to>
    <xdr:pic>
      <xdr:nvPicPr>
        <xdr:cNvPr id="1845" name="Picture 4154" descr="14-215m">
          <a:hlinkClick xmlns:r="http://schemas.openxmlformats.org/officeDocument/2006/relationships" r:id="rId1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340</xdr:row>
      <xdr:rowOff>0</xdr:rowOff>
    </xdr:to>
    <xdr:pic>
      <xdr:nvPicPr>
        <xdr:cNvPr id="1846" name="Picture 4155" descr="14-254m">
          <a:hlinkClick xmlns:r="http://schemas.openxmlformats.org/officeDocument/2006/relationships" r:id="rId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71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839</xdr:row>
      <xdr:rowOff>0</xdr:rowOff>
    </xdr:from>
    <xdr:to>
      <xdr:col>2</xdr:col>
      <xdr:colOff>0</xdr:colOff>
      <xdr:row>840</xdr:row>
      <xdr:rowOff>0</xdr:rowOff>
    </xdr:to>
    <xdr:pic>
      <xdr:nvPicPr>
        <xdr:cNvPr id="1847" name="Picture 4157" descr="77-wl-034m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382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848" name="Picture 4164" descr="14-130m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771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1849" name="Picture 4166" descr="14-1501m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825</xdr:row>
      <xdr:rowOff>0</xdr:rowOff>
    </xdr:from>
    <xdr:to>
      <xdr:col>2</xdr:col>
      <xdr:colOff>0</xdr:colOff>
      <xdr:row>826</xdr:row>
      <xdr:rowOff>0</xdr:rowOff>
    </xdr:to>
    <xdr:pic>
      <xdr:nvPicPr>
        <xdr:cNvPr id="1850" name="Picture 4171" descr="77-vm-101-bm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96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826</xdr:row>
      <xdr:rowOff>0</xdr:rowOff>
    </xdr:from>
    <xdr:to>
      <xdr:col>2</xdr:col>
      <xdr:colOff>0</xdr:colOff>
      <xdr:row>827</xdr:row>
      <xdr:rowOff>0</xdr:rowOff>
    </xdr:to>
    <xdr:pic>
      <xdr:nvPicPr>
        <xdr:cNvPr id="1851" name="Picture 4172" descr="77-vm-101-om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72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827</xdr:row>
      <xdr:rowOff>0</xdr:rowOff>
    </xdr:from>
    <xdr:to>
      <xdr:col>2</xdr:col>
      <xdr:colOff>0</xdr:colOff>
      <xdr:row>828</xdr:row>
      <xdr:rowOff>0</xdr:rowOff>
    </xdr:to>
    <xdr:pic>
      <xdr:nvPicPr>
        <xdr:cNvPr id="1852" name="Picture 4174" descr="77-vm-215-bm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848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828</xdr:row>
      <xdr:rowOff>0</xdr:rowOff>
    </xdr:from>
    <xdr:to>
      <xdr:col>2</xdr:col>
      <xdr:colOff>0</xdr:colOff>
      <xdr:row>829</xdr:row>
      <xdr:rowOff>0</xdr:rowOff>
    </xdr:to>
    <xdr:pic>
      <xdr:nvPicPr>
        <xdr:cNvPr id="1853" name="Picture 4175" descr="77-vm-215-gm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924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829</xdr:row>
      <xdr:rowOff>0</xdr:rowOff>
    </xdr:from>
    <xdr:to>
      <xdr:col>2</xdr:col>
      <xdr:colOff>0</xdr:colOff>
      <xdr:row>830</xdr:row>
      <xdr:rowOff>0</xdr:rowOff>
    </xdr:to>
    <xdr:pic>
      <xdr:nvPicPr>
        <xdr:cNvPr id="1854" name="Picture 4176" descr="77-vw-098-pm">
          <a:hlinkClick xmlns:r="http://schemas.openxmlformats.org/officeDocument/2006/relationships" r:id="rId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001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830</xdr:row>
      <xdr:rowOff>0</xdr:rowOff>
    </xdr:from>
    <xdr:to>
      <xdr:col>2</xdr:col>
      <xdr:colOff>0</xdr:colOff>
      <xdr:row>831</xdr:row>
      <xdr:rowOff>0</xdr:rowOff>
    </xdr:to>
    <xdr:pic>
      <xdr:nvPicPr>
        <xdr:cNvPr id="1855" name="Picture 4177" descr="77-vw-106-bm">
          <a:hlinkClick xmlns:r="http://schemas.openxmlformats.org/officeDocument/2006/relationships" r:id="rId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001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832</xdr:row>
      <xdr:rowOff>0</xdr:rowOff>
    </xdr:from>
    <xdr:to>
      <xdr:col>2</xdr:col>
      <xdr:colOff>0</xdr:colOff>
      <xdr:row>833</xdr:row>
      <xdr:rowOff>0</xdr:rowOff>
    </xdr:to>
    <xdr:pic>
      <xdr:nvPicPr>
        <xdr:cNvPr id="1856" name="Picture 4178" descr="77-vw-121-bm">
          <a:hlinkClick xmlns:r="http://schemas.openxmlformats.org/officeDocument/2006/relationships" r:id="rId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153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833</xdr:row>
      <xdr:rowOff>0</xdr:rowOff>
    </xdr:from>
    <xdr:to>
      <xdr:col>2</xdr:col>
      <xdr:colOff>0</xdr:colOff>
      <xdr:row>834</xdr:row>
      <xdr:rowOff>0</xdr:rowOff>
    </xdr:to>
    <xdr:pic>
      <xdr:nvPicPr>
        <xdr:cNvPr id="1857" name="Picture 4179" descr="77-vw-121-gm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153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834</xdr:row>
      <xdr:rowOff>0</xdr:rowOff>
    </xdr:from>
    <xdr:to>
      <xdr:col>2</xdr:col>
      <xdr:colOff>0</xdr:colOff>
      <xdr:row>835</xdr:row>
      <xdr:rowOff>0</xdr:rowOff>
    </xdr:to>
    <xdr:pic>
      <xdr:nvPicPr>
        <xdr:cNvPr id="1858" name="Picture 4180" descr="77-vw-213-rm">
          <a:hlinkClick xmlns:r="http://schemas.openxmlformats.org/officeDocument/2006/relationships" r:id="rId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229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835</xdr:row>
      <xdr:rowOff>0</xdr:rowOff>
    </xdr:from>
    <xdr:to>
      <xdr:col>2</xdr:col>
      <xdr:colOff>0</xdr:colOff>
      <xdr:row>836</xdr:row>
      <xdr:rowOff>0</xdr:rowOff>
    </xdr:to>
    <xdr:pic>
      <xdr:nvPicPr>
        <xdr:cNvPr id="1859" name="Picture 4181" descr="77-vw-229-gm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229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836</xdr:row>
      <xdr:rowOff>0</xdr:rowOff>
    </xdr:from>
    <xdr:to>
      <xdr:col>2</xdr:col>
      <xdr:colOff>0</xdr:colOff>
      <xdr:row>837</xdr:row>
      <xdr:rowOff>0</xdr:rowOff>
    </xdr:to>
    <xdr:pic>
      <xdr:nvPicPr>
        <xdr:cNvPr id="1860" name="Picture 4184" descr="77-vw-229-pm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305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838</xdr:row>
      <xdr:rowOff>0</xdr:rowOff>
    </xdr:from>
    <xdr:to>
      <xdr:col>2</xdr:col>
      <xdr:colOff>0</xdr:colOff>
      <xdr:row>839</xdr:row>
      <xdr:rowOff>0</xdr:rowOff>
    </xdr:to>
    <xdr:pic>
      <xdr:nvPicPr>
        <xdr:cNvPr id="1861" name="Picture 4186" descr="77-wl-017m">
          <a:hlinkClick xmlns:r="http://schemas.openxmlformats.org/officeDocument/2006/relationships" r:id="rId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305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813</xdr:row>
      <xdr:rowOff>0</xdr:rowOff>
    </xdr:from>
    <xdr:to>
      <xdr:col>2</xdr:col>
      <xdr:colOff>0</xdr:colOff>
      <xdr:row>814</xdr:row>
      <xdr:rowOff>0</xdr:rowOff>
    </xdr:to>
    <xdr:pic>
      <xdr:nvPicPr>
        <xdr:cNvPr id="1862" name="Picture 4187" descr="77-en-154m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543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1863" name="Picture 4191" descr="14-197m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1864" name="Picture 4200" descr="34-1502m">
          <a:hlinkClick xmlns:r="http://schemas.openxmlformats.org/officeDocument/2006/relationships" r:id="rId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554</xdr:row>
      <xdr:rowOff>0</xdr:rowOff>
    </xdr:from>
    <xdr:to>
      <xdr:col>2</xdr:col>
      <xdr:colOff>0</xdr:colOff>
      <xdr:row>555</xdr:row>
      <xdr:rowOff>0</xdr:rowOff>
    </xdr:to>
    <xdr:pic>
      <xdr:nvPicPr>
        <xdr:cNvPr id="1865" name="Picture 4201" descr="34-3502m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557</xdr:row>
      <xdr:rowOff>0</xdr:rowOff>
    </xdr:to>
    <xdr:pic>
      <xdr:nvPicPr>
        <xdr:cNvPr id="1866" name="Picture 4202" descr="34-357m">
          <a:hlinkClick xmlns:r="http://schemas.openxmlformats.org/officeDocument/2006/relationships" r:id="rId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582</xdr:row>
      <xdr:rowOff>0</xdr:rowOff>
    </xdr:from>
    <xdr:to>
      <xdr:col>2</xdr:col>
      <xdr:colOff>0</xdr:colOff>
      <xdr:row>583</xdr:row>
      <xdr:rowOff>0</xdr:rowOff>
    </xdr:to>
    <xdr:pic>
      <xdr:nvPicPr>
        <xdr:cNvPr id="1867" name="Picture 4203" descr="34-6502m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585</xdr:row>
      <xdr:rowOff>0</xdr:rowOff>
    </xdr:from>
    <xdr:to>
      <xdr:col>2</xdr:col>
      <xdr:colOff>0</xdr:colOff>
      <xdr:row>586</xdr:row>
      <xdr:rowOff>0</xdr:rowOff>
    </xdr:to>
    <xdr:pic>
      <xdr:nvPicPr>
        <xdr:cNvPr id="1868" name="Picture 4204" descr="34-657m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715</xdr:row>
      <xdr:rowOff>0</xdr:rowOff>
    </xdr:from>
    <xdr:to>
      <xdr:col>2</xdr:col>
      <xdr:colOff>0</xdr:colOff>
      <xdr:row>716</xdr:row>
      <xdr:rowOff>0</xdr:rowOff>
    </xdr:to>
    <xdr:pic>
      <xdr:nvPicPr>
        <xdr:cNvPr id="1869" name="Picture 4205" descr="44-6502m">
          <a:hlinkClick xmlns:r="http://schemas.openxmlformats.org/officeDocument/2006/relationships" r:id="rId1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708</xdr:row>
      <xdr:rowOff>0</xdr:rowOff>
    </xdr:from>
    <xdr:to>
      <xdr:col>2</xdr:col>
      <xdr:colOff>0</xdr:colOff>
      <xdr:row>709</xdr:row>
      <xdr:rowOff>0</xdr:rowOff>
    </xdr:to>
    <xdr:pic>
      <xdr:nvPicPr>
        <xdr:cNvPr id="1870" name="Picture 4206" descr="44-1502m">
          <a:hlinkClick xmlns:r="http://schemas.openxmlformats.org/officeDocument/2006/relationships" r:id="rId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038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831</xdr:row>
      <xdr:rowOff>0</xdr:rowOff>
    </xdr:from>
    <xdr:to>
      <xdr:col>2</xdr:col>
      <xdr:colOff>0</xdr:colOff>
      <xdr:row>832</xdr:row>
      <xdr:rowOff>0</xdr:rowOff>
    </xdr:to>
    <xdr:pic>
      <xdr:nvPicPr>
        <xdr:cNvPr id="1871" name="Picture 5011" descr="77-vw-106-pm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077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872" name="Picture 21372" descr="14-1505-1m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1873" name="Picture 21373" descr="14-1505m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874" name="Picture 21374" descr="14-1507m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875" name="Picture 21375" descr="14-1508m">
          <a:hlinkClick xmlns:r="http://schemas.openxmlformats.org/officeDocument/2006/relationships" r:id="rId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876" name="Picture 21376" descr="14-1509m">
          <a:hlinkClick xmlns:r="http://schemas.openxmlformats.org/officeDocument/2006/relationships" r:id="rId2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663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341</xdr:row>
      <xdr:rowOff>0</xdr:rowOff>
    </xdr:from>
    <xdr:to>
      <xdr:col>2</xdr:col>
      <xdr:colOff>0</xdr:colOff>
      <xdr:row>342</xdr:row>
      <xdr:rowOff>0</xdr:rowOff>
    </xdr:to>
    <xdr:pic>
      <xdr:nvPicPr>
        <xdr:cNvPr id="1877" name="Picture 21377" descr="14-2508m">
          <a:hlinkClick xmlns:r="http://schemas.openxmlformats.org/officeDocument/2006/relationships" r:id="rId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471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459</xdr:row>
      <xdr:rowOff>0</xdr:rowOff>
    </xdr:from>
    <xdr:to>
      <xdr:col>2</xdr:col>
      <xdr:colOff>0</xdr:colOff>
      <xdr:row>460</xdr:row>
      <xdr:rowOff>0</xdr:rowOff>
    </xdr:to>
    <xdr:pic>
      <xdr:nvPicPr>
        <xdr:cNvPr id="1878" name="Picture 21379" descr="28-3503m">
          <a:hlinkClick xmlns:r="http://schemas.openxmlformats.org/officeDocument/2006/relationships" r:id="rId2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1879" name="Picture 21380" descr="28-4504m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477</xdr:row>
      <xdr:rowOff>0</xdr:rowOff>
    </xdr:from>
    <xdr:to>
      <xdr:col>2</xdr:col>
      <xdr:colOff>0</xdr:colOff>
      <xdr:row>478</xdr:row>
      <xdr:rowOff>0</xdr:rowOff>
    </xdr:to>
    <xdr:pic>
      <xdr:nvPicPr>
        <xdr:cNvPr id="1880" name="Picture 21381" descr="28-6503m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667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479</xdr:row>
      <xdr:rowOff>0</xdr:rowOff>
    </xdr:to>
    <xdr:pic>
      <xdr:nvPicPr>
        <xdr:cNvPr id="1881" name="Picture 21382" descr="28-6504m">
          <a:hlinkClick xmlns:r="http://schemas.openxmlformats.org/officeDocument/2006/relationships" r:id="rId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667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882" name="Picture 21383" descr="34-1505m">
          <a:hlinkClick xmlns:r="http://schemas.openxmlformats.org/officeDocument/2006/relationships" r:id="rId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82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883" name="Picture 21384" descr="34-1505-1m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59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584</xdr:row>
      <xdr:rowOff>0</xdr:rowOff>
    </xdr:to>
    <xdr:pic>
      <xdr:nvPicPr>
        <xdr:cNvPr id="1884" name="Picture 21385" descr="34-6504m">
          <a:hlinkClick xmlns:r="http://schemas.openxmlformats.org/officeDocument/2006/relationships" r:id="rId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602</xdr:row>
      <xdr:rowOff>0</xdr:rowOff>
    </xdr:from>
    <xdr:to>
      <xdr:col>2</xdr:col>
      <xdr:colOff>0</xdr:colOff>
      <xdr:row>603</xdr:row>
      <xdr:rowOff>0</xdr:rowOff>
    </xdr:to>
    <xdr:pic>
      <xdr:nvPicPr>
        <xdr:cNvPr id="1885" name="Picture 21386" descr="34-9504m">
          <a:hlinkClick xmlns:r="http://schemas.openxmlformats.org/officeDocument/2006/relationships" r:id="rId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749</xdr:row>
      <xdr:rowOff>0</xdr:rowOff>
    </xdr:to>
    <xdr:pic>
      <xdr:nvPicPr>
        <xdr:cNvPr id="1886" name="Picture 21388" descr="50-1509m">
          <a:hlinkClick xmlns:r="http://schemas.openxmlformats.org/officeDocument/2006/relationships" r:id="rId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562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519</xdr:row>
      <xdr:rowOff>0</xdr:rowOff>
    </xdr:from>
    <xdr:to>
      <xdr:col>2</xdr:col>
      <xdr:colOff>0</xdr:colOff>
      <xdr:row>520</xdr:row>
      <xdr:rowOff>0</xdr:rowOff>
    </xdr:to>
    <xdr:pic>
      <xdr:nvPicPr>
        <xdr:cNvPr id="1887" name="Picture 21402" descr="34-1511m">
          <a:hlinkClick xmlns:r="http://schemas.openxmlformats.org/officeDocument/2006/relationships" r:id="rId2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680</xdr:row>
      <xdr:rowOff>0</xdr:rowOff>
    </xdr:from>
    <xdr:to>
      <xdr:col>2</xdr:col>
      <xdr:colOff>0</xdr:colOff>
      <xdr:row>681</xdr:row>
      <xdr:rowOff>0</xdr:rowOff>
    </xdr:to>
    <xdr:pic>
      <xdr:nvPicPr>
        <xdr:cNvPr id="1888" name="Picture 21403" descr="41-4504m">
          <a:hlinkClick xmlns:r="http://schemas.openxmlformats.org/officeDocument/2006/relationships" r:id="rId2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250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720</xdr:row>
      <xdr:rowOff>0</xdr:rowOff>
    </xdr:from>
    <xdr:to>
      <xdr:col>2</xdr:col>
      <xdr:colOff>0</xdr:colOff>
      <xdr:row>721</xdr:row>
      <xdr:rowOff>0</xdr:rowOff>
    </xdr:to>
    <xdr:pic>
      <xdr:nvPicPr>
        <xdr:cNvPr id="1889" name="Picture 21407" descr="45-9510m">
          <a:hlinkClick xmlns:r="http://schemas.openxmlformats.org/officeDocument/2006/relationships" r:id="rId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890" name="Picture 21409" descr="14-1506m">
          <a:hlinkClick xmlns:r="http://schemas.openxmlformats.org/officeDocument/2006/relationships" r:id="rId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296</xdr:row>
      <xdr:rowOff>0</xdr:rowOff>
    </xdr:to>
    <xdr:pic>
      <xdr:nvPicPr>
        <xdr:cNvPr id="1891" name="Picture 21410" descr="14-1510-1m">
          <a:hlinkClick xmlns:r="http://schemas.openxmlformats.org/officeDocument/2006/relationships" r:id="rId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361</xdr:row>
      <xdr:rowOff>0</xdr:rowOff>
    </xdr:from>
    <xdr:to>
      <xdr:col>2</xdr:col>
      <xdr:colOff>0</xdr:colOff>
      <xdr:row>362</xdr:row>
      <xdr:rowOff>0</xdr:rowOff>
    </xdr:to>
    <xdr:pic>
      <xdr:nvPicPr>
        <xdr:cNvPr id="1892" name="Picture 3067" descr="14-4504m">
          <a:hlinkClick xmlns:r="http://schemas.openxmlformats.org/officeDocument/2006/relationships" r:id="rId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1893" name="Picture 3068" descr="34-1501m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759</xdr:row>
      <xdr:rowOff>0</xdr:rowOff>
    </xdr:from>
    <xdr:to>
      <xdr:col>2</xdr:col>
      <xdr:colOff>0</xdr:colOff>
      <xdr:row>760</xdr:row>
      <xdr:rowOff>0</xdr:rowOff>
    </xdr:to>
    <xdr:pic>
      <xdr:nvPicPr>
        <xdr:cNvPr id="1894" name="Picture 3069" descr="52-1511m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19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758</xdr:row>
      <xdr:rowOff>0</xdr:rowOff>
    </xdr:from>
    <xdr:to>
      <xdr:col>2</xdr:col>
      <xdr:colOff>0</xdr:colOff>
      <xdr:row>759</xdr:row>
      <xdr:rowOff>0</xdr:rowOff>
    </xdr:to>
    <xdr:pic>
      <xdr:nvPicPr>
        <xdr:cNvPr id="1895" name="Picture 3070" descr="52-1510m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943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749</xdr:row>
      <xdr:rowOff>0</xdr:rowOff>
    </xdr:from>
    <xdr:to>
      <xdr:col>2</xdr:col>
      <xdr:colOff>0</xdr:colOff>
      <xdr:row>750</xdr:row>
      <xdr:rowOff>0</xdr:rowOff>
    </xdr:to>
    <xdr:pic>
      <xdr:nvPicPr>
        <xdr:cNvPr id="1896" name="Picture 3071" descr="50-1510m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638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971</xdr:row>
      <xdr:rowOff>0</xdr:rowOff>
    </xdr:from>
    <xdr:to>
      <xdr:col>2</xdr:col>
      <xdr:colOff>0</xdr:colOff>
      <xdr:row>972</xdr:row>
      <xdr:rowOff>0</xdr:rowOff>
    </xdr:to>
    <xdr:pic>
      <xdr:nvPicPr>
        <xdr:cNvPr id="1897" name="Picture 3072" descr="M-14-107m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5436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975</xdr:row>
      <xdr:rowOff>0</xdr:rowOff>
    </xdr:from>
    <xdr:to>
      <xdr:col>2</xdr:col>
      <xdr:colOff>0</xdr:colOff>
      <xdr:row>975</xdr:row>
      <xdr:rowOff>0</xdr:rowOff>
    </xdr:to>
    <xdr:pic>
      <xdr:nvPicPr>
        <xdr:cNvPr id="1898" name="Picture 3073" descr="M-14-201m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6198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972</xdr:row>
      <xdr:rowOff>0</xdr:rowOff>
    </xdr:from>
    <xdr:to>
      <xdr:col>2</xdr:col>
      <xdr:colOff>0</xdr:colOff>
      <xdr:row>973</xdr:row>
      <xdr:rowOff>0</xdr:rowOff>
    </xdr:to>
    <xdr:pic>
      <xdr:nvPicPr>
        <xdr:cNvPr id="1899" name="Picture 3074" descr="M-14-401m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5436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973</xdr:row>
      <xdr:rowOff>0</xdr:rowOff>
    </xdr:from>
    <xdr:to>
      <xdr:col>2</xdr:col>
      <xdr:colOff>0</xdr:colOff>
      <xdr:row>974</xdr:row>
      <xdr:rowOff>0</xdr:rowOff>
    </xdr:to>
    <xdr:pic>
      <xdr:nvPicPr>
        <xdr:cNvPr id="1900" name="Picture 3075" descr="M-14-407m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6198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974</xdr:row>
      <xdr:rowOff>0</xdr:rowOff>
    </xdr:from>
    <xdr:to>
      <xdr:col>2</xdr:col>
      <xdr:colOff>0</xdr:colOff>
      <xdr:row>975</xdr:row>
      <xdr:rowOff>0</xdr:rowOff>
    </xdr:to>
    <xdr:pic>
      <xdr:nvPicPr>
        <xdr:cNvPr id="1901" name="Picture 3076" descr="M-34-204m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6198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1114</xdr:row>
      <xdr:rowOff>0</xdr:rowOff>
    </xdr:from>
    <xdr:to>
      <xdr:col>2</xdr:col>
      <xdr:colOff>0</xdr:colOff>
      <xdr:row>1114</xdr:row>
      <xdr:rowOff>0</xdr:rowOff>
    </xdr:to>
    <xdr:pic>
      <xdr:nvPicPr>
        <xdr:cNvPr id="1902" name="Picture 3077" descr="M-34-804m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525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975</xdr:row>
      <xdr:rowOff>0</xdr:rowOff>
    </xdr:from>
    <xdr:to>
      <xdr:col>2</xdr:col>
      <xdr:colOff>0</xdr:colOff>
      <xdr:row>976</xdr:row>
      <xdr:rowOff>0</xdr:rowOff>
    </xdr:to>
    <xdr:pic>
      <xdr:nvPicPr>
        <xdr:cNvPr id="1903" name="Picture 3078" descr="M-44-403m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6198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976</xdr:row>
      <xdr:rowOff>0</xdr:rowOff>
    </xdr:from>
    <xdr:to>
      <xdr:col>2</xdr:col>
      <xdr:colOff>0</xdr:colOff>
      <xdr:row>977</xdr:row>
      <xdr:rowOff>0</xdr:rowOff>
    </xdr:to>
    <xdr:pic>
      <xdr:nvPicPr>
        <xdr:cNvPr id="1904" name="Picture 3079" descr="M-44-803m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6960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905" name="Picture 3080" descr="14-117m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1906" name="Picture 3082" descr="41-3513m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1747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668</xdr:row>
      <xdr:rowOff>0</xdr:rowOff>
    </xdr:to>
    <xdr:pic>
      <xdr:nvPicPr>
        <xdr:cNvPr id="1907" name="Picture 3083" descr="36-9506m">
          <a:hlinkClick xmlns:r="http://schemas.openxmlformats.org/officeDocument/2006/relationships" r:id="rId2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9461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1908" name="Picture 3084" descr="14-1512m">
          <a:hlinkClick xmlns:r="http://schemas.openxmlformats.org/officeDocument/2006/relationships" r:id="rId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771</xdr:row>
      <xdr:rowOff>0</xdr:rowOff>
    </xdr:from>
    <xdr:to>
      <xdr:col>2</xdr:col>
      <xdr:colOff>0</xdr:colOff>
      <xdr:row>772</xdr:row>
      <xdr:rowOff>0</xdr:rowOff>
    </xdr:to>
    <xdr:pic>
      <xdr:nvPicPr>
        <xdr:cNvPr id="1909" name="Picture 3085" descr="54-1512m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7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770</xdr:row>
      <xdr:rowOff>0</xdr:rowOff>
    </xdr:from>
    <xdr:to>
      <xdr:col>2</xdr:col>
      <xdr:colOff>0</xdr:colOff>
      <xdr:row>771</xdr:row>
      <xdr:rowOff>0</xdr:rowOff>
    </xdr:to>
    <xdr:pic>
      <xdr:nvPicPr>
        <xdr:cNvPr id="1910" name="Picture 3086" descr="54-136m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7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774</xdr:row>
      <xdr:rowOff>0</xdr:rowOff>
    </xdr:from>
    <xdr:to>
      <xdr:col>2</xdr:col>
      <xdr:colOff>0</xdr:colOff>
      <xdr:row>775</xdr:row>
      <xdr:rowOff>0</xdr:rowOff>
    </xdr:to>
    <xdr:pic>
      <xdr:nvPicPr>
        <xdr:cNvPr id="1911" name="Picture 3087" descr="54-5514m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248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1912" name="Picture 3088" descr="14-1514m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718</xdr:row>
      <xdr:rowOff>0</xdr:rowOff>
    </xdr:from>
    <xdr:to>
      <xdr:col>2</xdr:col>
      <xdr:colOff>0</xdr:colOff>
      <xdr:row>719</xdr:row>
      <xdr:rowOff>0</xdr:rowOff>
    </xdr:to>
    <xdr:pic>
      <xdr:nvPicPr>
        <xdr:cNvPr id="1913" name="Picture 3089" descr="45-5512m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767</xdr:row>
      <xdr:rowOff>0</xdr:rowOff>
    </xdr:from>
    <xdr:to>
      <xdr:col>2</xdr:col>
      <xdr:colOff>0</xdr:colOff>
      <xdr:row>768</xdr:row>
      <xdr:rowOff>0</xdr:rowOff>
    </xdr:to>
    <xdr:pic>
      <xdr:nvPicPr>
        <xdr:cNvPr id="1914" name="Picture 3090" descr="50-125m">
          <a:hlinkClick xmlns:r="http://schemas.openxmlformats.org/officeDocument/2006/relationships" r:id="rId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1915" name="Picture 3091" descr="54-9514m">
          <a:hlinkClick xmlns:r="http://schemas.openxmlformats.org/officeDocument/2006/relationships" r:id="rId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324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630</xdr:row>
      <xdr:rowOff>0</xdr:rowOff>
    </xdr:from>
    <xdr:to>
      <xdr:col>2</xdr:col>
      <xdr:colOff>0</xdr:colOff>
      <xdr:row>631</xdr:row>
      <xdr:rowOff>0</xdr:rowOff>
    </xdr:to>
    <xdr:pic>
      <xdr:nvPicPr>
        <xdr:cNvPr id="1916" name="Picture 3092" descr="14-1512m">
          <a:hlinkClick xmlns:r="http://schemas.openxmlformats.org/officeDocument/2006/relationships" r:id="rId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498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657</xdr:row>
      <xdr:rowOff>0</xdr:rowOff>
    </xdr:to>
    <xdr:pic>
      <xdr:nvPicPr>
        <xdr:cNvPr id="1917" name="Picture 3093" descr="14-1512m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698</xdr:row>
      <xdr:rowOff>0</xdr:rowOff>
    </xdr:from>
    <xdr:to>
      <xdr:col>2</xdr:col>
      <xdr:colOff>0</xdr:colOff>
      <xdr:row>699</xdr:row>
      <xdr:rowOff>0</xdr:rowOff>
    </xdr:to>
    <xdr:pic>
      <xdr:nvPicPr>
        <xdr:cNvPr id="1918" name="Picture 3099" descr="42-943m">
          <a:hlinkClick xmlns:r="http://schemas.openxmlformats.org/officeDocument/2006/relationships" r:id="rId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860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1919" name="Picture 3100" descr="34-143m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1920" name="Picture 3101" descr="42-143m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327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937</xdr:row>
      <xdr:rowOff>0</xdr:rowOff>
    </xdr:from>
    <xdr:to>
      <xdr:col>2</xdr:col>
      <xdr:colOff>0</xdr:colOff>
      <xdr:row>938</xdr:row>
      <xdr:rowOff>0</xdr:rowOff>
    </xdr:to>
    <xdr:pic>
      <xdr:nvPicPr>
        <xdr:cNvPr id="1921" name="Picture 3102" descr="rw-22-01m">
          <a:hlinkClick xmlns:r="http://schemas.openxmlformats.org/officeDocument/2006/relationships" r:id="rId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6082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940</xdr:row>
      <xdr:rowOff>0</xdr:rowOff>
    </xdr:from>
    <xdr:to>
      <xdr:col>2</xdr:col>
      <xdr:colOff>0</xdr:colOff>
      <xdr:row>941</xdr:row>
      <xdr:rowOff>0</xdr:rowOff>
    </xdr:to>
    <xdr:pic>
      <xdr:nvPicPr>
        <xdr:cNvPr id="1922" name="Picture 3103" descr="rw-42-01m">
          <a:hlinkClick xmlns:r="http://schemas.openxmlformats.org/officeDocument/2006/relationships" r:id="rId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7606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1128</xdr:row>
      <xdr:rowOff>0</xdr:rowOff>
    </xdr:from>
    <xdr:to>
      <xdr:col>2</xdr:col>
      <xdr:colOff>0</xdr:colOff>
      <xdr:row>1129</xdr:row>
      <xdr:rowOff>0</xdr:rowOff>
    </xdr:to>
    <xdr:pic>
      <xdr:nvPicPr>
        <xdr:cNvPr id="1923" name="Picture 3104" descr="t-038m">
          <a:hlinkClick xmlns:r="http://schemas.openxmlformats.org/officeDocument/2006/relationships" r:id="rId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515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1129</xdr:row>
      <xdr:rowOff>0</xdr:rowOff>
    </xdr:from>
    <xdr:to>
      <xdr:col>2</xdr:col>
      <xdr:colOff>0</xdr:colOff>
      <xdr:row>1130</xdr:row>
      <xdr:rowOff>0</xdr:rowOff>
    </xdr:to>
    <xdr:pic>
      <xdr:nvPicPr>
        <xdr:cNvPr id="1924" name="Picture 3105" descr="t-040m">
          <a:hlinkClick xmlns:r="http://schemas.openxmlformats.org/officeDocument/2006/relationships" r:id="rId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591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1130</xdr:row>
      <xdr:rowOff>0</xdr:rowOff>
    </xdr:from>
    <xdr:to>
      <xdr:col>2</xdr:col>
      <xdr:colOff>0</xdr:colOff>
      <xdr:row>1131</xdr:row>
      <xdr:rowOff>0</xdr:rowOff>
    </xdr:to>
    <xdr:pic>
      <xdr:nvPicPr>
        <xdr:cNvPr id="1925" name="Picture 3106" descr="t-041m">
          <a:hlinkClick xmlns:r="http://schemas.openxmlformats.org/officeDocument/2006/relationships" r:id="rId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668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1143</xdr:row>
      <xdr:rowOff>0</xdr:rowOff>
    </xdr:from>
    <xdr:to>
      <xdr:col>2</xdr:col>
      <xdr:colOff>0</xdr:colOff>
      <xdr:row>1144</xdr:row>
      <xdr:rowOff>0</xdr:rowOff>
    </xdr:to>
    <xdr:pic>
      <xdr:nvPicPr>
        <xdr:cNvPr id="1926" name="Picture 3107" descr="t-001m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506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1144</xdr:row>
      <xdr:rowOff>0</xdr:rowOff>
    </xdr:from>
    <xdr:to>
      <xdr:col>2</xdr:col>
      <xdr:colOff>0</xdr:colOff>
      <xdr:row>1145</xdr:row>
      <xdr:rowOff>0</xdr:rowOff>
    </xdr:to>
    <xdr:pic>
      <xdr:nvPicPr>
        <xdr:cNvPr id="1927" name="Picture 3108" descr="t-001m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506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1145</xdr:row>
      <xdr:rowOff>0</xdr:rowOff>
    </xdr:from>
    <xdr:to>
      <xdr:col>2</xdr:col>
      <xdr:colOff>0</xdr:colOff>
      <xdr:row>1146</xdr:row>
      <xdr:rowOff>0</xdr:rowOff>
    </xdr:to>
    <xdr:pic>
      <xdr:nvPicPr>
        <xdr:cNvPr id="1928" name="Picture 3109" descr="t-002m">
          <a:hlinkClick xmlns:r="http://schemas.openxmlformats.org/officeDocument/2006/relationships" r:id="rId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582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1146</xdr:row>
      <xdr:rowOff>0</xdr:rowOff>
    </xdr:from>
    <xdr:to>
      <xdr:col>2</xdr:col>
      <xdr:colOff>0</xdr:colOff>
      <xdr:row>1147</xdr:row>
      <xdr:rowOff>0</xdr:rowOff>
    </xdr:to>
    <xdr:pic>
      <xdr:nvPicPr>
        <xdr:cNvPr id="1929" name="Picture 3110" descr="t-002m">
          <a:hlinkClick xmlns:r="http://schemas.openxmlformats.org/officeDocument/2006/relationships" r:id="rId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582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1147</xdr:row>
      <xdr:rowOff>0</xdr:rowOff>
    </xdr:from>
    <xdr:to>
      <xdr:col>2</xdr:col>
      <xdr:colOff>0</xdr:colOff>
      <xdr:row>1148</xdr:row>
      <xdr:rowOff>0</xdr:rowOff>
    </xdr:to>
    <xdr:pic>
      <xdr:nvPicPr>
        <xdr:cNvPr id="1930" name="Picture 3111" descr="t-004m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658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1148</xdr:row>
      <xdr:rowOff>0</xdr:rowOff>
    </xdr:from>
    <xdr:to>
      <xdr:col>2</xdr:col>
      <xdr:colOff>0</xdr:colOff>
      <xdr:row>1149</xdr:row>
      <xdr:rowOff>0</xdr:rowOff>
    </xdr:to>
    <xdr:pic>
      <xdr:nvPicPr>
        <xdr:cNvPr id="1931" name="Picture 3112" descr="t-004m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658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1149</xdr:row>
      <xdr:rowOff>0</xdr:rowOff>
    </xdr:from>
    <xdr:to>
      <xdr:col>2</xdr:col>
      <xdr:colOff>0</xdr:colOff>
      <xdr:row>1150</xdr:row>
      <xdr:rowOff>0</xdr:rowOff>
    </xdr:to>
    <xdr:pic>
      <xdr:nvPicPr>
        <xdr:cNvPr id="1932" name="Picture 3113" descr="t-008m">
          <a:hlinkClick xmlns:r="http://schemas.openxmlformats.org/officeDocument/2006/relationships" r:id="rId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734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1150</xdr:row>
      <xdr:rowOff>0</xdr:rowOff>
    </xdr:from>
    <xdr:to>
      <xdr:col>2</xdr:col>
      <xdr:colOff>0</xdr:colOff>
      <xdr:row>1151</xdr:row>
      <xdr:rowOff>0</xdr:rowOff>
    </xdr:to>
    <xdr:pic>
      <xdr:nvPicPr>
        <xdr:cNvPr id="1933" name="Picture 3114" descr="t-008m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811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1151</xdr:row>
      <xdr:rowOff>0</xdr:rowOff>
    </xdr:from>
    <xdr:to>
      <xdr:col>2</xdr:col>
      <xdr:colOff>0</xdr:colOff>
      <xdr:row>1152</xdr:row>
      <xdr:rowOff>0</xdr:rowOff>
    </xdr:to>
    <xdr:pic>
      <xdr:nvPicPr>
        <xdr:cNvPr id="1934" name="Picture 3115" descr="t-011m">
          <a:hlinkClick xmlns:r="http://schemas.openxmlformats.org/officeDocument/2006/relationships" r:id="rId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811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1152</xdr:row>
      <xdr:rowOff>0</xdr:rowOff>
    </xdr:from>
    <xdr:to>
      <xdr:col>2</xdr:col>
      <xdr:colOff>0</xdr:colOff>
      <xdr:row>1153</xdr:row>
      <xdr:rowOff>0</xdr:rowOff>
    </xdr:to>
    <xdr:pic>
      <xdr:nvPicPr>
        <xdr:cNvPr id="1935" name="Picture 3116" descr="t-011m">
          <a:hlinkClick xmlns:r="http://schemas.openxmlformats.org/officeDocument/2006/relationships" r:id="rId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887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1155</xdr:row>
      <xdr:rowOff>0</xdr:rowOff>
    </xdr:from>
    <xdr:to>
      <xdr:col>2</xdr:col>
      <xdr:colOff>0</xdr:colOff>
      <xdr:row>1156</xdr:row>
      <xdr:rowOff>0</xdr:rowOff>
    </xdr:to>
    <xdr:pic>
      <xdr:nvPicPr>
        <xdr:cNvPr id="1936" name="Picture 3117" descr="t-015m">
          <a:hlinkClick xmlns:r="http://schemas.openxmlformats.org/officeDocument/2006/relationships" r:id="rId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115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1156</xdr:row>
      <xdr:rowOff>0</xdr:rowOff>
    </xdr:from>
    <xdr:to>
      <xdr:col>2</xdr:col>
      <xdr:colOff>0</xdr:colOff>
      <xdr:row>1157</xdr:row>
      <xdr:rowOff>0</xdr:rowOff>
    </xdr:to>
    <xdr:pic>
      <xdr:nvPicPr>
        <xdr:cNvPr id="1937" name="Picture 3118" descr="t-015m">
          <a:hlinkClick xmlns:r="http://schemas.openxmlformats.org/officeDocument/2006/relationships" r:id="rId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192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1157</xdr:row>
      <xdr:rowOff>0</xdr:rowOff>
    </xdr:from>
    <xdr:to>
      <xdr:col>2</xdr:col>
      <xdr:colOff>0</xdr:colOff>
      <xdr:row>1158</xdr:row>
      <xdr:rowOff>0</xdr:rowOff>
    </xdr:to>
    <xdr:pic>
      <xdr:nvPicPr>
        <xdr:cNvPr id="1938" name="Picture 3119" descr="t-020m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268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1158</xdr:row>
      <xdr:rowOff>0</xdr:rowOff>
    </xdr:from>
    <xdr:to>
      <xdr:col>2</xdr:col>
      <xdr:colOff>0</xdr:colOff>
      <xdr:row>1159</xdr:row>
      <xdr:rowOff>0</xdr:rowOff>
    </xdr:to>
    <xdr:pic>
      <xdr:nvPicPr>
        <xdr:cNvPr id="1939" name="Picture 3120" descr="t-021m">
          <a:hlinkClick xmlns:r="http://schemas.openxmlformats.org/officeDocument/2006/relationships" r:id="rId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268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1159</xdr:row>
      <xdr:rowOff>0</xdr:rowOff>
    </xdr:from>
    <xdr:to>
      <xdr:col>2</xdr:col>
      <xdr:colOff>0</xdr:colOff>
      <xdr:row>1160</xdr:row>
      <xdr:rowOff>0</xdr:rowOff>
    </xdr:to>
    <xdr:pic>
      <xdr:nvPicPr>
        <xdr:cNvPr id="1940" name="Picture 3121" descr="t-021m">
          <a:hlinkClick xmlns:r="http://schemas.openxmlformats.org/officeDocument/2006/relationships" r:id="rId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268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1162</xdr:row>
      <xdr:rowOff>0</xdr:rowOff>
    </xdr:from>
    <xdr:to>
      <xdr:col>2</xdr:col>
      <xdr:colOff>0</xdr:colOff>
      <xdr:row>1163</xdr:row>
      <xdr:rowOff>0</xdr:rowOff>
    </xdr:to>
    <xdr:pic>
      <xdr:nvPicPr>
        <xdr:cNvPr id="1941" name="Picture 3122" descr="t-023m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20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1163</xdr:row>
      <xdr:rowOff>0</xdr:rowOff>
    </xdr:from>
    <xdr:to>
      <xdr:col>2</xdr:col>
      <xdr:colOff>0</xdr:colOff>
      <xdr:row>1164</xdr:row>
      <xdr:rowOff>0</xdr:rowOff>
    </xdr:to>
    <xdr:pic>
      <xdr:nvPicPr>
        <xdr:cNvPr id="1942" name="Picture 3123" descr="t-023m">
          <a:hlinkClick xmlns:r="http://schemas.openxmlformats.org/officeDocument/2006/relationships" r:id="rId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20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1164</xdr:row>
      <xdr:rowOff>0</xdr:rowOff>
    </xdr:from>
    <xdr:to>
      <xdr:col>2</xdr:col>
      <xdr:colOff>0</xdr:colOff>
      <xdr:row>1165</xdr:row>
      <xdr:rowOff>0</xdr:rowOff>
    </xdr:to>
    <xdr:pic>
      <xdr:nvPicPr>
        <xdr:cNvPr id="1943" name="Picture 3124" descr="t-030m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20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1165</xdr:row>
      <xdr:rowOff>0</xdr:rowOff>
    </xdr:from>
    <xdr:to>
      <xdr:col>2</xdr:col>
      <xdr:colOff>0</xdr:colOff>
      <xdr:row>1166</xdr:row>
      <xdr:rowOff>0</xdr:rowOff>
    </xdr:to>
    <xdr:pic>
      <xdr:nvPicPr>
        <xdr:cNvPr id="1944" name="Picture 3125" descr="t-030m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20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1166</xdr:row>
      <xdr:rowOff>0</xdr:rowOff>
    </xdr:from>
    <xdr:to>
      <xdr:col>2</xdr:col>
      <xdr:colOff>0</xdr:colOff>
      <xdr:row>1167</xdr:row>
      <xdr:rowOff>0</xdr:rowOff>
    </xdr:to>
    <xdr:pic>
      <xdr:nvPicPr>
        <xdr:cNvPr id="1945" name="Picture 3126" descr="t-031m">
          <a:hlinkClick xmlns:r="http://schemas.openxmlformats.org/officeDocument/2006/relationships" r:id="rId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968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1167</xdr:row>
      <xdr:rowOff>0</xdr:rowOff>
    </xdr:from>
    <xdr:to>
      <xdr:col>2</xdr:col>
      <xdr:colOff>0</xdr:colOff>
      <xdr:row>1168</xdr:row>
      <xdr:rowOff>0</xdr:rowOff>
    </xdr:to>
    <xdr:pic>
      <xdr:nvPicPr>
        <xdr:cNvPr id="1946" name="Picture 3127" descr="t-031m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96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1168</xdr:row>
      <xdr:rowOff>0</xdr:rowOff>
    </xdr:from>
    <xdr:to>
      <xdr:col>2</xdr:col>
      <xdr:colOff>0</xdr:colOff>
      <xdr:row>1169</xdr:row>
      <xdr:rowOff>0</xdr:rowOff>
    </xdr:to>
    <xdr:pic>
      <xdr:nvPicPr>
        <xdr:cNvPr id="1947" name="Picture 3128" descr="t-040m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573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1169</xdr:row>
      <xdr:rowOff>0</xdr:rowOff>
    </xdr:from>
    <xdr:to>
      <xdr:col>2</xdr:col>
      <xdr:colOff>0</xdr:colOff>
      <xdr:row>1170</xdr:row>
      <xdr:rowOff>0</xdr:rowOff>
    </xdr:to>
    <xdr:pic>
      <xdr:nvPicPr>
        <xdr:cNvPr id="1948" name="Picture 3129" descr="t-041m">
          <a:hlinkClick xmlns:r="http://schemas.openxmlformats.org/officeDocument/2006/relationships" r:id="rId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649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1170</xdr:row>
      <xdr:rowOff>0</xdr:rowOff>
    </xdr:from>
    <xdr:to>
      <xdr:col>2</xdr:col>
      <xdr:colOff>0</xdr:colOff>
      <xdr:row>1171</xdr:row>
      <xdr:rowOff>0</xdr:rowOff>
    </xdr:to>
    <xdr:pic>
      <xdr:nvPicPr>
        <xdr:cNvPr id="1949" name="Picture 3130" descr="t-042m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725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1171</xdr:row>
      <xdr:rowOff>0</xdr:rowOff>
    </xdr:from>
    <xdr:to>
      <xdr:col>2</xdr:col>
      <xdr:colOff>0</xdr:colOff>
      <xdr:row>1172</xdr:row>
      <xdr:rowOff>0</xdr:rowOff>
    </xdr:to>
    <xdr:pic>
      <xdr:nvPicPr>
        <xdr:cNvPr id="1950" name="Picture 3131" descr="t-042m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725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1172</xdr:row>
      <xdr:rowOff>0</xdr:rowOff>
    </xdr:from>
    <xdr:to>
      <xdr:col>2</xdr:col>
      <xdr:colOff>0</xdr:colOff>
      <xdr:row>1173</xdr:row>
      <xdr:rowOff>0</xdr:rowOff>
    </xdr:to>
    <xdr:pic>
      <xdr:nvPicPr>
        <xdr:cNvPr id="1951" name="Picture 3132" descr="t-046m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801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1173</xdr:row>
      <xdr:rowOff>0</xdr:rowOff>
    </xdr:from>
    <xdr:to>
      <xdr:col>2</xdr:col>
      <xdr:colOff>0</xdr:colOff>
      <xdr:row>1174</xdr:row>
      <xdr:rowOff>0</xdr:rowOff>
    </xdr:to>
    <xdr:pic>
      <xdr:nvPicPr>
        <xdr:cNvPr id="1952" name="Picture 3133" descr="t-046m">
          <a:hlinkClick xmlns:r="http://schemas.openxmlformats.org/officeDocument/2006/relationships" r:id="rId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877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1180</xdr:row>
      <xdr:rowOff>0</xdr:rowOff>
    </xdr:from>
    <xdr:to>
      <xdr:col>2</xdr:col>
      <xdr:colOff>0</xdr:colOff>
      <xdr:row>1181</xdr:row>
      <xdr:rowOff>0</xdr:rowOff>
    </xdr:to>
    <xdr:pic>
      <xdr:nvPicPr>
        <xdr:cNvPr id="1953" name="Picture 3134" descr="t-033m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106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1181</xdr:row>
      <xdr:rowOff>0</xdr:rowOff>
    </xdr:from>
    <xdr:to>
      <xdr:col>2</xdr:col>
      <xdr:colOff>0</xdr:colOff>
      <xdr:row>1182</xdr:row>
      <xdr:rowOff>0</xdr:rowOff>
    </xdr:to>
    <xdr:pic>
      <xdr:nvPicPr>
        <xdr:cNvPr id="1954" name="Picture 3135" descr="t-033m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182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1182</xdr:row>
      <xdr:rowOff>0</xdr:rowOff>
    </xdr:from>
    <xdr:to>
      <xdr:col>2</xdr:col>
      <xdr:colOff>0</xdr:colOff>
      <xdr:row>1183</xdr:row>
      <xdr:rowOff>0</xdr:rowOff>
    </xdr:to>
    <xdr:pic>
      <xdr:nvPicPr>
        <xdr:cNvPr id="1955" name="Picture 3136" descr="t-001m">
          <a:hlinkClick xmlns:r="http://schemas.openxmlformats.org/officeDocument/2006/relationships" r:id="rId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258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1183</xdr:row>
      <xdr:rowOff>0</xdr:rowOff>
    </xdr:from>
    <xdr:to>
      <xdr:col>2</xdr:col>
      <xdr:colOff>0</xdr:colOff>
      <xdr:row>1184</xdr:row>
      <xdr:rowOff>0</xdr:rowOff>
    </xdr:to>
    <xdr:pic>
      <xdr:nvPicPr>
        <xdr:cNvPr id="1956" name="Picture 3137" descr="t-001m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335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1184</xdr:row>
      <xdr:rowOff>0</xdr:rowOff>
    </xdr:from>
    <xdr:to>
      <xdr:col>2</xdr:col>
      <xdr:colOff>0</xdr:colOff>
      <xdr:row>1185</xdr:row>
      <xdr:rowOff>0</xdr:rowOff>
    </xdr:to>
    <xdr:pic>
      <xdr:nvPicPr>
        <xdr:cNvPr id="1957" name="Picture 3138" descr="t-001m">
          <a:hlinkClick xmlns:r="http://schemas.openxmlformats.org/officeDocument/2006/relationships" r:id="rId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335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1185</xdr:row>
      <xdr:rowOff>0</xdr:rowOff>
    </xdr:from>
    <xdr:to>
      <xdr:col>2</xdr:col>
      <xdr:colOff>0</xdr:colOff>
      <xdr:row>1186</xdr:row>
      <xdr:rowOff>0</xdr:rowOff>
    </xdr:to>
    <xdr:pic>
      <xdr:nvPicPr>
        <xdr:cNvPr id="1958" name="Picture 3139" descr="t-002m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411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1186</xdr:row>
      <xdr:rowOff>0</xdr:rowOff>
    </xdr:from>
    <xdr:to>
      <xdr:col>2</xdr:col>
      <xdr:colOff>0</xdr:colOff>
      <xdr:row>1187</xdr:row>
      <xdr:rowOff>0</xdr:rowOff>
    </xdr:to>
    <xdr:pic>
      <xdr:nvPicPr>
        <xdr:cNvPr id="1959" name="Picture 3140" descr="t-002m">
          <a:hlinkClick xmlns:r="http://schemas.openxmlformats.org/officeDocument/2006/relationships" r:id="rId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487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1187</xdr:row>
      <xdr:rowOff>0</xdr:rowOff>
    </xdr:from>
    <xdr:to>
      <xdr:col>2</xdr:col>
      <xdr:colOff>0</xdr:colOff>
      <xdr:row>1188</xdr:row>
      <xdr:rowOff>0</xdr:rowOff>
    </xdr:to>
    <xdr:pic>
      <xdr:nvPicPr>
        <xdr:cNvPr id="1960" name="Picture 3141" descr="t-004m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563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1188</xdr:row>
      <xdr:rowOff>0</xdr:rowOff>
    </xdr:from>
    <xdr:to>
      <xdr:col>2</xdr:col>
      <xdr:colOff>0</xdr:colOff>
      <xdr:row>1189</xdr:row>
      <xdr:rowOff>0</xdr:rowOff>
    </xdr:to>
    <xdr:pic>
      <xdr:nvPicPr>
        <xdr:cNvPr id="1961" name="Picture 3142" descr="t-004m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6398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1189</xdr:row>
      <xdr:rowOff>0</xdr:rowOff>
    </xdr:from>
    <xdr:to>
      <xdr:col>2</xdr:col>
      <xdr:colOff>0</xdr:colOff>
      <xdr:row>1190</xdr:row>
      <xdr:rowOff>0</xdr:rowOff>
    </xdr:to>
    <xdr:pic>
      <xdr:nvPicPr>
        <xdr:cNvPr id="1962" name="Picture 3143" descr="t-008m">
          <a:hlinkClick xmlns:r="http://schemas.openxmlformats.org/officeDocument/2006/relationships" r:id="rId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639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1190</xdr:row>
      <xdr:rowOff>0</xdr:rowOff>
    </xdr:from>
    <xdr:to>
      <xdr:col>2</xdr:col>
      <xdr:colOff>0</xdr:colOff>
      <xdr:row>1191</xdr:row>
      <xdr:rowOff>0</xdr:rowOff>
    </xdr:to>
    <xdr:pic>
      <xdr:nvPicPr>
        <xdr:cNvPr id="1963" name="Picture 3144" descr="t-008m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716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1191</xdr:row>
      <xdr:rowOff>0</xdr:rowOff>
    </xdr:from>
    <xdr:to>
      <xdr:col>2</xdr:col>
      <xdr:colOff>0</xdr:colOff>
      <xdr:row>1192</xdr:row>
      <xdr:rowOff>0</xdr:rowOff>
    </xdr:to>
    <xdr:pic>
      <xdr:nvPicPr>
        <xdr:cNvPr id="1964" name="Picture 3145" descr="t-011m">
          <a:hlinkClick xmlns:r="http://schemas.openxmlformats.org/officeDocument/2006/relationships" r:id="rId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792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1196</xdr:row>
      <xdr:rowOff>0</xdr:rowOff>
    </xdr:from>
    <xdr:to>
      <xdr:col>2</xdr:col>
      <xdr:colOff>0</xdr:colOff>
      <xdr:row>1197</xdr:row>
      <xdr:rowOff>0</xdr:rowOff>
    </xdr:to>
    <xdr:pic>
      <xdr:nvPicPr>
        <xdr:cNvPr id="1965" name="Picture 3146" descr="t-015m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097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1197</xdr:row>
      <xdr:rowOff>0</xdr:rowOff>
    </xdr:from>
    <xdr:to>
      <xdr:col>2</xdr:col>
      <xdr:colOff>0</xdr:colOff>
      <xdr:row>1198</xdr:row>
      <xdr:rowOff>0</xdr:rowOff>
    </xdr:to>
    <xdr:pic>
      <xdr:nvPicPr>
        <xdr:cNvPr id="1966" name="Picture 3147" descr="t-015m">
          <a:hlinkClick xmlns:r="http://schemas.openxmlformats.org/officeDocument/2006/relationships" r:id="rId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097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1198</xdr:row>
      <xdr:rowOff>0</xdr:rowOff>
    </xdr:from>
    <xdr:to>
      <xdr:col>2</xdr:col>
      <xdr:colOff>0</xdr:colOff>
      <xdr:row>1199</xdr:row>
      <xdr:rowOff>0</xdr:rowOff>
    </xdr:to>
    <xdr:pic>
      <xdr:nvPicPr>
        <xdr:cNvPr id="1967" name="Picture 3148" descr="t-015m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097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1200</xdr:row>
      <xdr:rowOff>0</xdr:rowOff>
    </xdr:from>
    <xdr:to>
      <xdr:col>2</xdr:col>
      <xdr:colOff>0</xdr:colOff>
      <xdr:row>1201</xdr:row>
      <xdr:rowOff>0</xdr:rowOff>
    </xdr:to>
    <xdr:pic>
      <xdr:nvPicPr>
        <xdr:cNvPr id="1968" name="Picture 3149" descr="t-020m">
          <a:hlinkClick xmlns:r="http://schemas.openxmlformats.org/officeDocument/2006/relationships" r:id="rId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173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1201</xdr:row>
      <xdr:rowOff>0</xdr:rowOff>
    </xdr:from>
    <xdr:to>
      <xdr:col>2</xdr:col>
      <xdr:colOff>0</xdr:colOff>
      <xdr:row>1202</xdr:row>
      <xdr:rowOff>0</xdr:rowOff>
    </xdr:to>
    <xdr:pic>
      <xdr:nvPicPr>
        <xdr:cNvPr id="1969" name="Picture 3150" descr="t-021m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249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1202</xdr:row>
      <xdr:rowOff>0</xdr:rowOff>
    </xdr:from>
    <xdr:to>
      <xdr:col>2</xdr:col>
      <xdr:colOff>0</xdr:colOff>
      <xdr:row>1203</xdr:row>
      <xdr:rowOff>0</xdr:rowOff>
    </xdr:to>
    <xdr:pic>
      <xdr:nvPicPr>
        <xdr:cNvPr id="1970" name="Picture 3151" descr="t-021m">
          <a:hlinkClick xmlns:r="http://schemas.openxmlformats.org/officeDocument/2006/relationships" r:id="rId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249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1203</xdr:row>
      <xdr:rowOff>0</xdr:rowOff>
    </xdr:from>
    <xdr:to>
      <xdr:col>2</xdr:col>
      <xdr:colOff>0</xdr:colOff>
      <xdr:row>1204</xdr:row>
      <xdr:rowOff>0</xdr:rowOff>
    </xdr:to>
    <xdr:pic>
      <xdr:nvPicPr>
        <xdr:cNvPr id="1971" name="Picture 3152" descr="t-021m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249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1206</xdr:row>
      <xdr:rowOff>0</xdr:rowOff>
    </xdr:from>
    <xdr:to>
      <xdr:col>2</xdr:col>
      <xdr:colOff>0</xdr:colOff>
      <xdr:row>1207</xdr:row>
      <xdr:rowOff>0</xdr:rowOff>
    </xdr:to>
    <xdr:pic>
      <xdr:nvPicPr>
        <xdr:cNvPr id="1972" name="Picture 3153" descr="t-023m">
          <a:hlinkClick xmlns:r="http://schemas.openxmlformats.org/officeDocument/2006/relationships" r:id="rId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401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1207</xdr:row>
      <xdr:rowOff>0</xdr:rowOff>
    </xdr:from>
    <xdr:to>
      <xdr:col>2</xdr:col>
      <xdr:colOff>0</xdr:colOff>
      <xdr:row>1208</xdr:row>
      <xdr:rowOff>0</xdr:rowOff>
    </xdr:to>
    <xdr:pic>
      <xdr:nvPicPr>
        <xdr:cNvPr id="1973" name="Picture 3154" descr="t-027m">
          <a:hlinkClick xmlns:r="http://schemas.openxmlformats.org/officeDocument/2006/relationships" r:id="rId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478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1209</xdr:row>
      <xdr:rowOff>0</xdr:rowOff>
    </xdr:from>
    <xdr:to>
      <xdr:col>2</xdr:col>
      <xdr:colOff>0</xdr:colOff>
      <xdr:row>1210</xdr:row>
      <xdr:rowOff>0</xdr:rowOff>
    </xdr:to>
    <xdr:pic>
      <xdr:nvPicPr>
        <xdr:cNvPr id="1974" name="Picture 3155" descr="t-030m">
          <a:hlinkClick xmlns:r="http://schemas.openxmlformats.org/officeDocument/2006/relationships" r:id="rId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630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1210</xdr:row>
      <xdr:rowOff>0</xdr:rowOff>
    </xdr:from>
    <xdr:to>
      <xdr:col>2</xdr:col>
      <xdr:colOff>0</xdr:colOff>
      <xdr:row>1211</xdr:row>
      <xdr:rowOff>0</xdr:rowOff>
    </xdr:to>
    <xdr:pic>
      <xdr:nvPicPr>
        <xdr:cNvPr id="1975" name="Picture 3156" descr="t-030m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706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1211</xdr:row>
      <xdr:rowOff>0</xdr:rowOff>
    </xdr:from>
    <xdr:to>
      <xdr:col>2</xdr:col>
      <xdr:colOff>0</xdr:colOff>
      <xdr:row>1212</xdr:row>
      <xdr:rowOff>0</xdr:rowOff>
    </xdr:to>
    <xdr:pic>
      <xdr:nvPicPr>
        <xdr:cNvPr id="1976" name="Picture 3157" descr="t-031m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782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1212</xdr:row>
      <xdr:rowOff>0</xdr:rowOff>
    </xdr:from>
    <xdr:to>
      <xdr:col>2</xdr:col>
      <xdr:colOff>0</xdr:colOff>
      <xdr:row>1213</xdr:row>
      <xdr:rowOff>0</xdr:rowOff>
    </xdr:to>
    <xdr:pic>
      <xdr:nvPicPr>
        <xdr:cNvPr id="1977" name="Picture 3158" descr="t-031m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859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1213</xdr:row>
      <xdr:rowOff>0</xdr:rowOff>
    </xdr:from>
    <xdr:to>
      <xdr:col>2</xdr:col>
      <xdr:colOff>0</xdr:colOff>
      <xdr:row>1214</xdr:row>
      <xdr:rowOff>0</xdr:rowOff>
    </xdr:to>
    <xdr:pic>
      <xdr:nvPicPr>
        <xdr:cNvPr id="1978" name="Picture 3159" descr="t-033m">
          <a:hlinkClick xmlns:r="http://schemas.openxmlformats.org/officeDocument/2006/relationships" r:id="rId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35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1214</xdr:row>
      <xdr:rowOff>0</xdr:rowOff>
    </xdr:from>
    <xdr:to>
      <xdr:col>2</xdr:col>
      <xdr:colOff>0</xdr:colOff>
      <xdr:row>1215</xdr:row>
      <xdr:rowOff>0</xdr:rowOff>
    </xdr:to>
    <xdr:pic>
      <xdr:nvPicPr>
        <xdr:cNvPr id="1979" name="Picture 3160" descr="t-033m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011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1216</xdr:row>
      <xdr:rowOff>0</xdr:rowOff>
    </xdr:from>
    <xdr:to>
      <xdr:col>2</xdr:col>
      <xdr:colOff>0</xdr:colOff>
      <xdr:row>1217</xdr:row>
      <xdr:rowOff>0</xdr:rowOff>
    </xdr:to>
    <xdr:pic>
      <xdr:nvPicPr>
        <xdr:cNvPr id="1980" name="Picture 3161" descr="t-036m">
          <a:hlinkClick xmlns:r="http://schemas.openxmlformats.org/officeDocument/2006/relationships" r:id="rId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1638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1217</xdr:row>
      <xdr:rowOff>0</xdr:rowOff>
    </xdr:from>
    <xdr:to>
      <xdr:col>2</xdr:col>
      <xdr:colOff>0</xdr:colOff>
      <xdr:row>1218</xdr:row>
      <xdr:rowOff>0</xdr:rowOff>
    </xdr:to>
    <xdr:pic>
      <xdr:nvPicPr>
        <xdr:cNvPr id="1981" name="Picture 3162" descr="t-036m">
          <a:hlinkClick xmlns:r="http://schemas.openxmlformats.org/officeDocument/2006/relationships" r:id="rId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163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1218</xdr:row>
      <xdr:rowOff>0</xdr:rowOff>
    </xdr:from>
    <xdr:to>
      <xdr:col>2</xdr:col>
      <xdr:colOff>0</xdr:colOff>
      <xdr:row>1219</xdr:row>
      <xdr:rowOff>0</xdr:rowOff>
    </xdr:to>
    <xdr:pic>
      <xdr:nvPicPr>
        <xdr:cNvPr id="1982" name="Picture 3163" descr="t-036sm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240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1219</xdr:row>
      <xdr:rowOff>0</xdr:rowOff>
    </xdr:from>
    <xdr:to>
      <xdr:col>2</xdr:col>
      <xdr:colOff>0</xdr:colOff>
      <xdr:row>1220</xdr:row>
      <xdr:rowOff>0</xdr:rowOff>
    </xdr:to>
    <xdr:pic>
      <xdr:nvPicPr>
        <xdr:cNvPr id="1983" name="Picture 3164" descr="t-037m">
          <a:hlinkClick xmlns:r="http://schemas.openxmlformats.org/officeDocument/2006/relationships" r:id="rId3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316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1220</xdr:row>
      <xdr:rowOff>0</xdr:rowOff>
    </xdr:from>
    <xdr:to>
      <xdr:col>2</xdr:col>
      <xdr:colOff>0</xdr:colOff>
      <xdr:row>1221</xdr:row>
      <xdr:rowOff>0</xdr:rowOff>
    </xdr:to>
    <xdr:pic>
      <xdr:nvPicPr>
        <xdr:cNvPr id="1984" name="Picture 3165" descr="t-037m">
          <a:hlinkClick xmlns:r="http://schemas.openxmlformats.org/officeDocument/2006/relationships" r:id="rId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392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1221</xdr:row>
      <xdr:rowOff>0</xdr:rowOff>
    </xdr:from>
    <xdr:to>
      <xdr:col>2</xdr:col>
      <xdr:colOff>0</xdr:colOff>
      <xdr:row>1222</xdr:row>
      <xdr:rowOff>0</xdr:rowOff>
    </xdr:to>
    <xdr:pic>
      <xdr:nvPicPr>
        <xdr:cNvPr id="1985" name="Picture 3166" descr="t-038m">
          <a:hlinkClick xmlns:r="http://schemas.openxmlformats.org/officeDocument/2006/relationships" r:id="rId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468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1222</xdr:row>
      <xdr:rowOff>0</xdr:rowOff>
    </xdr:from>
    <xdr:to>
      <xdr:col>2</xdr:col>
      <xdr:colOff>0</xdr:colOff>
      <xdr:row>1223</xdr:row>
      <xdr:rowOff>0</xdr:rowOff>
    </xdr:to>
    <xdr:pic>
      <xdr:nvPicPr>
        <xdr:cNvPr id="1986" name="Picture 3167" descr="t-038m">
          <a:hlinkClick xmlns:r="http://schemas.openxmlformats.org/officeDocument/2006/relationships" r:id="rId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5448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1224</xdr:row>
      <xdr:rowOff>0</xdr:rowOff>
    </xdr:from>
    <xdr:to>
      <xdr:col>2</xdr:col>
      <xdr:colOff>0</xdr:colOff>
      <xdr:row>1225</xdr:row>
      <xdr:rowOff>0</xdr:rowOff>
    </xdr:to>
    <xdr:pic>
      <xdr:nvPicPr>
        <xdr:cNvPr id="1987" name="Picture 3168" descr="t-040m">
          <a:hlinkClick xmlns:r="http://schemas.openxmlformats.org/officeDocument/2006/relationships" r:id="rId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621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1225</xdr:row>
      <xdr:rowOff>0</xdr:rowOff>
    </xdr:from>
    <xdr:to>
      <xdr:col>2</xdr:col>
      <xdr:colOff>0</xdr:colOff>
      <xdr:row>1226</xdr:row>
      <xdr:rowOff>0</xdr:rowOff>
    </xdr:to>
    <xdr:pic>
      <xdr:nvPicPr>
        <xdr:cNvPr id="1988" name="Picture 3169" descr="t-040m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697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1226</xdr:row>
      <xdr:rowOff>0</xdr:rowOff>
    </xdr:from>
    <xdr:to>
      <xdr:col>2</xdr:col>
      <xdr:colOff>0</xdr:colOff>
      <xdr:row>1227</xdr:row>
      <xdr:rowOff>0</xdr:rowOff>
    </xdr:to>
    <xdr:pic>
      <xdr:nvPicPr>
        <xdr:cNvPr id="1989" name="Picture 3170" descr="t-041m">
          <a:hlinkClick xmlns:r="http://schemas.openxmlformats.org/officeDocument/2006/relationships" r:id="rId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773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1227</xdr:row>
      <xdr:rowOff>0</xdr:rowOff>
    </xdr:from>
    <xdr:to>
      <xdr:col>2</xdr:col>
      <xdr:colOff>0</xdr:colOff>
      <xdr:row>1228</xdr:row>
      <xdr:rowOff>0</xdr:rowOff>
    </xdr:to>
    <xdr:pic>
      <xdr:nvPicPr>
        <xdr:cNvPr id="1990" name="Picture 3171" descr="t-041m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773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1228</xdr:row>
      <xdr:rowOff>0</xdr:rowOff>
    </xdr:from>
    <xdr:to>
      <xdr:col>2</xdr:col>
      <xdr:colOff>0</xdr:colOff>
      <xdr:row>1229</xdr:row>
      <xdr:rowOff>0</xdr:rowOff>
    </xdr:to>
    <xdr:pic>
      <xdr:nvPicPr>
        <xdr:cNvPr id="1992" name="Picture 3172" descr="t-042m">
          <a:hlinkClick xmlns:r="http://schemas.openxmlformats.org/officeDocument/2006/relationships" r:id="rId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773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1229</xdr:row>
      <xdr:rowOff>0</xdr:rowOff>
    </xdr:from>
    <xdr:to>
      <xdr:col>2</xdr:col>
      <xdr:colOff>0</xdr:colOff>
      <xdr:row>1230</xdr:row>
      <xdr:rowOff>0</xdr:rowOff>
    </xdr:to>
    <xdr:pic>
      <xdr:nvPicPr>
        <xdr:cNvPr id="1993" name="Picture 3173" descr="t-042m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849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1230</xdr:row>
      <xdr:rowOff>0</xdr:rowOff>
    </xdr:from>
    <xdr:to>
      <xdr:col>2</xdr:col>
      <xdr:colOff>0</xdr:colOff>
      <xdr:row>1231</xdr:row>
      <xdr:rowOff>0</xdr:rowOff>
    </xdr:to>
    <xdr:pic>
      <xdr:nvPicPr>
        <xdr:cNvPr id="1994" name="Picture 3174" descr="t-043m">
          <a:hlinkClick xmlns:r="http://schemas.openxmlformats.org/officeDocument/2006/relationships" r:id="rId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9258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1231</xdr:row>
      <xdr:rowOff>0</xdr:rowOff>
    </xdr:from>
    <xdr:to>
      <xdr:col>2</xdr:col>
      <xdr:colOff>0</xdr:colOff>
      <xdr:row>1232</xdr:row>
      <xdr:rowOff>0</xdr:rowOff>
    </xdr:to>
    <xdr:pic>
      <xdr:nvPicPr>
        <xdr:cNvPr id="1995" name="Picture 3175" descr="t-043m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925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1232</xdr:row>
      <xdr:rowOff>0</xdr:rowOff>
    </xdr:from>
    <xdr:to>
      <xdr:col>2</xdr:col>
      <xdr:colOff>0</xdr:colOff>
      <xdr:row>1233</xdr:row>
      <xdr:rowOff>0</xdr:rowOff>
    </xdr:to>
    <xdr:pic>
      <xdr:nvPicPr>
        <xdr:cNvPr id="1996" name="Picture 3176" descr="t-044m">
          <a:hlinkClick xmlns:r="http://schemas.openxmlformats.org/officeDocument/2006/relationships" r:id="rId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002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1233</xdr:row>
      <xdr:rowOff>0</xdr:rowOff>
    </xdr:from>
    <xdr:to>
      <xdr:col>2</xdr:col>
      <xdr:colOff>0</xdr:colOff>
      <xdr:row>1234</xdr:row>
      <xdr:rowOff>0</xdr:rowOff>
    </xdr:to>
    <xdr:pic>
      <xdr:nvPicPr>
        <xdr:cNvPr id="1997" name="Picture 3177" descr="t-044m">
          <a:hlinkClick xmlns:r="http://schemas.openxmlformats.org/officeDocument/2006/relationships" r:id="rId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078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1234</xdr:row>
      <xdr:rowOff>0</xdr:rowOff>
    </xdr:from>
    <xdr:to>
      <xdr:col>2</xdr:col>
      <xdr:colOff>0</xdr:colOff>
      <xdr:row>1235</xdr:row>
      <xdr:rowOff>0</xdr:rowOff>
    </xdr:to>
    <xdr:pic>
      <xdr:nvPicPr>
        <xdr:cNvPr id="1998" name="Picture 3178" descr="t-045m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154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1235</xdr:row>
      <xdr:rowOff>0</xdr:rowOff>
    </xdr:from>
    <xdr:to>
      <xdr:col>2</xdr:col>
      <xdr:colOff>0</xdr:colOff>
      <xdr:row>1236</xdr:row>
      <xdr:rowOff>0</xdr:rowOff>
    </xdr:to>
    <xdr:pic>
      <xdr:nvPicPr>
        <xdr:cNvPr id="1999" name="Picture 3179" descr="t-046m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230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1236</xdr:row>
      <xdr:rowOff>0</xdr:rowOff>
    </xdr:from>
    <xdr:to>
      <xdr:col>2</xdr:col>
      <xdr:colOff>0</xdr:colOff>
      <xdr:row>1237</xdr:row>
      <xdr:rowOff>0</xdr:rowOff>
    </xdr:to>
    <xdr:pic>
      <xdr:nvPicPr>
        <xdr:cNvPr id="2000" name="Picture 3180" descr="t-046m">
          <a:hlinkClick xmlns:r="http://schemas.openxmlformats.org/officeDocument/2006/relationships" r:id="rId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306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1303</xdr:row>
      <xdr:rowOff>0</xdr:rowOff>
    </xdr:from>
    <xdr:to>
      <xdr:col>2</xdr:col>
      <xdr:colOff>0</xdr:colOff>
      <xdr:row>1304</xdr:row>
      <xdr:rowOff>0</xdr:rowOff>
    </xdr:to>
    <xdr:pic>
      <xdr:nvPicPr>
        <xdr:cNvPr id="2001" name="Picture 3181" descr="t-011m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574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1304</xdr:row>
      <xdr:rowOff>0</xdr:rowOff>
    </xdr:from>
    <xdr:to>
      <xdr:col>2</xdr:col>
      <xdr:colOff>0</xdr:colOff>
      <xdr:row>1305</xdr:row>
      <xdr:rowOff>0</xdr:rowOff>
    </xdr:to>
    <xdr:pic>
      <xdr:nvPicPr>
        <xdr:cNvPr id="2002" name="Picture 3182" descr="t-011m">
          <a:hlinkClick xmlns:r="http://schemas.openxmlformats.org/officeDocument/2006/relationships" r:id="rId3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50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1153</xdr:row>
      <xdr:rowOff>0</xdr:rowOff>
    </xdr:from>
    <xdr:to>
      <xdr:col>2</xdr:col>
      <xdr:colOff>0</xdr:colOff>
      <xdr:row>1154</xdr:row>
      <xdr:rowOff>0</xdr:rowOff>
    </xdr:to>
    <xdr:pic>
      <xdr:nvPicPr>
        <xdr:cNvPr id="2003" name="Picture 3183" descr="t-013m">
          <a:hlinkClick xmlns:r="http://schemas.openxmlformats.org/officeDocument/2006/relationships" r:id="rId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63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1154</xdr:row>
      <xdr:rowOff>0</xdr:rowOff>
    </xdr:from>
    <xdr:to>
      <xdr:col>2</xdr:col>
      <xdr:colOff>0</xdr:colOff>
      <xdr:row>1155</xdr:row>
      <xdr:rowOff>0</xdr:rowOff>
    </xdr:to>
    <xdr:pic>
      <xdr:nvPicPr>
        <xdr:cNvPr id="2004" name="Picture 3184" descr="t-013lm">
          <a:hlinkClick xmlns:r="http://schemas.openxmlformats.org/officeDocument/2006/relationships" r:id="rId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039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1223</xdr:row>
      <xdr:rowOff>0</xdr:rowOff>
    </xdr:from>
    <xdr:to>
      <xdr:col>2</xdr:col>
      <xdr:colOff>0</xdr:colOff>
      <xdr:row>1224</xdr:row>
      <xdr:rowOff>0</xdr:rowOff>
    </xdr:to>
    <xdr:pic>
      <xdr:nvPicPr>
        <xdr:cNvPr id="2005" name="Picture 3185" descr="t-039m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544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1239</xdr:row>
      <xdr:rowOff>0</xdr:rowOff>
    </xdr:from>
    <xdr:to>
      <xdr:col>2</xdr:col>
      <xdr:colOff>0</xdr:colOff>
      <xdr:row>1240</xdr:row>
      <xdr:rowOff>0</xdr:rowOff>
    </xdr:to>
    <xdr:pic>
      <xdr:nvPicPr>
        <xdr:cNvPr id="2006" name="Picture 3186" descr="t-048m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59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1240</xdr:row>
      <xdr:rowOff>0</xdr:rowOff>
    </xdr:from>
    <xdr:to>
      <xdr:col>2</xdr:col>
      <xdr:colOff>0</xdr:colOff>
      <xdr:row>1241</xdr:row>
      <xdr:rowOff>0</xdr:rowOff>
    </xdr:to>
    <xdr:pic>
      <xdr:nvPicPr>
        <xdr:cNvPr id="2007" name="Picture 3187" descr="t-048lm">
          <a:hlinkClick xmlns:r="http://schemas.openxmlformats.org/officeDocument/2006/relationships" r:id="rId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59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1134</xdr:row>
      <xdr:rowOff>0</xdr:rowOff>
    </xdr:from>
    <xdr:to>
      <xdr:col>2</xdr:col>
      <xdr:colOff>0</xdr:colOff>
      <xdr:row>1135</xdr:row>
      <xdr:rowOff>0</xdr:rowOff>
    </xdr:to>
    <xdr:pic>
      <xdr:nvPicPr>
        <xdr:cNvPr id="2008" name="Picture 3188" descr="t-048m">
          <a:hlinkClick xmlns:r="http://schemas.openxmlformats.org/officeDocument/2006/relationships" r:id="rId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972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1135</xdr:row>
      <xdr:rowOff>0</xdr:rowOff>
    </xdr:from>
    <xdr:to>
      <xdr:col>2</xdr:col>
      <xdr:colOff>0</xdr:colOff>
      <xdr:row>1136</xdr:row>
      <xdr:rowOff>0</xdr:rowOff>
    </xdr:to>
    <xdr:pic>
      <xdr:nvPicPr>
        <xdr:cNvPr id="2009" name="Picture 3189" descr="t-048lm">
          <a:hlinkClick xmlns:r="http://schemas.openxmlformats.org/officeDocument/2006/relationships" r:id="rId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049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1237</xdr:row>
      <xdr:rowOff>0</xdr:rowOff>
    </xdr:from>
    <xdr:to>
      <xdr:col>2</xdr:col>
      <xdr:colOff>0</xdr:colOff>
      <xdr:row>1238</xdr:row>
      <xdr:rowOff>0</xdr:rowOff>
    </xdr:to>
    <xdr:pic>
      <xdr:nvPicPr>
        <xdr:cNvPr id="2010" name="Picture 3190" descr="t-047m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383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1238</xdr:row>
      <xdr:rowOff>0</xdr:rowOff>
    </xdr:from>
    <xdr:to>
      <xdr:col>2</xdr:col>
      <xdr:colOff>0</xdr:colOff>
      <xdr:row>1239</xdr:row>
      <xdr:rowOff>0</xdr:rowOff>
    </xdr:to>
    <xdr:pic>
      <xdr:nvPicPr>
        <xdr:cNvPr id="2011" name="Picture 3191" descr="t-047m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59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470</xdr:row>
      <xdr:rowOff>0</xdr:rowOff>
    </xdr:from>
    <xdr:to>
      <xdr:col>2</xdr:col>
      <xdr:colOff>0</xdr:colOff>
      <xdr:row>471</xdr:row>
      <xdr:rowOff>0</xdr:rowOff>
    </xdr:to>
    <xdr:pic>
      <xdr:nvPicPr>
        <xdr:cNvPr id="2012" name="Picture 3192" descr="28-427-1m">
          <a:hlinkClick xmlns:r="http://schemas.openxmlformats.org/officeDocument/2006/relationships" r:id="rId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14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655</xdr:row>
      <xdr:rowOff>0</xdr:rowOff>
    </xdr:from>
    <xdr:to>
      <xdr:col>2</xdr:col>
      <xdr:colOff>0</xdr:colOff>
      <xdr:row>656</xdr:row>
      <xdr:rowOff>0</xdr:rowOff>
    </xdr:to>
    <xdr:pic>
      <xdr:nvPicPr>
        <xdr:cNvPr id="2013" name="Picture 3193" descr="36-8505m">
          <a:hlinkClick xmlns:r="http://schemas.openxmlformats.org/officeDocument/2006/relationships" r:id="rId4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776</xdr:row>
      <xdr:rowOff>0</xdr:rowOff>
    </xdr:from>
    <xdr:to>
      <xdr:col>2</xdr:col>
      <xdr:colOff>0</xdr:colOff>
      <xdr:row>777</xdr:row>
      <xdr:rowOff>0</xdr:rowOff>
    </xdr:to>
    <xdr:pic>
      <xdr:nvPicPr>
        <xdr:cNvPr id="2014" name="Picture 3194" descr="54-927m">
          <a:hlinkClick xmlns:r="http://schemas.openxmlformats.org/officeDocument/2006/relationships" r:id="rId4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248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491</xdr:row>
      <xdr:rowOff>0</xdr:rowOff>
    </xdr:from>
    <xdr:to>
      <xdr:col>2</xdr:col>
      <xdr:colOff>0</xdr:colOff>
      <xdr:row>492</xdr:row>
      <xdr:rowOff>0</xdr:rowOff>
    </xdr:to>
    <xdr:pic>
      <xdr:nvPicPr>
        <xdr:cNvPr id="2015" name="Picture 21376" descr="14-1509m">
          <a:hlinkClick xmlns:r="http://schemas.openxmlformats.org/officeDocument/2006/relationships" r:id="rId4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690</xdr:row>
      <xdr:rowOff>0</xdr:rowOff>
    </xdr:from>
    <xdr:to>
      <xdr:col>2</xdr:col>
      <xdr:colOff>0</xdr:colOff>
      <xdr:row>691</xdr:row>
      <xdr:rowOff>0</xdr:rowOff>
    </xdr:to>
    <xdr:pic>
      <xdr:nvPicPr>
        <xdr:cNvPr id="2016" name="Picture 3196" descr="30-190m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479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2017" name="Picture 3197" descr="30-190m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276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2018" name="Picture 3198" descr="14-190m">
          <a:hlinkClick xmlns:r="http://schemas.openxmlformats.org/officeDocument/2006/relationships" r:id="rId4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696</xdr:row>
      <xdr:rowOff>0</xdr:rowOff>
    </xdr:from>
    <xdr:to>
      <xdr:col>2</xdr:col>
      <xdr:colOff>0</xdr:colOff>
      <xdr:row>697</xdr:row>
      <xdr:rowOff>0</xdr:rowOff>
    </xdr:to>
    <xdr:pic>
      <xdr:nvPicPr>
        <xdr:cNvPr id="2019" name="Picture 3199" descr="42-927m">
          <a:hlinkClick xmlns:r="http://schemas.openxmlformats.org/officeDocument/2006/relationships" r:id="rId4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784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859</xdr:row>
      <xdr:rowOff>0</xdr:rowOff>
    </xdr:from>
    <xdr:to>
      <xdr:col>2</xdr:col>
      <xdr:colOff>0</xdr:colOff>
      <xdr:row>860</xdr:row>
      <xdr:rowOff>0</xdr:rowOff>
    </xdr:to>
    <xdr:pic>
      <xdr:nvPicPr>
        <xdr:cNvPr id="2020" name="Picture 3200" descr="82-8516m">
          <a:hlinkClick xmlns:r="http://schemas.openxmlformats.org/officeDocument/2006/relationships" r:id="rId4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20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441</xdr:row>
      <xdr:rowOff>0</xdr:rowOff>
    </xdr:from>
    <xdr:to>
      <xdr:col>2</xdr:col>
      <xdr:colOff>9525</xdr:colOff>
      <xdr:row>442</xdr:row>
      <xdr:rowOff>0</xdr:rowOff>
    </xdr:to>
    <xdr:pic>
      <xdr:nvPicPr>
        <xdr:cNvPr id="2021" name="Picture 3201" descr="14-136m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5519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520</xdr:row>
      <xdr:rowOff>0</xdr:rowOff>
    </xdr:to>
    <xdr:pic>
      <xdr:nvPicPr>
        <xdr:cNvPr id="2022" name="Picture 3202" descr="34-1519m">
          <a:hlinkClick xmlns:r="http://schemas.openxmlformats.org/officeDocument/2006/relationships" r:id="rId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521</xdr:row>
      <xdr:rowOff>0</xdr:rowOff>
    </xdr:to>
    <xdr:pic>
      <xdr:nvPicPr>
        <xdr:cNvPr id="2023" name="Picture 3203" descr="34-1520m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532</xdr:row>
      <xdr:rowOff>0</xdr:rowOff>
    </xdr:from>
    <xdr:to>
      <xdr:col>2</xdr:col>
      <xdr:colOff>0</xdr:colOff>
      <xdr:row>533</xdr:row>
      <xdr:rowOff>0</xdr:rowOff>
    </xdr:to>
    <xdr:pic>
      <xdr:nvPicPr>
        <xdr:cNvPr id="2024" name="Picture 3204" descr="34-190m">
          <a:hlinkClick xmlns:r="http://schemas.openxmlformats.org/officeDocument/2006/relationships" r:id="rId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427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760</xdr:row>
      <xdr:rowOff>0</xdr:rowOff>
    </xdr:from>
    <xdr:to>
      <xdr:col>2</xdr:col>
      <xdr:colOff>0</xdr:colOff>
      <xdr:row>761</xdr:row>
      <xdr:rowOff>0</xdr:rowOff>
    </xdr:to>
    <xdr:pic>
      <xdr:nvPicPr>
        <xdr:cNvPr id="2025" name="Picture 3205" descr="52-1518m">
          <a:hlinkClick xmlns:r="http://schemas.openxmlformats.org/officeDocument/2006/relationships" r:id="rId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19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026" name="Picture 3206" descr="14-144m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34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304</xdr:row>
      <xdr:rowOff>0</xdr:rowOff>
    </xdr:to>
    <xdr:pic>
      <xdr:nvPicPr>
        <xdr:cNvPr id="2027" name="Picture 3207" descr="14-1520m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456</xdr:row>
      <xdr:rowOff>0</xdr:rowOff>
    </xdr:from>
    <xdr:to>
      <xdr:col>2</xdr:col>
      <xdr:colOff>0</xdr:colOff>
      <xdr:row>457</xdr:row>
      <xdr:rowOff>0</xdr:rowOff>
    </xdr:to>
    <xdr:pic>
      <xdr:nvPicPr>
        <xdr:cNvPr id="2028" name="Picture 3208" descr="24-1520m">
          <a:hlinkClick xmlns:r="http://schemas.openxmlformats.org/officeDocument/2006/relationships" r:id="rId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362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304</xdr:row>
      <xdr:rowOff>0</xdr:rowOff>
    </xdr:to>
    <xdr:pic>
      <xdr:nvPicPr>
        <xdr:cNvPr id="2029" name="Picture 3209" descr="14-1519m">
          <a:hlinkClick xmlns:r="http://schemas.openxmlformats.org/officeDocument/2006/relationships" r:id="rId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445</xdr:row>
      <xdr:rowOff>0</xdr:rowOff>
    </xdr:from>
    <xdr:to>
      <xdr:col>2</xdr:col>
      <xdr:colOff>0</xdr:colOff>
      <xdr:row>446</xdr:row>
      <xdr:rowOff>0</xdr:rowOff>
    </xdr:to>
    <xdr:pic>
      <xdr:nvPicPr>
        <xdr:cNvPr id="2030" name="Picture 3210" descr="22-1519m">
          <a:hlinkClick xmlns:r="http://schemas.openxmlformats.org/officeDocument/2006/relationships" r:id="rId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780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2031" name="Picture 3211" descr="34-144m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493</xdr:row>
      <xdr:rowOff>0</xdr:rowOff>
    </xdr:from>
    <xdr:to>
      <xdr:col>2</xdr:col>
      <xdr:colOff>0</xdr:colOff>
      <xdr:row>494</xdr:row>
      <xdr:rowOff>0</xdr:rowOff>
    </xdr:to>
    <xdr:pic>
      <xdr:nvPicPr>
        <xdr:cNvPr id="2032" name="Picture 3212" descr="30-1520m">
          <a:hlinkClick xmlns:r="http://schemas.openxmlformats.org/officeDocument/2006/relationships" r:id="rId4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412</xdr:row>
      <xdr:rowOff>0</xdr:rowOff>
    </xdr:from>
    <xdr:to>
      <xdr:col>2</xdr:col>
      <xdr:colOff>0</xdr:colOff>
      <xdr:row>413</xdr:row>
      <xdr:rowOff>0</xdr:rowOff>
    </xdr:to>
    <xdr:pic>
      <xdr:nvPicPr>
        <xdr:cNvPr id="2033" name="Picture 21413" descr="14-9506m">
          <a:hlinkClick xmlns:r="http://schemas.openxmlformats.org/officeDocument/2006/relationships" r:id="rId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13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426</xdr:row>
      <xdr:rowOff>0</xdr:rowOff>
    </xdr:to>
    <xdr:pic>
      <xdr:nvPicPr>
        <xdr:cNvPr id="2034" name="Picture 3214" descr="16-5512m">
          <a:hlinkClick xmlns:r="http://schemas.openxmlformats.org/officeDocument/2006/relationships" r:id="rId4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42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941</xdr:row>
      <xdr:rowOff>0</xdr:rowOff>
    </xdr:from>
    <xdr:to>
      <xdr:col>2</xdr:col>
      <xdr:colOff>9525</xdr:colOff>
      <xdr:row>942</xdr:row>
      <xdr:rowOff>0</xdr:rowOff>
    </xdr:to>
    <xdr:pic>
      <xdr:nvPicPr>
        <xdr:cNvPr id="2035" name="Picture 3215" descr="U-100m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7606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812</xdr:row>
      <xdr:rowOff>0</xdr:rowOff>
    </xdr:from>
    <xdr:to>
      <xdr:col>2</xdr:col>
      <xdr:colOff>0</xdr:colOff>
      <xdr:row>813</xdr:row>
      <xdr:rowOff>0</xdr:rowOff>
    </xdr:to>
    <xdr:pic>
      <xdr:nvPicPr>
        <xdr:cNvPr id="2036" name="Picture 4137" descr="77-en-138m">
          <a:hlinkClick xmlns:r="http://schemas.openxmlformats.org/officeDocument/2006/relationships" r:id="rId456"/>
        </xdr:cNvPr>
        <xdr:cNvPicPr>
          <a:picLocks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543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438</xdr:row>
      <xdr:rowOff>0</xdr:rowOff>
    </xdr:from>
    <xdr:to>
      <xdr:col>2</xdr:col>
      <xdr:colOff>0</xdr:colOff>
      <xdr:row>439</xdr:row>
      <xdr:rowOff>0</xdr:rowOff>
    </xdr:to>
    <xdr:pic>
      <xdr:nvPicPr>
        <xdr:cNvPr id="2037" name="Picture 3218" descr="22-121m">
          <a:hlinkClick xmlns:r="http://schemas.openxmlformats.org/officeDocument/2006/relationships" r:id="rId4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475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520</xdr:row>
      <xdr:rowOff>0</xdr:rowOff>
    </xdr:to>
    <xdr:pic>
      <xdr:nvPicPr>
        <xdr:cNvPr id="2038" name="Picture 3219" descr="34-1518m">
          <a:hlinkClick xmlns:r="http://schemas.openxmlformats.org/officeDocument/2006/relationships" r:id="rId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765</xdr:row>
      <xdr:rowOff>0</xdr:rowOff>
    </xdr:from>
    <xdr:to>
      <xdr:col>2</xdr:col>
      <xdr:colOff>0</xdr:colOff>
      <xdr:row>766</xdr:row>
      <xdr:rowOff>0</xdr:rowOff>
    </xdr:to>
    <xdr:pic>
      <xdr:nvPicPr>
        <xdr:cNvPr id="2039" name="Picture 3220" descr="52-5522m">
          <a:hlinkClick xmlns:r="http://schemas.openxmlformats.org/officeDocument/2006/relationships" r:id="rId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604</xdr:row>
      <xdr:rowOff>0</xdr:rowOff>
    </xdr:from>
    <xdr:to>
      <xdr:col>2</xdr:col>
      <xdr:colOff>0</xdr:colOff>
      <xdr:row>605</xdr:row>
      <xdr:rowOff>0</xdr:rowOff>
    </xdr:to>
    <xdr:pic>
      <xdr:nvPicPr>
        <xdr:cNvPr id="2040" name="Picture 3221" descr="34-9525m">
          <a:hlinkClick xmlns:r="http://schemas.openxmlformats.org/officeDocument/2006/relationships" r:id="rId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569</xdr:row>
      <xdr:rowOff>0</xdr:rowOff>
    </xdr:from>
    <xdr:to>
      <xdr:col>2</xdr:col>
      <xdr:colOff>0</xdr:colOff>
      <xdr:row>569</xdr:row>
      <xdr:rowOff>752475</xdr:rowOff>
    </xdr:to>
    <xdr:pic>
      <xdr:nvPicPr>
        <xdr:cNvPr id="2041" name="Picture 3222" descr="34-5522m">
          <a:hlinkClick xmlns:r="http://schemas.openxmlformats.org/officeDocument/2006/relationships" r:id="rId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2042" name="Picture 3223" descr="34-1522m">
          <a:hlinkClick xmlns:r="http://schemas.openxmlformats.org/officeDocument/2006/relationships" r:id="rId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467</xdr:row>
      <xdr:rowOff>0</xdr:rowOff>
    </xdr:from>
    <xdr:to>
      <xdr:col>2</xdr:col>
      <xdr:colOff>0</xdr:colOff>
      <xdr:row>468</xdr:row>
      <xdr:rowOff>0</xdr:rowOff>
    </xdr:to>
    <xdr:pic>
      <xdr:nvPicPr>
        <xdr:cNvPr id="2043" name="Picture 3225" descr="28-409m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14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2044" name="Picture 3226" descr="14-116m">
          <a:hlinkClick xmlns:r="http://schemas.openxmlformats.org/officeDocument/2006/relationships" r:id="rId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500</xdr:row>
      <xdr:rowOff>0</xdr:rowOff>
    </xdr:from>
    <xdr:to>
      <xdr:col>2</xdr:col>
      <xdr:colOff>0</xdr:colOff>
      <xdr:row>501</xdr:row>
      <xdr:rowOff>0</xdr:rowOff>
    </xdr:to>
    <xdr:pic>
      <xdr:nvPicPr>
        <xdr:cNvPr id="2045" name="Picture 3227" descr="30-5521m">
          <a:hlinkClick xmlns:r="http://schemas.openxmlformats.org/officeDocument/2006/relationships" r:id="rId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531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2046" name="Picture 3228" descr="38-8925m">
          <a:hlinkClick xmlns:r="http://schemas.openxmlformats.org/officeDocument/2006/relationships" r:id="rId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22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2047" name="Picture 3231" descr="34-1524m">
          <a:hlinkClick xmlns:r="http://schemas.openxmlformats.org/officeDocument/2006/relationships" r:id="rId4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633</xdr:row>
      <xdr:rowOff>0</xdr:rowOff>
    </xdr:from>
    <xdr:to>
      <xdr:col>2</xdr:col>
      <xdr:colOff>0</xdr:colOff>
      <xdr:row>634</xdr:row>
      <xdr:rowOff>0</xdr:rowOff>
    </xdr:to>
    <xdr:pic>
      <xdr:nvPicPr>
        <xdr:cNvPr id="2048" name="Picture 3232" descr="36-1525m">
          <a:hlinkClick xmlns:r="http://schemas.openxmlformats.org/officeDocument/2006/relationships" r:id="rId4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507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595</xdr:row>
      <xdr:rowOff>0</xdr:rowOff>
    </xdr:from>
    <xdr:to>
      <xdr:col>2</xdr:col>
      <xdr:colOff>0</xdr:colOff>
      <xdr:row>596</xdr:row>
      <xdr:rowOff>0</xdr:rowOff>
    </xdr:to>
    <xdr:pic>
      <xdr:nvPicPr>
        <xdr:cNvPr id="2049" name="Picture 3233" descr="34-8524m">
          <a:hlinkClick xmlns:r="http://schemas.openxmlformats.org/officeDocument/2006/relationships" r:id="rId4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6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050" name="Picture 3236" descr="14-1525m">
          <a:hlinkClick xmlns:r="http://schemas.openxmlformats.org/officeDocument/2006/relationships" r:id="rId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414</xdr:row>
      <xdr:rowOff>0</xdr:rowOff>
    </xdr:from>
    <xdr:to>
      <xdr:col>2</xdr:col>
      <xdr:colOff>0</xdr:colOff>
      <xdr:row>415</xdr:row>
      <xdr:rowOff>0</xdr:rowOff>
    </xdr:to>
    <xdr:pic>
      <xdr:nvPicPr>
        <xdr:cNvPr id="2051" name="Picture 3237" descr="14-9525m">
          <a:hlinkClick xmlns:r="http://schemas.openxmlformats.org/officeDocument/2006/relationships" r:id="rId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13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2" name="Picture 3238" descr="D-470-02m">
          <a:hlinkClick xmlns:r="http://schemas.openxmlformats.org/officeDocument/2006/relationships" r:id="rId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3" name="Picture 3239" descr="D-470-05m">
          <a:hlinkClick xmlns:r="http://schemas.openxmlformats.org/officeDocument/2006/relationships" r:id="rId4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4" name="Picture 3240" descr="D-470-11m">
          <a:hlinkClick xmlns:r="http://schemas.openxmlformats.org/officeDocument/2006/relationships" r:id="rId4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5" name="Picture 3241" descr="D-470-30m">
          <a:hlinkClick xmlns:r="http://schemas.openxmlformats.org/officeDocument/2006/relationships" r:id="rId4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6" name="Picture 3242" descr="D-471-01m">
          <a:hlinkClick xmlns:r="http://schemas.openxmlformats.org/officeDocument/2006/relationships" r:id="rId4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7" name="Picture 3243" descr="D-471-02m">
          <a:hlinkClick xmlns:r="http://schemas.openxmlformats.org/officeDocument/2006/relationships" r:id="rId4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8" name="Picture 3244" descr="D-471-02m">
          <a:hlinkClick xmlns:r="http://schemas.openxmlformats.org/officeDocument/2006/relationships" r:id="rId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59" name="Picture 3245" descr="D-472-02m">
          <a:hlinkClick xmlns:r="http://schemas.openxmlformats.org/officeDocument/2006/relationships" r:id="rId5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60" name="Picture 3246" descr="D-472-0501m">
          <a:hlinkClick xmlns:r="http://schemas.openxmlformats.org/officeDocument/2006/relationships" r:id="rId5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61" name="Picture 3247" descr="D-474-01m">
          <a:hlinkClick xmlns:r="http://schemas.openxmlformats.org/officeDocument/2006/relationships" r:id="rId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1241</xdr:row>
      <xdr:rowOff>0</xdr:rowOff>
    </xdr:from>
    <xdr:to>
      <xdr:col>2</xdr:col>
      <xdr:colOff>0</xdr:colOff>
      <xdr:row>1242</xdr:row>
      <xdr:rowOff>0</xdr:rowOff>
    </xdr:to>
    <xdr:pic>
      <xdr:nvPicPr>
        <xdr:cNvPr id="2062" name="Picture 3248" descr="T-TS-049m">
          <a:hlinkClick xmlns:r="http://schemas.openxmlformats.org/officeDocument/2006/relationships" r:id="rId5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59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1242</xdr:row>
      <xdr:rowOff>0</xdr:rowOff>
    </xdr:from>
    <xdr:to>
      <xdr:col>2</xdr:col>
      <xdr:colOff>0</xdr:colOff>
      <xdr:row>1243</xdr:row>
      <xdr:rowOff>0</xdr:rowOff>
    </xdr:to>
    <xdr:pic>
      <xdr:nvPicPr>
        <xdr:cNvPr id="2063" name="Picture 3249" descr="T-TS-049-Im">
          <a:hlinkClick xmlns:r="http://schemas.openxmlformats.org/officeDocument/2006/relationships" r:id="rId5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59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1243</xdr:row>
      <xdr:rowOff>0</xdr:rowOff>
    </xdr:from>
    <xdr:to>
      <xdr:col>2</xdr:col>
      <xdr:colOff>0</xdr:colOff>
      <xdr:row>1244</xdr:row>
      <xdr:rowOff>0</xdr:rowOff>
    </xdr:to>
    <xdr:pic>
      <xdr:nvPicPr>
        <xdr:cNvPr id="2064" name="Picture 3250" descr="T-TS-049m">
          <a:hlinkClick xmlns:r="http://schemas.openxmlformats.org/officeDocument/2006/relationships" r:id="rId5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535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595</xdr:row>
      <xdr:rowOff>0</xdr:rowOff>
    </xdr:to>
    <xdr:pic>
      <xdr:nvPicPr>
        <xdr:cNvPr id="2065" name="Picture 3251" descr="34-843m">
          <a:hlinkClick xmlns:r="http://schemas.openxmlformats.org/officeDocument/2006/relationships" r:id="rId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6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472</xdr:row>
      <xdr:rowOff>0</xdr:rowOff>
    </xdr:to>
    <xdr:pic>
      <xdr:nvPicPr>
        <xdr:cNvPr id="2066" name="Picture 3252" descr="28-598m">
          <a:hlinkClick xmlns:r="http://schemas.openxmlformats.org/officeDocument/2006/relationships" r:id="rId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91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2067" name="Picture 3253" descr="14-1526-2m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2068" name="Picture 3254" descr="14-1526-1m">
          <a:hlinkClick xmlns:r="http://schemas.openxmlformats.org/officeDocument/2006/relationships" r:id="rId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385</xdr:row>
      <xdr:rowOff>0</xdr:rowOff>
    </xdr:from>
    <xdr:to>
      <xdr:col>2</xdr:col>
      <xdr:colOff>0</xdr:colOff>
      <xdr:row>386</xdr:row>
      <xdr:rowOff>0</xdr:rowOff>
    </xdr:to>
    <xdr:pic>
      <xdr:nvPicPr>
        <xdr:cNvPr id="2069" name="Picture 3255" descr="14-6504m">
          <a:hlinkClick xmlns:r="http://schemas.openxmlformats.org/officeDocument/2006/relationships" r:id="rId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070" name="Picture 3256" descr="14-9504m">
          <a:hlinkClick xmlns:r="http://schemas.openxmlformats.org/officeDocument/2006/relationships" r:id="rId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417</xdr:row>
      <xdr:rowOff>0</xdr:rowOff>
    </xdr:to>
    <xdr:pic>
      <xdr:nvPicPr>
        <xdr:cNvPr id="2071" name="Picture 3258" descr="14-988m">
          <a:hlinkClick xmlns:r="http://schemas.openxmlformats.org/officeDocument/2006/relationships" r:id="rId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661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416</xdr:row>
      <xdr:rowOff>0</xdr:rowOff>
    </xdr:to>
    <xdr:pic>
      <xdr:nvPicPr>
        <xdr:cNvPr id="2072" name="Picture 3259" descr="14-972m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661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472</xdr:row>
      <xdr:rowOff>0</xdr:rowOff>
    </xdr:to>
    <xdr:pic>
      <xdr:nvPicPr>
        <xdr:cNvPr id="2073" name="Picture 3260" descr="28-599m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91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502</xdr:row>
      <xdr:rowOff>0</xdr:rowOff>
    </xdr:to>
    <xdr:pic>
      <xdr:nvPicPr>
        <xdr:cNvPr id="2074" name="Picture 3261" descr="30-598m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29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607</xdr:row>
      <xdr:rowOff>0</xdr:rowOff>
    </xdr:from>
    <xdr:to>
      <xdr:col>2</xdr:col>
      <xdr:colOff>0</xdr:colOff>
      <xdr:row>608</xdr:row>
      <xdr:rowOff>0</xdr:rowOff>
    </xdr:to>
    <xdr:pic>
      <xdr:nvPicPr>
        <xdr:cNvPr id="2075" name="Picture 3262" descr="34-972m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601</xdr:row>
      <xdr:rowOff>0</xdr:rowOff>
    </xdr:from>
    <xdr:to>
      <xdr:col>2</xdr:col>
      <xdr:colOff>0</xdr:colOff>
      <xdr:row>602</xdr:row>
      <xdr:rowOff>0</xdr:rowOff>
    </xdr:to>
    <xdr:pic>
      <xdr:nvPicPr>
        <xdr:cNvPr id="2076" name="Picture 3263" descr="34-943m">
          <a:hlinkClick xmlns:r="http://schemas.openxmlformats.org/officeDocument/2006/relationships" r:id="rId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2077" name="Picture 3264" descr="14-102SGm">
          <a:hlinkClick xmlns:r="http://schemas.openxmlformats.org/officeDocument/2006/relationships" r:id="rId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247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694</xdr:row>
      <xdr:rowOff>0</xdr:rowOff>
    </xdr:from>
    <xdr:to>
      <xdr:col>2</xdr:col>
      <xdr:colOff>0</xdr:colOff>
      <xdr:row>695</xdr:row>
      <xdr:rowOff>0</xdr:rowOff>
    </xdr:to>
    <xdr:pic>
      <xdr:nvPicPr>
        <xdr:cNvPr id="2078" name="Picture 3265" descr="42-901SGm">
          <a:hlinkClick xmlns:r="http://schemas.openxmlformats.org/officeDocument/2006/relationships" r:id="rId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7081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2079" name="Picture 3266" descr="22-901SGm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853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2080" name="Picture 3267" descr="14-101SGm">
          <a:hlinkClick xmlns:r="http://schemas.openxmlformats.org/officeDocument/2006/relationships" r:id="rId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48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369</xdr:row>
      <xdr:rowOff>0</xdr:rowOff>
    </xdr:to>
    <xdr:pic>
      <xdr:nvPicPr>
        <xdr:cNvPr id="2081" name="Picture 3268" descr="14-501SGm">
          <a:hlinkClick xmlns:r="http://schemas.openxmlformats.org/officeDocument/2006/relationships" r:id="rId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4621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1244</xdr:row>
      <xdr:rowOff>0</xdr:rowOff>
    </xdr:from>
    <xdr:to>
      <xdr:col>2</xdr:col>
      <xdr:colOff>0</xdr:colOff>
      <xdr:row>1245</xdr:row>
      <xdr:rowOff>0</xdr:rowOff>
    </xdr:to>
    <xdr:pic>
      <xdr:nvPicPr>
        <xdr:cNvPr id="2082" name="Picture 3269" descr="T-TS-050m">
          <a:hlinkClick xmlns:r="http://schemas.openxmlformats.org/officeDocument/2006/relationships" r:id="rId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535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1245</xdr:row>
      <xdr:rowOff>0</xdr:rowOff>
    </xdr:from>
    <xdr:to>
      <xdr:col>2</xdr:col>
      <xdr:colOff>0</xdr:colOff>
      <xdr:row>1246</xdr:row>
      <xdr:rowOff>0</xdr:rowOff>
    </xdr:to>
    <xdr:pic>
      <xdr:nvPicPr>
        <xdr:cNvPr id="2083" name="Picture 3270" descr="T-TS-050m">
          <a:hlinkClick xmlns:r="http://schemas.openxmlformats.org/officeDocument/2006/relationships" r:id="rId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611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819</xdr:row>
      <xdr:rowOff>28575</xdr:rowOff>
    </xdr:from>
    <xdr:to>
      <xdr:col>2</xdr:col>
      <xdr:colOff>0</xdr:colOff>
      <xdr:row>820</xdr:row>
      <xdr:rowOff>28575</xdr:rowOff>
    </xdr:to>
    <xdr:pic>
      <xdr:nvPicPr>
        <xdr:cNvPr id="2084" name="Picture 4136" descr="77-en-129m">
          <a:hlinkClick xmlns:r="http://schemas.openxmlformats.org/officeDocument/2006/relationships" r:id="rId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538</xdr:row>
      <xdr:rowOff>0</xdr:rowOff>
    </xdr:from>
    <xdr:to>
      <xdr:col>2</xdr:col>
      <xdr:colOff>0</xdr:colOff>
      <xdr:row>539</xdr:row>
      <xdr:rowOff>0</xdr:rowOff>
    </xdr:to>
    <xdr:pic>
      <xdr:nvPicPr>
        <xdr:cNvPr id="2085" name="Picture 21377" descr="14-2508m">
          <a:hlinkClick xmlns:r="http://schemas.openxmlformats.org/officeDocument/2006/relationships" r:id="rId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7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086" name="Picture 3273" descr="14-993-14m">
          <a:hlinkClick xmlns:r="http://schemas.openxmlformats.org/officeDocument/2006/relationships" r:id="rId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087" name="Picture 3274" descr="14-1529m">
          <a:hlinkClick xmlns:r="http://schemas.openxmlformats.org/officeDocument/2006/relationships" r:id="rId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2088" name="Picture 3275" descr="14-1529-1m">
          <a:hlinkClick xmlns:r="http://schemas.openxmlformats.org/officeDocument/2006/relationships" r:id="rId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806</xdr:row>
      <xdr:rowOff>0</xdr:rowOff>
    </xdr:from>
    <xdr:to>
      <xdr:col>2</xdr:col>
      <xdr:colOff>0</xdr:colOff>
      <xdr:row>807</xdr:row>
      <xdr:rowOff>0</xdr:rowOff>
    </xdr:to>
    <xdr:pic>
      <xdr:nvPicPr>
        <xdr:cNvPr id="2089" name="Picture 3276" descr="77-89m">
          <a:hlinkClick xmlns:r="http://schemas.openxmlformats.org/officeDocument/2006/relationships" r:id="rId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391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807</xdr:row>
      <xdr:rowOff>0</xdr:rowOff>
    </xdr:from>
    <xdr:to>
      <xdr:col>2</xdr:col>
      <xdr:colOff>0</xdr:colOff>
      <xdr:row>808</xdr:row>
      <xdr:rowOff>0</xdr:rowOff>
    </xdr:to>
    <xdr:pic>
      <xdr:nvPicPr>
        <xdr:cNvPr id="2090" name="Picture 3277" descr="77-91m">
          <a:hlinkClick xmlns:r="http://schemas.openxmlformats.org/officeDocument/2006/relationships" r:id="rId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391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808</xdr:row>
      <xdr:rowOff>0</xdr:rowOff>
    </xdr:from>
    <xdr:to>
      <xdr:col>2</xdr:col>
      <xdr:colOff>0</xdr:colOff>
      <xdr:row>809</xdr:row>
      <xdr:rowOff>0</xdr:rowOff>
    </xdr:to>
    <xdr:pic>
      <xdr:nvPicPr>
        <xdr:cNvPr id="2091" name="Picture 3278" descr="77-96m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467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796</xdr:row>
      <xdr:rowOff>0</xdr:rowOff>
    </xdr:from>
    <xdr:to>
      <xdr:col>2</xdr:col>
      <xdr:colOff>0</xdr:colOff>
      <xdr:row>797</xdr:row>
      <xdr:rowOff>0</xdr:rowOff>
    </xdr:to>
    <xdr:pic>
      <xdr:nvPicPr>
        <xdr:cNvPr id="2092" name="Picture 3279" descr="77-122m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797</xdr:row>
      <xdr:rowOff>0</xdr:rowOff>
    </xdr:from>
    <xdr:to>
      <xdr:col>2</xdr:col>
      <xdr:colOff>0</xdr:colOff>
      <xdr:row>798</xdr:row>
      <xdr:rowOff>0</xdr:rowOff>
    </xdr:to>
    <xdr:pic>
      <xdr:nvPicPr>
        <xdr:cNvPr id="2093" name="Picture 3280" descr="77-124m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798</xdr:row>
      <xdr:rowOff>0</xdr:rowOff>
    </xdr:from>
    <xdr:to>
      <xdr:col>2</xdr:col>
      <xdr:colOff>0</xdr:colOff>
      <xdr:row>799</xdr:row>
      <xdr:rowOff>0</xdr:rowOff>
    </xdr:to>
    <xdr:pic>
      <xdr:nvPicPr>
        <xdr:cNvPr id="2094" name="Picture 3281" descr="77-170m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86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799</xdr:row>
      <xdr:rowOff>0</xdr:rowOff>
    </xdr:from>
    <xdr:to>
      <xdr:col>2</xdr:col>
      <xdr:colOff>0</xdr:colOff>
      <xdr:row>800</xdr:row>
      <xdr:rowOff>0</xdr:rowOff>
    </xdr:to>
    <xdr:pic>
      <xdr:nvPicPr>
        <xdr:cNvPr id="2095" name="Picture 3282" descr="77-171m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86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800</xdr:row>
      <xdr:rowOff>0</xdr:rowOff>
    </xdr:from>
    <xdr:to>
      <xdr:col>2</xdr:col>
      <xdr:colOff>0</xdr:colOff>
      <xdr:row>801</xdr:row>
      <xdr:rowOff>0</xdr:rowOff>
    </xdr:to>
    <xdr:pic>
      <xdr:nvPicPr>
        <xdr:cNvPr id="2096" name="Picture 3283" descr="77-177m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162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801</xdr:row>
      <xdr:rowOff>0</xdr:rowOff>
    </xdr:from>
    <xdr:to>
      <xdr:col>2</xdr:col>
      <xdr:colOff>0</xdr:colOff>
      <xdr:row>802</xdr:row>
      <xdr:rowOff>0</xdr:rowOff>
    </xdr:to>
    <xdr:pic>
      <xdr:nvPicPr>
        <xdr:cNvPr id="2097" name="Picture 3284" descr="77-187m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239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802</xdr:row>
      <xdr:rowOff>0</xdr:rowOff>
    </xdr:from>
    <xdr:to>
      <xdr:col>2</xdr:col>
      <xdr:colOff>0</xdr:colOff>
      <xdr:row>803</xdr:row>
      <xdr:rowOff>0</xdr:rowOff>
    </xdr:to>
    <xdr:pic>
      <xdr:nvPicPr>
        <xdr:cNvPr id="2098" name="Picture 3286" descr="77-200m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239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803</xdr:row>
      <xdr:rowOff>0</xdr:rowOff>
    </xdr:from>
    <xdr:to>
      <xdr:col>2</xdr:col>
      <xdr:colOff>0</xdr:colOff>
      <xdr:row>804</xdr:row>
      <xdr:rowOff>0</xdr:rowOff>
    </xdr:to>
    <xdr:pic>
      <xdr:nvPicPr>
        <xdr:cNvPr id="2099" name="Picture 3287" descr="77-213m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315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804</xdr:row>
      <xdr:rowOff>0</xdr:rowOff>
    </xdr:from>
    <xdr:to>
      <xdr:col>2</xdr:col>
      <xdr:colOff>0</xdr:colOff>
      <xdr:row>805</xdr:row>
      <xdr:rowOff>0</xdr:rowOff>
    </xdr:to>
    <xdr:pic>
      <xdr:nvPicPr>
        <xdr:cNvPr id="2100" name="Picture 3288" descr="77-252m">
          <a:hlinkClick xmlns:r="http://schemas.openxmlformats.org/officeDocument/2006/relationships" r:id="rId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315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805</xdr:row>
      <xdr:rowOff>0</xdr:rowOff>
    </xdr:from>
    <xdr:to>
      <xdr:col>2</xdr:col>
      <xdr:colOff>0</xdr:colOff>
      <xdr:row>806</xdr:row>
      <xdr:rowOff>0</xdr:rowOff>
    </xdr:to>
    <xdr:pic>
      <xdr:nvPicPr>
        <xdr:cNvPr id="2101" name="Picture 3289" descr="77-268m">
          <a:hlinkClick xmlns:r="http://schemas.openxmlformats.org/officeDocument/2006/relationships" r:id="rId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391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809</xdr:row>
      <xdr:rowOff>0</xdr:rowOff>
    </xdr:from>
    <xdr:to>
      <xdr:col>2</xdr:col>
      <xdr:colOff>0</xdr:colOff>
      <xdr:row>810</xdr:row>
      <xdr:rowOff>0</xdr:rowOff>
    </xdr:to>
    <xdr:pic>
      <xdr:nvPicPr>
        <xdr:cNvPr id="2102" name="Picture 3290" descr="77-A-058m">
          <a:hlinkClick xmlns:r="http://schemas.openxmlformats.org/officeDocument/2006/relationships" r:id="rId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467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818</xdr:row>
      <xdr:rowOff>0</xdr:rowOff>
    </xdr:from>
    <xdr:to>
      <xdr:col>2</xdr:col>
      <xdr:colOff>0</xdr:colOff>
      <xdr:row>819</xdr:row>
      <xdr:rowOff>0</xdr:rowOff>
    </xdr:to>
    <xdr:pic>
      <xdr:nvPicPr>
        <xdr:cNvPr id="2103" name="Picture 3291" descr="77-P-007Gm">
          <a:hlinkClick xmlns:r="http://schemas.openxmlformats.org/officeDocument/2006/relationships" r:id="rId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819</xdr:row>
      <xdr:rowOff>0</xdr:rowOff>
    </xdr:from>
    <xdr:to>
      <xdr:col>2</xdr:col>
      <xdr:colOff>0</xdr:colOff>
      <xdr:row>820</xdr:row>
      <xdr:rowOff>0</xdr:rowOff>
    </xdr:to>
    <xdr:pic>
      <xdr:nvPicPr>
        <xdr:cNvPr id="2104" name="Picture 3292" descr="77-Pc-40Cm">
          <a:hlinkClick xmlns:r="http://schemas.openxmlformats.org/officeDocument/2006/relationships" r:id="rId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820</xdr:row>
      <xdr:rowOff>0</xdr:rowOff>
    </xdr:from>
    <xdr:to>
      <xdr:col>2</xdr:col>
      <xdr:colOff>0</xdr:colOff>
      <xdr:row>821</xdr:row>
      <xdr:rowOff>0</xdr:rowOff>
    </xdr:to>
    <xdr:pic>
      <xdr:nvPicPr>
        <xdr:cNvPr id="2105" name="Picture 3293" descr="77-Pc-43Bm">
          <a:hlinkClick xmlns:r="http://schemas.openxmlformats.org/officeDocument/2006/relationships" r:id="rId5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821</xdr:row>
      <xdr:rowOff>0</xdr:rowOff>
    </xdr:from>
    <xdr:to>
      <xdr:col>2</xdr:col>
      <xdr:colOff>0</xdr:colOff>
      <xdr:row>822</xdr:row>
      <xdr:rowOff>0</xdr:rowOff>
    </xdr:to>
    <xdr:pic>
      <xdr:nvPicPr>
        <xdr:cNvPr id="2106" name="Picture 3294" descr="77-Pc-43Wm">
          <a:hlinkClick xmlns:r="http://schemas.openxmlformats.org/officeDocument/2006/relationships" r:id="rId5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822</xdr:row>
      <xdr:rowOff>0</xdr:rowOff>
    </xdr:from>
    <xdr:to>
      <xdr:col>2</xdr:col>
      <xdr:colOff>0</xdr:colOff>
      <xdr:row>823</xdr:row>
      <xdr:rowOff>0</xdr:rowOff>
    </xdr:to>
    <xdr:pic>
      <xdr:nvPicPr>
        <xdr:cNvPr id="2107" name="Picture 3295" descr="77-Pc-W5Bm">
          <a:hlinkClick xmlns:r="http://schemas.openxmlformats.org/officeDocument/2006/relationships" r:id="rId5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823</xdr:row>
      <xdr:rowOff>0</xdr:rowOff>
    </xdr:from>
    <xdr:to>
      <xdr:col>2</xdr:col>
      <xdr:colOff>0</xdr:colOff>
      <xdr:row>824</xdr:row>
      <xdr:rowOff>0</xdr:rowOff>
    </xdr:to>
    <xdr:pic>
      <xdr:nvPicPr>
        <xdr:cNvPr id="2108" name="Picture 3296" descr="77-Pc-W5Cm">
          <a:hlinkClick xmlns:r="http://schemas.openxmlformats.org/officeDocument/2006/relationships" r:id="rId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620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2109" name="Picture 3297" descr="14-134m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771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2110" name="Picture 3298" descr="14-285m">
          <a:hlinkClick xmlns:r="http://schemas.openxmlformats.org/officeDocument/2006/relationships" r:id="rId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368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841</xdr:row>
      <xdr:rowOff>0</xdr:rowOff>
    </xdr:from>
    <xdr:to>
      <xdr:col>2</xdr:col>
      <xdr:colOff>0</xdr:colOff>
      <xdr:row>842</xdr:row>
      <xdr:rowOff>0</xdr:rowOff>
    </xdr:to>
    <xdr:pic>
      <xdr:nvPicPr>
        <xdr:cNvPr id="2111" name="Picture 3299" descr="79-249m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58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842</xdr:row>
      <xdr:rowOff>0</xdr:rowOff>
    </xdr:from>
    <xdr:to>
      <xdr:col>2</xdr:col>
      <xdr:colOff>0</xdr:colOff>
      <xdr:row>843</xdr:row>
      <xdr:rowOff>0</xdr:rowOff>
    </xdr:to>
    <xdr:pic>
      <xdr:nvPicPr>
        <xdr:cNvPr id="2112" name="Picture 3300" descr="79-5528m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58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843</xdr:row>
      <xdr:rowOff>0</xdr:rowOff>
    </xdr:from>
    <xdr:to>
      <xdr:col>2</xdr:col>
      <xdr:colOff>0</xdr:colOff>
      <xdr:row>844</xdr:row>
      <xdr:rowOff>0</xdr:rowOff>
    </xdr:to>
    <xdr:pic>
      <xdr:nvPicPr>
        <xdr:cNvPr id="2113" name="Picture 3301" descr="79-5528-1m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58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525</xdr:row>
      <xdr:rowOff>0</xdr:rowOff>
    </xdr:to>
    <xdr:pic>
      <xdr:nvPicPr>
        <xdr:cNvPr id="2114" name="Picture 3302" descr="34-1529m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903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525</xdr:row>
      <xdr:rowOff>0</xdr:rowOff>
    </xdr:from>
    <xdr:to>
      <xdr:col>2</xdr:col>
      <xdr:colOff>0</xdr:colOff>
      <xdr:row>526</xdr:row>
      <xdr:rowOff>0</xdr:rowOff>
    </xdr:to>
    <xdr:pic>
      <xdr:nvPicPr>
        <xdr:cNvPr id="2115" name="Picture 3303" descr="34-1529-1m">
          <a:hlinkClick xmlns:r="http://schemas.openxmlformats.org/officeDocument/2006/relationships" r:id="rId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903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527</xdr:row>
      <xdr:rowOff>0</xdr:rowOff>
    </xdr:to>
    <xdr:pic>
      <xdr:nvPicPr>
        <xdr:cNvPr id="2116" name="Picture 3304" descr="34-1NPm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7665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545</xdr:row>
      <xdr:rowOff>0</xdr:rowOff>
    </xdr:from>
    <xdr:to>
      <xdr:col>2</xdr:col>
      <xdr:colOff>0</xdr:colOff>
      <xdr:row>546</xdr:row>
      <xdr:rowOff>0</xdr:rowOff>
    </xdr:to>
    <xdr:pic>
      <xdr:nvPicPr>
        <xdr:cNvPr id="2117" name="Picture 3952" descr="28-558m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1799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618</xdr:row>
      <xdr:rowOff>0</xdr:rowOff>
    </xdr:from>
    <xdr:to>
      <xdr:col>2</xdr:col>
      <xdr:colOff>0</xdr:colOff>
      <xdr:row>619</xdr:row>
      <xdr:rowOff>0</xdr:rowOff>
    </xdr:to>
    <xdr:pic>
      <xdr:nvPicPr>
        <xdr:cNvPr id="2118" name="Picture 3306" descr="36-172m">
          <a:hlinkClick xmlns:r="http://schemas.openxmlformats.org/officeDocument/2006/relationships" r:id="rId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12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693</xdr:row>
      <xdr:rowOff>0</xdr:rowOff>
    </xdr:from>
    <xdr:to>
      <xdr:col>2</xdr:col>
      <xdr:colOff>0</xdr:colOff>
      <xdr:row>694</xdr:row>
      <xdr:rowOff>0</xdr:rowOff>
    </xdr:to>
    <xdr:pic>
      <xdr:nvPicPr>
        <xdr:cNvPr id="2119" name="Picture 3307" descr="42-4531m">
          <a:hlinkClick xmlns:r="http://schemas.openxmlformats.org/officeDocument/2006/relationships" r:id="rId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319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672</xdr:row>
      <xdr:rowOff>0</xdr:rowOff>
    </xdr:from>
    <xdr:to>
      <xdr:col>2</xdr:col>
      <xdr:colOff>0</xdr:colOff>
      <xdr:row>673</xdr:row>
      <xdr:rowOff>0</xdr:rowOff>
    </xdr:to>
    <xdr:pic>
      <xdr:nvPicPr>
        <xdr:cNvPr id="2120" name="Picture 3308" descr="38-8531m">
          <a:hlinkClick xmlns:r="http://schemas.openxmlformats.org/officeDocument/2006/relationships" r:id="rId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22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1246</xdr:row>
      <xdr:rowOff>0</xdr:rowOff>
    </xdr:from>
    <xdr:to>
      <xdr:col>2</xdr:col>
      <xdr:colOff>0</xdr:colOff>
      <xdr:row>1247</xdr:row>
      <xdr:rowOff>0</xdr:rowOff>
    </xdr:to>
    <xdr:pic>
      <xdr:nvPicPr>
        <xdr:cNvPr id="2121" name="Picture 3309" descr="T-TS-051m">
          <a:hlinkClick xmlns:r="http://schemas.openxmlformats.org/officeDocument/2006/relationships" r:id="rId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687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1247</xdr:row>
      <xdr:rowOff>0</xdr:rowOff>
    </xdr:from>
    <xdr:to>
      <xdr:col>2</xdr:col>
      <xdr:colOff>0</xdr:colOff>
      <xdr:row>1248</xdr:row>
      <xdr:rowOff>0</xdr:rowOff>
    </xdr:to>
    <xdr:pic>
      <xdr:nvPicPr>
        <xdr:cNvPr id="2122" name="Picture 3310" descr="T-TS-051m">
          <a:hlinkClick xmlns:r="http://schemas.openxmlformats.org/officeDocument/2006/relationships" r:id="rId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764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1174</xdr:row>
      <xdr:rowOff>0</xdr:rowOff>
    </xdr:from>
    <xdr:to>
      <xdr:col>2</xdr:col>
      <xdr:colOff>0</xdr:colOff>
      <xdr:row>1175</xdr:row>
      <xdr:rowOff>0</xdr:rowOff>
    </xdr:to>
    <xdr:pic>
      <xdr:nvPicPr>
        <xdr:cNvPr id="2123" name="Picture 3311" descr="T-TS-051m">
          <a:hlinkClick xmlns:r="http://schemas.openxmlformats.org/officeDocument/2006/relationships" r:id="rId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954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1175</xdr:row>
      <xdr:rowOff>0</xdr:rowOff>
    </xdr:from>
    <xdr:to>
      <xdr:col>2</xdr:col>
      <xdr:colOff>0</xdr:colOff>
      <xdr:row>1176</xdr:row>
      <xdr:rowOff>0</xdr:rowOff>
    </xdr:to>
    <xdr:pic>
      <xdr:nvPicPr>
        <xdr:cNvPr id="2124" name="Picture 3312" descr="T-TS-051m">
          <a:hlinkClick xmlns:r="http://schemas.openxmlformats.org/officeDocument/2006/relationships" r:id="rId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9540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681</xdr:row>
      <xdr:rowOff>0</xdr:rowOff>
    </xdr:from>
    <xdr:to>
      <xdr:col>2</xdr:col>
      <xdr:colOff>0</xdr:colOff>
      <xdr:row>682</xdr:row>
      <xdr:rowOff>0</xdr:rowOff>
    </xdr:to>
    <xdr:pic>
      <xdr:nvPicPr>
        <xdr:cNvPr id="2125" name="Picture 3313" descr="41-4531m">
          <a:hlinkClick xmlns:r="http://schemas.openxmlformats.org/officeDocument/2006/relationships" r:id="rId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250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2126" name="Picture 3926" descr="14-128m">
          <a:hlinkClick xmlns:r="http://schemas.openxmlformats.org/officeDocument/2006/relationships" r:id="rId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339</xdr:row>
      <xdr:rowOff>0</xdr:rowOff>
    </xdr:to>
    <xdr:pic>
      <xdr:nvPicPr>
        <xdr:cNvPr id="2127" name="Picture 3315" descr="14-227m">
          <a:hlinkClick xmlns:r="http://schemas.openxmlformats.org/officeDocument/2006/relationships" r:id="rId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540</xdr:row>
      <xdr:rowOff>0</xdr:rowOff>
    </xdr:from>
    <xdr:to>
      <xdr:col>2</xdr:col>
      <xdr:colOff>0</xdr:colOff>
      <xdr:row>541</xdr:row>
      <xdr:rowOff>0</xdr:rowOff>
    </xdr:to>
    <xdr:pic>
      <xdr:nvPicPr>
        <xdr:cNvPr id="2128" name="Picture 3316" descr="34-2532m">
          <a:hlinkClick xmlns:r="http://schemas.openxmlformats.org/officeDocument/2006/relationships" r:id="rId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75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535</xdr:row>
      <xdr:rowOff>0</xdr:rowOff>
    </xdr:from>
    <xdr:to>
      <xdr:col>2</xdr:col>
      <xdr:colOff>0</xdr:colOff>
      <xdr:row>536</xdr:row>
      <xdr:rowOff>0</xdr:rowOff>
    </xdr:to>
    <xdr:pic>
      <xdr:nvPicPr>
        <xdr:cNvPr id="2129" name="Picture 3317" descr="14-227m">
          <a:hlinkClick xmlns:r="http://schemas.openxmlformats.org/officeDocument/2006/relationships" r:id="rId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951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460</xdr:row>
      <xdr:rowOff>0</xdr:rowOff>
    </xdr:from>
    <xdr:to>
      <xdr:col>2</xdr:col>
      <xdr:colOff>0</xdr:colOff>
      <xdr:row>461</xdr:row>
      <xdr:rowOff>0</xdr:rowOff>
    </xdr:to>
    <xdr:pic>
      <xdr:nvPicPr>
        <xdr:cNvPr id="2130" name="Picture 3318" descr="28-3532m">
          <a:hlinkClick xmlns:r="http://schemas.openxmlformats.org/officeDocument/2006/relationships" r:id="rId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131" name="Picture 3319" descr="14-2532m">
          <a:hlinkClick xmlns:r="http://schemas.openxmlformats.org/officeDocument/2006/relationships" r:id="rId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139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2132" name="Picture 3320" descr="14-1530m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2133" name="Picture 3321" descr="34-1530m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543</xdr:row>
      <xdr:rowOff>0</xdr:rowOff>
    </xdr:from>
    <xdr:to>
      <xdr:col>2</xdr:col>
      <xdr:colOff>0</xdr:colOff>
      <xdr:row>544</xdr:row>
      <xdr:rowOff>0</xdr:rowOff>
    </xdr:to>
    <xdr:pic>
      <xdr:nvPicPr>
        <xdr:cNvPr id="2134" name="Picture 3322" descr="34-257m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103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587</xdr:row>
      <xdr:rowOff>0</xdr:rowOff>
    </xdr:to>
    <xdr:pic>
      <xdr:nvPicPr>
        <xdr:cNvPr id="2135" name="Picture 3323" descr="34-684m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773</xdr:row>
      <xdr:rowOff>0</xdr:rowOff>
    </xdr:from>
    <xdr:to>
      <xdr:col>2</xdr:col>
      <xdr:colOff>0</xdr:colOff>
      <xdr:row>774</xdr:row>
      <xdr:rowOff>0</xdr:rowOff>
    </xdr:to>
    <xdr:pic>
      <xdr:nvPicPr>
        <xdr:cNvPr id="2136" name="Picture 3324" descr="54-4531m">
          <a:hlinkClick xmlns:r="http://schemas.openxmlformats.org/officeDocument/2006/relationships" r:id="rId644"/>
        </xdr:cNvPr>
        <xdr:cNvPicPr>
          <a:picLocks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72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570</xdr:row>
      <xdr:rowOff>0</xdr:rowOff>
    </xdr:from>
    <xdr:to>
      <xdr:col>2</xdr:col>
      <xdr:colOff>0</xdr:colOff>
      <xdr:row>571</xdr:row>
      <xdr:rowOff>0</xdr:rowOff>
    </xdr:to>
    <xdr:pic>
      <xdr:nvPicPr>
        <xdr:cNvPr id="2137" name="Picture 3325" descr="34-5528m">
          <a:hlinkClick xmlns:r="http://schemas.openxmlformats.org/officeDocument/2006/relationships" r:id="rId646"/>
        </xdr:cNvPr>
        <xdr:cNvPicPr>
          <a:picLocks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699</xdr:row>
      <xdr:rowOff>0</xdr:rowOff>
    </xdr:from>
    <xdr:to>
      <xdr:col>2</xdr:col>
      <xdr:colOff>0</xdr:colOff>
      <xdr:row>700</xdr:row>
      <xdr:rowOff>0</xdr:rowOff>
    </xdr:to>
    <xdr:pic>
      <xdr:nvPicPr>
        <xdr:cNvPr id="2138" name="Picture 3326" descr="42-9533m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860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403</xdr:row>
      <xdr:rowOff>0</xdr:rowOff>
    </xdr:from>
    <xdr:to>
      <xdr:col>2</xdr:col>
      <xdr:colOff>0</xdr:colOff>
      <xdr:row>404</xdr:row>
      <xdr:rowOff>0</xdr:rowOff>
    </xdr:to>
    <xdr:pic>
      <xdr:nvPicPr>
        <xdr:cNvPr id="2139" name="Picture 3327" descr="14-792m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332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453</xdr:row>
      <xdr:rowOff>0</xdr:rowOff>
    </xdr:to>
    <xdr:pic>
      <xdr:nvPicPr>
        <xdr:cNvPr id="2140" name="Picture 3328" descr="22-922m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161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446</xdr:row>
      <xdr:rowOff>0</xdr:rowOff>
    </xdr:to>
    <xdr:pic>
      <xdr:nvPicPr>
        <xdr:cNvPr id="2141" name="Picture 3329" descr="24-922m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856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546</xdr:row>
      <xdr:rowOff>0</xdr:rowOff>
    </xdr:from>
    <xdr:to>
      <xdr:col>2</xdr:col>
      <xdr:colOff>0</xdr:colOff>
      <xdr:row>547</xdr:row>
      <xdr:rowOff>0</xdr:rowOff>
    </xdr:to>
    <xdr:pic>
      <xdr:nvPicPr>
        <xdr:cNvPr id="2142" name="Picture 3330" descr="34-259m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256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2143" name="Picture 3331" descr="14-1532m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295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669</xdr:row>
      <xdr:rowOff>0</xdr:rowOff>
    </xdr:from>
    <xdr:to>
      <xdr:col>2</xdr:col>
      <xdr:colOff>0</xdr:colOff>
      <xdr:row>670</xdr:row>
      <xdr:rowOff>0</xdr:rowOff>
    </xdr:to>
    <xdr:pic>
      <xdr:nvPicPr>
        <xdr:cNvPr id="2144" name="Picture 3332" descr="38-6533m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22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1248</xdr:row>
      <xdr:rowOff>0</xdr:rowOff>
    </xdr:from>
    <xdr:to>
      <xdr:col>2</xdr:col>
      <xdr:colOff>0</xdr:colOff>
      <xdr:row>1249</xdr:row>
      <xdr:rowOff>0</xdr:rowOff>
    </xdr:to>
    <xdr:pic>
      <xdr:nvPicPr>
        <xdr:cNvPr id="2145" name="Picture 3333" descr="T-TS-052m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840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1249</xdr:row>
      <xdr:rowOff>0</xdr:rowOff>
    </xdr:from>
    <xdr:to>
      <xdr:col>2</xdr:col>
      <xdr:colOff>0</xdr:colOff>
      <xdr:row>1250</xdr:row>
      <xdr:rowOff>0</xdr:rowOff>
    </xdr:to>
    <xdr:pic>
      <xdr:nvPicPr>
        <xdr:cNvPr id="2146" name="Picture 3334" descr="T-TS-053m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916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1250</xdr:row>
      <xdr:rowOff>0</xdr:rowOff>
    </xdr:from>
    <xdr:to>
      <xdr:col>2</xdr:col>
      <xdr:colOff>0</xdr:colOff>
      <xdr:row>1251</xdr:row>
      <xdr:rowOff>0</xdr:rowOff>
    </xdr:to>
    <xdr:pic>
      <xdr:nvPicPr>
        <xdr:cNvPr id="2147" name="Picture 3335" descr="T-TS-053m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992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1251</xdr:row>
      <xdr:rowOff>0</xdr:rowOff>
    </xdr:from>
    <xdr:to>
      <xdr:col>2</xdr:col>
      <xdr:colOff>0</xdr:colOff>
      <xdr:row>1252</xdr:row>
      <xdr:rowOff>0</xdr:rowOff>
    </xdr:to>
    <xdr:pic>
      <xdr:nvPicPr>
        <xdr:cNvPr id="2148" name="Picture 3336" descr="T-TS-053m">
          <a:hlinkClick xmlns:r="http://schemas.openxmlformats.org/officeDocument/2006/relationships" r:id="rId6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992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862</xdr:row>
      <xdr:rowOff>0</xdr:rowOff>
    </xdr:from>
    <xdr:to>
      <xdr:col>2</xdr:col>
      <xdr:colOff>0</xdr:colOff>
      <xdr:row>863</xdr:row>
      <xdr:rowOff>0</xdr:rowOff>
    </xdr:to>
    <xdr:pic>
      <xdr:nvPicPr>
        <xdr:cNvPr id="2149" name="Picture 3337" descr="83-207m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448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863</xdr:row>
      <xdr:rowOff>0</xdr:rowOff>
    </xdr:from>
    <xdr:to>
      <xdr:col>2</xdr:col>
      <xdr:colOff>0</xdr:colOff>
      <xdr:row>864</xdr:row>
      <xdr:rowOff>0</xdr:rowOff>
    </xdr:to>
    <xdr:pic>
      <xdr:nvPicPr>
        <xdr:cNvPr id="2150" name="Picture 3338" descr="83-2531m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525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864</xdr:row>
      <xdr:rowOff>0</xdr:rowOff>
    </xdr:from>
    <xdr:to>
      <xdr:col>2</xdr:col>
      <xdr:colOff>0</xdr:colOff>
      <xdr:row>865</xdr:row>
      <xdr:rowOff>0</xdr:rowOff>
    </xdr:to>
    <xdr:pic>
      <xdr:nvPicPr>
        <xdr:cNvPr id="2151" name="Picture 3339" descr="83-2533m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525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867</xdr:row>
      <xdr:rowOff>0</xdr:rowOff>
    </xdr:from>
    <xdr:to>
      <xdr:col>2</xdr:col>
      <xdr:colOff>0</xdr:colOff>
      <xdr:row>868</xdr:row>
      <xdr:rowOff>0</xdr:rowOff>
    </xdr:to>
    <xdr:pic>
      <xdr:nvPicPr>
        <xdr:cNvPr id="2152" name="Picture 3340" descr="83-7524m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601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541</xdr:row>
      <xdr:rowOff>0</xdr:rowOff>
    </xdr:from>
    <xdr:to>
      <xdr:col>2</xdr:col>
      <xdr:colOff>0</xdr:colOff>
      <xdr:row>542</xdr:row>
      <xdr:rowOff>0</xdr:rowOff>
    </xdr:to>
    <xdr:pic>
      <xdr:nvPicPr>
        <xdr:cNvPr id="2153" name="Picture 3341" descr="34-2536m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103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711</xdr:row>
      <xdr:rowOff>0</xdr:rowOff>
    </xdr:from>
    <xdr:to>
      <xdr:col>2</xdr:col>
      <xdr:colOff>0</xdr:colOff>
      <xdr:row>712</xdr:row>
      <xdr:rowOff>0</xdr:rowOff>
    </xdr:to>
    <xdr:pic>
      <xdr:nvPicPr>
        <xdr:cNvPr id="2154" name="Picture 3342" descr="44-2536m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038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719</xdr:row>
      <xdr:rowOff>0</xdr:rowOff>
    </xdr:from>
    <xdr:to>
      <xdr:col>2</xdr:col>
      <xdr:colOff>0</xdr:colOff>
      <xdr:row>720</xdr:row>
      <xdr:rowOff>0</xdr:rowOff>
    </xdr:to>
    <xdr:pic>
      <xdr:nvPicPr>
        <xdr:cNvPr id="2155" name="Picture 3344" descr="45-5524m">
          <a:hlinkClick xmlns:r="http://schemas.openxmlformats.org/officeDocument/2006/relationships" r:id="rId6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865</xdr:row>
      <xdr:rowOff>0</xdr:rowOff>
    </xdr:from>
    <xdr:to>
      <xdr:col>2</xdr:col>
      <xdr:colOff>0</xdr:colOff>
      <xdr:row>866</xdr:row>
      <xdr:rowOff>0</xdr:rowOff>
    </xdr:to>
    <xdr:pic>
      <xdr:nvPicPr>
        <xdr:cNvPr id="2156" name="Picture 3345" descr="83-259m">
          <a:hlinkClick xmlns:r="http://schemas.openxmlformats.org/officeDocument/2006/relationships" r:id="rId6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525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866</xdr:row>
      <xdr:rowOff>0</xdr:rowOff>
    </xdr:from>
    <xdr:to>
      <xdr:col>2</xdr:col>
      <xdr:colOff>0</xdr:colOff>
      <xdr:row>867</xdr:row>
      <xdr:rowOff>0</xdr:rowOff>
    </xdr:to>
    <xdr:pic>
      <xdr:nvPicPr>
        <xdr:cNvPr id="2157" name="Picture 3346" descr="83-5528m">
          <a:hlinkClick xmlns:r="http://schemas.openxmlformats.org/officeDocument/2006/relationships" r:id="rId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525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158" name="Picture 3347" descr="14-1535m">
          <a:hlinkClick xmlns:r="http://schemas.openxmlformats.org/officeDocument/2006/relationships" r:id="rId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295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371</xdr:row>
      <xdr:rowOff>0</xdr:rowOff>
    </xdr:from>
    <xdr:to>
      <xdr:col>2</xdr:col>
      <xdr:colOff>0</xdr:colOff>
      <xdr:row>372</xdr:row>
      <xdr:rowOff>0</xdr:rowOff>
    </xdr:to>
    <xdr:pic>
      <xdr:nvPicPr>
        <xdr:cNvPr id="2159" name="Picture 3349" descr="14-5528m">
          <a:hlinkClick xmlns:r="http://schemas.openxmlformats.org/officeDocument/2006/relationships" r:id="rId6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2160" name="Picture 3350" descr="14-fuckm">
          <a:hlinkClick xmlns:r="http://schemas.openxmlformats.org/officeDocument/2006/relationships" r:id="rId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2161" name="Picture 3351" descr="14-fuckm">
          <a:hlinkClick xmlns:r="http://schemas.openxmlformats.org/officeDocument/2006/relationships" r:id="rId6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1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1252</xdr:row>
      <xdr:rowOff>0</xdr:rowOff>
    </xdr:from>
    <xdr:to>
      <xdr:col>2</xdr:col>
      <xdr:colOff>0</xdr:colOff>
      <xdr:row>1253</xdr:row>
      <xdr:rowOff>0</xdr:rowOff>
    </xdr:to>
    <xdr:pic>
      <xdr:nvPicPr>
        <xdr:cNvPr id="2162" name="Picture 3352" descr="T-TS-054m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068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1253</xdr:row>
      <xdr:rowOff>0</xdr:rowOff>
    </xdr:from>
    <xdr:to>
      <xdr:col>2</xdr:col>
      <xdr:colOff>0</xdr:colOff>
      <xdr:row>1254</xdr:row>
      <xdr:rowOff>0</xdr:rowOff>
    </xdr:to>
    <xdr:pic>
      <xdr:nvPicPr>
        <xdr:cNvPr id="2163" name="Picture 3353" descr="T-TS-055m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145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503</xdr:row>
      <xdr:rowOff>0</xdr:rowOff>
    </xdr:from>
    <xdr:to>
      <xdr:col>2</xdr:col>
      <xdr:colOff>0</xdr:colOff>
      <xdr:row>504</xdr:row>
      <xdr:rowOff>0</xdr:rowOff>
    </xdr:to>
    <xdr:pic>
      <xdr:nvPicPr>
        <xdr:cNvPr id="2164" name="Picture 3354" descr="32-1534m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05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505</xdr:row>
      <xdr:rowOff>0</xdr:rowOff>
    </xdr:from>
    <xdr:to>
      <xdr:col>2</xdr:col>
      <xdr:colOff>0</xdr:colOff>
      <xdr:row>506</xdr:row>
      <xdr:rowOff>0</xdr:rowOff>
    </xdr:to>
    <xdr:pic>
      <xdr:nvPicPr>
        <xdr:cNvPr id="2165" name="Picture 3355" descr="32-2534m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05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2166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572</xdr:row>
      <xdr:rowOff>0</xdr:rowOff>
    </xdr:from>
    <xdr:to>
      <xdr:col>2</xdr:col>
      <xdr:colOff>0</xdr:colOff>
      <xdr:row>573</xdr:row>
      <xdr:rowOff>0</xdr:rowOff>
    </xdr:to>
    <xdr:pic>
      <xdr:nvPicPr>
        <xdr:cNvPr id="2167" name="Picture 3357" descr="44-5538m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13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575</xdr:row>
      <xdr:rowOff>0</xdr:rowOff>
    </xdr:to>
    <xdr:pic>
      <xdr:nvPicPr>
        <xdr:cNvPr id="2168" name="Picture 3358" descr="34-5541m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13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709</xdr:row>
      <xdr:rowOff>0</xdr:rowOff>
    </xdr:from>
    <xdr:to>
      <xdr:col>2</xdr:col>
      <xdr:colOff>0</xdr:colOff>
      <xdr:row>710</xdr:row>
      <xdr:rowOff>0</xdr:rowOff>
    </xdr:to>
    <xdr:pic>
      <xdr:nvPicPr>
        <xdr:cNvPr id="2169" name="Picture 3359" descr="44-1540m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038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717</xdr:row>
      <xdr:rowOff>0</xdr:rowOff>
    </xdr:from>
    <xdr:to>
      <xdr:col>2</xdr:col>
      <xdr:colOff>0</xdr:colOff>
      <xdr:row>718</xdr:row>
      <xdr:rowOff>0</xdr:rowOff>
    </xdr:to>
    <xdr:pic>
      <xdr:nvPicPr>
        <xdr:cNvPr id="2170" name="Picture 3360" descr="44-7541m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1176</xdr:row>
      <xdr:rowOff>0</xdr:rowOff>
    </xdr:from>
    <xdr:to>
      <xdr:col>2</xdr:col>
      <xdr:colOff>0</xdr:colOff>
      <xdr:row>1177</xdr:row>
      <xdr:rowOff>0</xdr:rowOff>
    </xdr:to>
    <xdr:pic>
      <xdr:nvPicPr>
        <xdr:cNvPr id="2171" name="Picture 3361" descr="T-NLS-056m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954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1177</xdr:row>
      <xdr:rowOff>0</xdr:rowOff>
    </xdr:from>
    <xdr:to>
      <xdr:col>2</xdr:col>
      <xdr:colOff>0</xdr:colOff>
      <xdr:row>1178</xdr:row>
      <xdr:rowOff>0</xdr:rowOff>
    </xdr:to>
    <xdr:pic>
      <xdr:nvPicPr>
        <xdr:cNvPr id="2172" name="Picture 3362" descr="T-NLS-056-Lm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030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1254</xdr:row>
      <xdr:rowOff>0</xdr:rowOff>
    </xdr:from>
    <xdr:to>
      <xdr:col>2</xdr:col>
      <xdr:colOff>0</xdr:colOff>
      <xdr:row>1255</xdr:row>
      <xdr:rowOff>0</xdr:rowOff>
    </xdr:to>
    <xdr:pic>
      <xdr:nvPicPr>
        <xdr:cNvPr id="2173" name="Picture 3363" descr="T-NLS-056-Lm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21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1255</xdr:row>
      <xdr:rowOff>0</xdr:rowOff>
    </xdr:from>
    <xdr:to>
      <xdr:col>2</xdr:col>
      <xdr:colOff>0</xdr:colOff>
      <xdr:row>1256</xdr:row>
      <xdr:rowOff>0</xdr:rowOff>
    </xdr:to>
    <xdr:pic>
      <xdr:nvPicPr>
        <xdr:cNvPr id="2174" name="Picture 3364" descr="T-TS-056-Gm">
          <a:hlinkClick xmlns:r="http://schemas.openxmlformats.org/officeDocument/2006/relationships" r:id="rId7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97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1256</xdr:row>
      <xdr:rowOff>0</xdr:rowOff>
    </xdr:from>
    <xdr:to>
      <xdr:col>2</xdr:col>
      <xdr:colOff>0</xdr:colOff>
      <xdr:row>1257</xdr:row>
      <xdr:rowOff>0</xdr:rowOff>
    </xdr:to>
    <xdr:pic>
      <xdr:nvPicPr>
        <xdr:cNvPr id="2175" name="Picture 3365" descr="T-TS-056-Lm">
          <a:hlinkClick xmlns:r="http://schemas.openxmlformats.org/officeDocument/2006/relationships" r:id="rId7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97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523</xdr:row>
      <xdr:rowOff>0</xdr:rowOff>
    </xdr:from>
    <xdr:to>
      <xdr:col>2</xdr:col>
      <xdr:colOff>0</xdr:colOff>
      <xdr:row>524</xdr:row>
      <xdr:rowOff>0</xdr:rowOff>
    </xdr:to>
    <xdr:pic>
      <xdr:nvPicPr>
        <xdr:cNvPr id="2176" name="Picture 3366" descr="34-1526-2m">
          <a:hlinkClick xmlns:r="http://schemas.openxmlformats.org/officeDocument/2006/relationships" r:id="rId7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1413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542</xdr:row>
      <xdr:rowOff>0</xdr:rowOff>
    </xdr:from>
    <xdr:to>
      <xdr:col>2</xdr:col>
      <xdr:colOff>0</xdr:colOff>
      <xdr:row>543</xdr:row>
      <xdr:rowOff>0</xdr:rowOff>
    </xdr:to>
    <xdr:pic>
      <xdr:nvPicPr>
        <xdr:cNvPr id="2177" name="Picture 3367" descr="34-2543m">
          <a:hlinkClick xmlns:r="http://schemas.openxmlformats.org/officeDocument/2006/relationships" r:id="rId7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103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716</xdr:row>
      <xdr:rowOff>0</xdr:rowOff>
    </xdr:from>
    <xdr:to>
      <xdr:col>2</xdr:col>
      <xdr:colOff>0</xdr:colOff>
      <xdr:row>717</xdr:row>
      <xdr:rowOff>0</xdr:rowOff>
    </xdr:to>
    <xdr:pic>
      <xdr:nvPicPr>
        <xdr:cNvPr id="2178" name="Picture 3368" descr="44-6543m">
          <a:hlinkClick xmlns:r="http://schemas.openxmlformats.org/officeDocument/2006/relationships" r:id="rId7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787</xdr:row>
      <xdr:rowOff>0</xdr:rowOff>
    </xdr:from>
    <xdr:to>
      <xdr:col>2</xdr:col>
      <xdr:colOff>0</xdr:colOff>
      <xdr:row>788</xdr:row>
      <xdr:rowOff>0</xdr:rowOff>
    </xdr:to>
    <xdr:pic>
      <xdr:nvPicPr>
        <xdr:cNvPr id="2179" name="Picture 3369" descr="64-3543m">
          <a:hlinkClick xmlns:r="http://schemas.openxmlformats.org/officeDocument/2006/relationships" r:id="rId7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506</xdr:row>
      <xdr:rowOff>0</xdr:rowOff>
    </xdr:from>
    <xdr:to>
      <xdr:col>2</xdr:col>
      <xdr:colOff>0</xdr:colOff>
      <xdr:row>507</xdr:row>
      <xdr:rowOff>0</xdr:rowOff>
    </xdr:to>
    <xdr:pic>
      <xdr:nvPicPr>
        <xdr:cNvPr id="2180" name="Picture 3370" descr="32-2543m">
          <a:hlinkClick xmlns:r="http://schemas.openxmlformats.org/officeDocument/2006/relationships" r:id="rId7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05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722</xdr:row>
      <xdr:rowOff>0</xdr:rowOff>
    </xdr:from>
    <xdr:to>
      <xdr:col>2</xdr:col>
      <xdr:colOff>0</xdr:colOff>
      <xdr:row>723</xdr:row>
      <xdr:rowOff>0</xdr:rowOff>
    </xdr:to>
    <xdr:pic>
      <xdr:nvPicPr>
        <xdr:cNvPr id="2181" name="Picture 3372" descr="46-285m">
          <a:hlinkClick xmlns:r="http://schemas.openxmlformats.org/officeDocument/2006/relationships" r:id="rId7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1001</xdr:row>
      <xdr:rowOff>0</xdr:rowOff>
    </xdr:from>
    <xdr:to>
      <xdr:col>2</xdr:col>
      <xdr:colOff>0</xdr:colOff>
      <xdr:row>1002</xdr:row>
      <xdr:rowOff>0</xdr:rowOff>
    </xdr:to>
    <xdr:pic>
      <xdr:nvPicPr>
        <xdr:cNvPr id="2182" name="Picture 3373" descr="sg-024m">
          <a:hlinkClick xmlns:r="http://schemas.openxmlformats.org/officeDocument/2006/relationships" r:id="rId7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2579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1002</xdr:row>
      <xdr:rowOff>0</xdr:rowOff>
    </xdr:from>
    <xdr:to>
      <xdr:col>2</xdr:col>
      <xdr:colOff>0</xdr:colOff>
      <xdr:row>1003</xdr:row>
      <xdr:rowOff>0</xdr:rowOff>
    </xdr:to>
    <xdr:pic>
      <xdr:nvPicPr>
        <xdr:cNvPr id="2183" name="Picture 3374" descr="sg-025m">
          <a:hlinkClick xmlns:r="http://schemas.openxmlformats.org/officeDocument/2006/relationships" r:id="rId7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33419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1003</xdr:row>
      <xdr:rowOff>0</xdr:rowOff>
    </xdr:from>
    <xdr:to>
      <xdr:col>2</xdr:col>
      <xdr:colOff>0</xdr:colOff>
      <xdr:row>1004</xdr:row>
      <xdr:rowOff>0</xdr:rowOff>
    </xdr:to>
    <xdr:pic>
      <xdr:nvPicPr>
        <xdr:cNvPr id="2184" name="Picture 3375" descr="sg-026m">
          <a:hlinkClick xmlns:r="http://schemas.openxmlformats.org/officeDocument/2006/relationships" r:id="rId7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3341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1004</xdr:row>
      <xdr:rowOff>0</xdr:rowOff>
    </xdr:from>
    <xdr:to>
      <xdr:col>2</xdr:col>
      <xdr:colOff>0</xdr:colOff>
      <xdr:row>1005</xdr:row>
      <xdr:rowOff>0</xdr:rowOff>
    </xdr:to>
    <xdr:pic>
      <xdr:nvPicPr>
        <xdr:cNvPr id="2185" name="Picture 3376" descr="sg-027m">
          <a:hlinkClick xmlns:r="http://schemas.openxmlformats.org/officeDocument/2006/relationships" r:id="rId7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4103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1005</xdr:row>
      <xdr:rowOff>0</xdr:rowOff>
    </xdr:from>
    <xdr:to>
      <xdr:col>2</xdr:col>
      <xdr:colOff>0</xdr:colOff>
      <xdr:row>1006</xdr:row>
      <xdr:rowOff>0</xdr:rowOff>
    </xdr:to>
    <xdr:pic>
      <xdr:nvPicPr>
        <xdr:cNvPr id="2186" name="Picture 3377" descr="sg-028m">
          <a:hlinkClick xmlns:r="http://schemas.openxmlformats.org/officeDocument/2006/relationships" r:id="rId7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4865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1006</xdr:row>
      <xdr:rowOff>0</xdr:rowOff>
    </xdr:from>
    <xdr:to>
      <xdr:col>2</xdr:col>
      <xdr:colOff>0</xdr:colOff>
      <xdr:row>1007</xdr:row>
      <xdr:rowOff>0</xdr:rowOff>
    </xdr:to>
    <xdr:pic>
      <xdr:nvPicPr>
        <xdr:cNvPr id="2187" name="Picture 3378" descr="sg-029m">
          <a:hlinkClick xmlns:r="http://schemas.openxmlformats.org/officeDocument/2006/relationships" r:id="rId7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627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1007</xdr:row>
      <xdr:rowOff>0</xdr:rowOff>
    </xdr:from>
    <xdr:to>
      <xdr:col>2</xdr:col>
      <xdr:colOff>0</xdr:colOff>
      <xdr:row>1008</xdr:row>
      <xdr:rowOff>0</xdr:rowOff>
    </xdr:to>
    <xdr:pic>
      <xdr:nvPicPr>
        <xdr:cNvPr id="2188" name="Picture 3379" descr="sg-030m">
          <a:hlinkClick xmlns:r="http://schemas.openxmlformats.org/officeDocument/2006/relationships" r:id="rId7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6389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1009</xdr:row>
      <xdr:rowOff>0</xdr:rowOff>
    </xdr:from>
    <xdr:to>
      <xdr:col>2</xdr:col>
      <xdr:colOff>0</xdr:colOff>
      <xdr:row>1010</xdr:row>
      <xdr:rowOff>0</xdr:rowOff>
    </xdr:to>
    <xdr:pic>
      <xdr:nvPicPr>
        <xdr:cNvPr id="2189" name="Picture 3380" descr="sg-032m">
          <a:hlinkClick xmlns:r="http://schemas.openxmlformats.org/officeDocument/2006/relationships" r:id="rId7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79139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1010</xdr:row>
      <xdr:rowOff>0</xdr:rowOff>
    </xdr:from>
    <xdr:to>
      <xdr:col>2</xdr:col>
      <xdr:colOff>0</xdr:colOff>
      <xdr:row>1011</xdr:row>
      <xdr:rowOff>0</xdr:rowOff>
    </xdr:to>
    <xdr:pic>
      <xdr:nvPicPr>
        <xdr:cNvPr id="2190" name="Picture 3381" descr="sg-033-1m">
          <a:hlinkClick xmlns:r="http://schemas.openxmlformats.org/officeDocument/2006/relationships" r:id="rId7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7913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1011</xdr:row>
      <xdr:rowOff>0</xdr:rowOff>
    </xdr:from>
    <xdr:to>
      <xdr:col>2</xdr:col>
      <xdr:colOff>0</xdr:colOff>
      <xdr:row>1012</xdr:row>
      <xdr:rowOff>0</xdr:rowOff>
    </xdr:to>
    <xdr:pic>
      <xdr:nvPicPr>
        <xdr:cNvPr id="2191" name="Picture 3382" descr="sg-033-2m">
          <a:hlinkClick xmlns:r="http://schemas.openxmlformats.org/officeDocument/2006/relationships" r:id="rId7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86759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1012</xdr:row>
      <xdr:rowOff>0</xdr:rowOff>
    </xdr:from>
    <xdr:to>
      <xdr:col>2</xdr:col>
      <xdr:colOff>0</xdr:colOff>
      <xdr:row>1013</xdr:row>
      <xdr:rowOff>0</xdr:rowOff>
    </xdr:to>
    <xdr:pic>
      <xdr:nvPicPr>
        <xdr:cNvPr id="2192" name="Picture 3383" descr="sg-033-3m">
          <a:hlinkClick xmlns:r="http://schemas.openxmlformats.org/officeDocument/2006/relationships" r:id="rId7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86759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982</xdr:row>
      <xdr:rowOff>0</xdr:rowOff>
    </xdr:from>
    <xdr:to>
      <xdr:col>2</xdr:col>
      <xdr:colOff>0</xdr:colOff>
      <xdr:row>983</xdr:row>
      <xdr:rowOff>0</xdr:rowOff>
    </xdr:to>
    <xdr:pic>
      <xdr:nvPicPr>
        <xdr:cNvPr id="2193" name="Picture 3384" descr="sg-005-1m">
          <a:hlinkClick xmlns:r="http://schemas.openxmlformats.org/officeDocument/2006/relationships" r:id="rId7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2555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714</xdr:row>
      <xdr:rowOff>0</xdr:rowOff>
    </xdr:from>
    <xdr:to>
      <xdr:col>2</xdr:col>
      <xdr:colOff>0</xdr:colOff>
      <xdr:row>714</xdr:row>
      <xdr:rowOff>0</xdr:rowOff>
    </xdr:to>
    <xdr:pic>
      <xdr:nvPicPr>
        <xdr:cNvPr id="2194" name="Picture 3386" descr="46-400m">
          <a:hlinkClick xmlns:r="http://schemas.openxmlformats.org/officeDocument/2006/relationships" r:id="rId7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716</xdr:row>
      <xdr:rowOff>0</xdr:rowOff>
    </xdr:from>
    <xdr:to>
      <xdr:col>2</xdr:col>
      <xdr:colOff>0</xdr:colOff>
      <xdr:row>716</xdr:row>
      <xdr:rowOff>0</xdr:rowOff>
    </xdr:to>
    <xdr:pic>
      <xdr:nvPicPr>
        <xdr:cNvPr id="2195" name="Picture 3387" descr="46-900m">
          <a:hlinkClick xmlns:r="http://schemas.openxmlformats.org/officeDocument/2006/relationships" r:id="rId7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766</xdr:row>
      <xdr:rowOff>0</xdr:rowOff>
    </xdr:from>
    <xdr:to>
      <xdr:col>2</xdr:col>
      <xdr:colOff>0</xdr:colOff>
      <xdr:row>766</xdr:row>
      <xdr:rowOff>0</xdr:rowOff>
    </xdr:to>
    <xdr:pic>
      <xdr:nvPicPr>
        <xdr:cNvPr id="2196" name="Picture 3388" descr="47-100m">
          <a:hlinkClick xmlns:r="http://schemas.openxmlformats.org/officeDocument/2006/relationships" r:id="rId7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766</xdr:row>
      <xdr:rowOff>0</xdr:rowOff>
    </xdr:from>
    <xdr:to>
      <xdr:col>2</xdr:col>
      <xdr:colOff>0</xdr:colOff>
      <xdr:row>766</xdr:row>
      <xdr:rowOff>0</xdr:rowOff>
    </xdr:to>
    <xdr:pic>
      <xdr:nvPicPr>
        <xdr:cNvPr id="2197" name="Picture 3389" descr="47-900m">
          <a:hlinkClick xmlns:r="http://schemas.openxmlformats.org/officeDocument/2006/relationships" r:id="rId7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868</xdr:row>
      <xdr:rowOff>0</xdr:rowOff>
    </xdr:from>
    <xdr:to>
      <xdr:col>2</xdr:col>
      <xdr:colOff>0</xdr:colOff>
      <xdr:row>869</xdr:row>
      <xdr:rowOff>0</xdr:rowOff>
    </xdr:to>
    <xdr:pic>
      <xdr:nvPicPr>
        <xdr:cNvPr id="2198" name="Picture 3390" descr="83-7539m">
          <a:hlinkClick xmlns:r="http://schemas.openxmlformats.org/officeDocument/2006/relationships" r:id="rId7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601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869</xdr:row>
      <xdr:rowOff>0</xdr:rowOff>
    </xdr:from>
    <xdr:to>
      <xdr:col>2</xdr:col>
      <xdr:colOff>0</xdr:colOff>
      <xdr:row>870</xdr:row>
      <xdr:rowOff>0</xdr:rowOff>
    </xdr:to>
    <xdr:pic>
      <xdr:nvPicPr>
        <xdr:cNvPr id="2199" name="Picture 3391" descr="83-9538m">
          <a:hlinkClick xmlns:r="http://schemas.openxmlformats.org/officeDocument/2006/relationships" r:id="rId7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601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784</xdr:row>
      <xdr:rowOff>0</xdr:rowOff>
    </xdr:from>
    <xdr:to>
      <xdr:col>2</xdr:col>
      <xdr:colOff>0</xdr:colOff>
      <xdr:row>785</xdr:row>
      <xdr:rowOff>0</xdr:rowOff>
    </xdr:to>
    <xdr:pic>
      <xdr:nvPicPr>
        <xdr:cNvPr id="2200" name="Picture 3392" descr="62-285m">
          <a:hlinkClick xmlns:r="http://schemas.openxmlformats.org/officeDocument/2006/relationships" r:id="rId7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858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792</xdr:row>
      <xdr:rowOff>0</xdr:rowOff>
    </xdr:from>
    <xdr:to>
      <xdr:col>2</xdr:col>
      <xdr:colOff>0</xdr:colOff>
      <xdr:row>793</xdr:row>
      <xdr:rowOff>0</xdr:rowOff>
    </xdr:to>
    <xdr:pic>
      <xdr:nvPicPr>
        <xdr:cNvPr id="2201" name="Picture 3393" descr="64-5504m">
          <a:hlinkClick xmlns:r="http://schemas.openxmlformats.org/officeDocument/2006/relationships" r:id="rId7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363</xdr:row>
      <xdr:rowOff>0</xdr:rowOff>
    </xdr:to>
    <xdr:pic>
      <xdr:nvPicPr>
        <xdr:cNvPr id="2202" name="Picture 3394" descr="41-4531m">
          <a:hlinkClick xmlns:r="http://schemas.openxmlformats.org/officeDocument/2006/relationships" r:id="rId7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389</xdr:row>
      <xdr:rowOff>0</xdr:rowOff>
    </xdr:from>
    <xdr:to>
      <xdr:col>2</xdr:col>
      <xdr:colOff>0</xdr:colOff>
      <xdr:row>390</xdr:row>
      <xdr:rowOff>0</xdr:rowOff>
    </xdr:to>
    <xdr:pic>
      <xdr:nvPicPr>
        <xdr:cNvPr id="2203" name="Picture 3395" descr="14-679m">
          <a:hlinkClick xmlns:r="http://schemas.openxmlformats.org/officeDocument/2006/relationships" r:id="rId7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90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358</xdr:row>
      <xdr:rowOff>0</xdr:rowOff>
    </xdr:from>
    <xdr:to>
      <xdr:col>2</xdr:col>
      <xdr:colOff>0</xdr:colOff>
      <xdr:row>359</xdr:row>
      <xdr:rowOff>0</xdr:rowOff>
    </xdr:to>
    <xdr:pic>
      <xdr:nvPicPr>
        <xdr:cNvPr id="2204" name="Picture 3396" descr="14-379m">
          <a:hlinkClick xmlns:r="http://schemas.openxmlformats.org/officeDocument/2006/relationships" r:id="rId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05" name="Picture 3397" descr="D-323-01m">
          <a:hlinkClick xmlns:r="http://schemas.openxmlformats.org/officeDocument/2006/relationships" r:id="rId7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06" name="Picture 3398" descr="D-323-02m">
          <a:hlinkClick xmlns:r="http://schemas.openxmlformats.org/officeDocument/2006/relationships" r:id="rId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07" name="Picture 3399" descr="D-323-05m">
          <a:hlinkClick xmlns:r="http://schemas.openxmlformats.org/officeDocument/2006/relationships" r:id="rId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08" name="Picture 3400" descr="D-472-0201m">
          <a:hlinkClick xmlns:r="http://schemas.openxmlformats.org/officeDocument/2006/relationships" r:id="rId7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09" name="Picture 3401" descr="D-323-30m">
          <a:hlinkClick xmlns:r="http://schemas.openxmlformats.org/officeDocument/2006/relationships" r:id="rId7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0" name="Picture 3402" descr="D-593L-02m">
          <a:hlinkClick xmlns:r="http://schemas.openxmlformats.org/officeDocument/2006/relationships" r:id="rId7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1" name="Picture 3403" descr="D-593L-05m">
          <a:hlinkClick xmlns:r="http://schemas.openxmlformats.org/officeDocument/2006/relationships" r:id="rId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2" name="Picture 3404" descr="D-415-01m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3" name="Picture 3405" descr="D-469-01m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4" name="Picture 3406" descr="D-469-01m">
          <a:hlinkClick xmlns:r="http://schemas.openxmlformats.org/officeDocument/2006/relationships" r:id="rId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5" name="Picture 3407" descr="D-489L-01m">
          <a:hlinkClick xmlns:r="http://schemas.openxmlformats.org/officeDocument/2006/relationships" r:id="rId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216" name="Picture 3408" descr="D-495-01m">
          <a:hlinkClick xmlns:r="http://schemas.openxmlformats.org/officeDocument/2006/relationships" r:id="rId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650</xdr:row>
      <xdr:rowOff>0</xdr:rowOff>
    </xdr:from>
    <xdr:to>
      <xdr:col>2</xdr:col>
      <xdr:colOff>0</xdr:colOff>
      <xdr:row>651</xdr:row>
      <xdr:rowOff>0</xdr:rowOff>
    </xdr:to>
    <xdr:pic>
      <xdr:nvPicPr>
        <xdr:cNvPr id="2217" name="Picture 3409" descr="36-2545m">
          <a:hlinkClick xmlns:r="http://schemas.openxmlformats.org/officeDocument/2006/relationships" r:id="rId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488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413</xdr:row>
      <xdr:rowOff>0</xdr:rowOff>
    </xdr:from>
    <xdr:to>
      <xdr:col>2</xdr:col>
      <xdr:colOff>0</xdr:colOff>
      <xdr:row>414</xdr:row>
      <xdr:rowOff>0</xdr:rowOff>
    </xdr:to>
    <xdr:pic>
      <xdr:nvPicPr>
        <xdr:cNvPr id="2218" name="Picture 3410" descr="14-9508m">
          <a:hlinkClick xmlns:r="http://schemas.openxmlformats.org/officeDocument/2006/relationships" r:id="rId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13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462</xdr:row>
      <xdr:rowOff>0</xdr:rowOff>
    </xdr:to>
    <xdr:pic>
      <xdr:nvPicPr>
        <xdr:cNvPr id="2219" name="Picture 3411" descr="28-3545m">
          <a:hlinkClick xmlns:r="http://schemas.openxmlformats.org/officeDocument/2006/relationships" r:id="rId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785</xdr:row>
      <xdr:rowOff>0</xdr:rowOff>
    </xdr:from>
    <xdr:to>
      <xdr:col>2</xdr:col>
      <xdr:colOff>0</xdr:colOff>
      <xdr:row>786</xdr:row>
      <xdr:rowOff>0</xdr:rowOff>
    </xdr:to>
    <xdr:pic>
      <xdr:nvPicPr>
        <xdr:cNvPr id="2220" name="Picture 3412" descr="62-3544m">
          <a:hlinkClick xmlns:r="http://schemas.openxmlformats.org/officeDocument/2006/relationships" r:id="rId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34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564</xdr:row>
      <xdr:rowOff>0</xdr:rowOff>
    </xdr:from>
    <xdr:to>
      <xdr:col>2</xdr:col>
      <xdr:colOff>0</xdr:colOff>
      <xdr:row>565</xdr:row>
      <xdr:rowOff>0</xdr:rowOff>
    </xdr:to>
    <xdr:pic>
      <xdr:nvPicPr>
        <xdr:cNvPr id="2221" name="Picture 3413" descr="34-4545m">
          <a:hlinkClick xmlns:r="http://schemas.openxmlformats.org/officeDocument/2006/relationships" r:id="rId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723</xdr:row>
      <xdr:rowOff>0</xdr:rowOff>
    </xdr:from>
    <xdr:to>
      <xdr:col>2</xdr:col>
      <xdr:colOff>0</xdr:colOff>
      <xdr:row>724</xdr:row>
      <xdr:rowOff>0</xdr:rowOff>
    </xdr:to>
    <xdr:pic>
      <xdr:nvPicPr>
        <xdr:cNvPr id="2222" name="Picture 3414" descr="46-4544m">
          <a:hlinkClick xmlns:r="http://schemas.openxmlformats.org/officeDocument/2006/relationships" r:id="rId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91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603</xdr:row>
      <xdr:rowOff>0</xdr:rowOff>
    </xdr:from>
    <xdr:to>
      <xdr:col>2</xdr:col>
      <xdr:colOff>0</xdr:colOff>
      <xdr:row>604</xdr:row>
      <xdr:rowOff>0</xdr:rowOff>
    </xdr:to>
    <xdr:pic>
      <xdr:nvPicPr>
        <xdr:cNvPr id="2223" name="Picture 3415" descr="34-9508m">
          <a:hlinkClick xmlns:r="http://schemas.openxmlformats.org/officeDocument/2006/relationships" r:id="rId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786</xdr:row>
      <xdr:rowOff>0</xdr:rowOff>
    </xdr:from>
    <xdr:to>
      <xdr:col>2</xdr:col>
      <xdr:colOff>0</xdr:colOff>
      <xdr:row>787</xdr:row>
      <xdr:rowOff>0</xdr:rowOff>
    </xdr:to>
    <xdr:pic>
      <xdr:nvPicPr>
        <xdr:cNvPr id="2224" name="Picture 3416" descr="64-3538m">
          <a:hlinkClick xmlns:r="http://schemas.openxmlformats.org/officeDocument/2006/relationships" r:id="rId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34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507</xdr:row>
      <xdr:rowOff>0</xdr:rowOff>
    </xdr:from>
    <xdr:to>
      <xdr:col>2</xdr:col>
      <xdr:colOff>0</xdr:colOff>
      <xdr:row>508</xdr:row>
      <xdr:rowOff>0</xdr:rowOff>
    </xdr:to>
    <xdr:pic>
      <xdr:nvPicPr>
        <xdr:cNvPr id="2225" name="Picture 3417" descr="32-365m">
          <a:hlinkClick xmlns:r="http://schemas.openxmlformats.org/officeDocument/2006/relationships" r:id="rId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05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548</xdr:row>
      <xdr:rowOff>0</xdr:rowOff>
    </xdr:to>
    <xdr:pic>
      <xdr:nvPicPr>
        <xdr:cNvPr id="2226" name="Picture 3418" descr="34-265m">
          <a:hlinkClick xmlns:r="http://schemas.openxmlformats.org/officeDocument/2006/relationships" r:id="rId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256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581</xdr:row>
      <xdr:rowOff>0</xdr:rowOff>
    </xdr:from>
    <xdr:to>
      <xdr:col>2</xdr:col>
      <xdr:colOff>0</xdr:colOff>
      <xdr:row>582</xdr:row>
      <xdr:rowOff>0</xdr:rowOff>
    </xdr:to>
    <xdr:pic>
      <xdr:nvPicPr>
        <xdr:cNvPr id="2227" name="Picture 3419" descr="34-565m">
          <a:hlinkClick xmlns:r="http://schemas.openxmlformats.org/officeDocument/2006/relationships" r:id="rId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504</xdr:row>
      <xdr:rowOff>0</xdr:rowOff>
    </xdr:from>
    <xdr:to>
      <xdr:col>2</xdr:col>
      <xdr:colOff>0</xdr:colOff>
      <xdr:row>505</xdr:row>
      <xdr:rowOff>0</xdr:rowOff>
    </xdr:to>
    <xdr:pic>
      <xdr:nvPicPr>
        <xdr:cNvPr id="2228" name="Picture 3420" descr="32-165m">
          <a:hlinkClick xmlns:r="http://schemas.openxmlformats.org/officeDocument/2006/relationships" r:id="rId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05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721</xdr:row>
      <xdr:rowOff>0</xdr:rowOff>
    </xdr:from>
    <xdr:to>
      <xdr:col>2</xdr:col>
      <xdr:colOff>0</xdr:colOff>
      <xdr:row>722</xdr:row>
      <xdr:rowOff>0</xdr:rowOff>
    </xdr:to>
    <xdr:pic>
      <xdr:nvPicPr>
        <xdr:cNvPr id="2229" name="Picture 3421" descr="46-1544m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724</xdr:row>
      <xdr:rowOff>0</xdr:rowOff>
    </xdr:from>
    <xdr:to>
      <xdr:col>2</xdr:col>
      <xdr:colOff>0</xdr:colOff>
      <xdr:row>725</xdr:row>
      <xdr:rowOff>0</xdr:rowOff>
    </xdr:to>
    <xdr:pic>
      <xdr:nvPicPr>
        <xdr:cNvPr id="2230" name="Picture 3422" descr="46-9544m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267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795</xdr:row>
      <xdr:rowOff>0</xdr:rowOff>
    </xdr:from>
    <xdr:to>
      <xdr:col>2</xdr:col>
      <xdr:colOff>0</xdr:colOff>
      <xdr:row>796</xdr:row>
      <xdr:rowOff>0</xdr:rowOff>
    </xdr:to>
    <xdr:pic>
      <xdr:nvPicPr>
        <xdr:cNvPr id="2231" name="Picture 3423" descr="64-9538m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490</xdr:row>
      <xdr:rowOff>0</xdr:rowOff>
    </xdr:from>
    <xdr:to>
      <xdr:col>2</xdr:col>
      <xdr:colOff>9525</xdr:colOff>
      <xdr:row>491</xdr:row>
      <xdr:rowOff>0</xdr:rowOff>
    </xdr:to>
    <xdr:pic>
      <xdr:nvPicPr>
        <xdr:cNvPr id="2232" name="Picture 3927" descr="14-136m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756</xdr:row>
      <xdr:rowOff>0</xdr:rowOff>
    </xdr:from>
    <xdr:to>
      <xdr:col>2</xdr:col>
      <xdr:colOff>9525</xdr:colOff>
      <xdr:row>757</xdr:row>
      <xdr:rowOff>0</xdr:rowOff>
    </xdr:to>
    <xdr:pic>
      <xdr:nvPicPr>
        <xdr:cNvPr id="2233" name="Picture 3927" descr="14-136m">
          <a:hlinkClick xmlns:r="http://schemas.openxmlformats.org/officeDocument/2006/relationships" r:id="rId8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943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494</xdr:row>
      <xdr:rowOff>0</xdr:rowOff>
    </xdr:from>
    <xdr:to>
      <xdr:col>2</xdr:col>
      <xdr:colOff>0</xdr:colOff>
      <xdr:row>495</xdr:row>
      <xdr:rowOff>0</xdr:rowOff>
    </xdr:to>
    <xdr:pic>
      <xdr:nvPicPr>
        <xdr:cNvPr id="2234" name="Picture 3426" descr="14-1535m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789</xdr:row>
      <xdr:rowOff>0</xdr:rowOff>
    </xdr:from>
    <xdr:to>
      <xdr:col>2</xdr:col>
      <xdr:colOff>0</xdr:colOff>
      <xdr:row>790</xdr:row>
      <xdr:rowOff>0</xdr:rowOff>
    </xdr:to>
    <xdr:pic>
      <xdr:nvPicPr>
        <xdr:cNvPr id="2235" name="Picture 3427" descr="64-4546m">
          <a:hlinkClick xmlns:r="http://schemas.openxmlformats.org/officeDocument/2006/relationships" r:id="rId8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308</xdr:row>
      <xdr:rowOff>0</xdr:rowOff>
    </xdr:to>
    <xdr:pic>
      <xdr:nvPicPr>
        <xdr:cNvPr id="2236" name="Picture 3428" descr="14-1537m">
          <a:hlinkClick xmlns:r="http://schemas.openxmlformats.org/officeDocument/2006/relationships" r:id="rId8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05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308</xdr:row>
      <xdr:rowOff>0</xdr:rowOff>
    </xdr:to>
    <xdr:pic>
      <xdr:nvPicPr>
        <xdr:cNvPr id="2237" name="Picture 3429" descr="14-1537-1m">
          <a:hlinkClick xmlns:r="http://schemas.openxmlformats.org/officeDocument/2006/relationships" r:id="rId8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05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1132</xdr:row>
      <xdr:rowOff>0</xdr:rowOff>
    </xdr:from>
    <xdr:to>
      <xdr:col>2</xdr:col>
      <xdr:colOff>0</xdr:colOff>
      <xdr:row>1133</xdr:row>
      <xdr:rowOff>0</xdr:rowOff>
    </xdr:to>
    <xdr:pic>
      <xdr:nvPicPr>
        <xdr:cNvPr id="2238" name="Picture 3430" descr="T-LS-044m">
          <a:hlinkClick xmlns:r="http://schemas.openxmlformats.org/officeDocument/2006/relationships" r:id="rId8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820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1133</xdr:row>
      <xdr:rowOff>0</xdr:rowOff>
    </xdr:from>
    <xdr:to>
      <xdr:col>2</xdr:col>
      <xdr:colOff>0</xdr:colOff>
      <xdr:row>1134</xdr:row>
      <xdr:rowOff>0</xdr:rowOff>
    </xdr:to>
    <xdr:pic>
      <xdr:nvPicPr>
        <xdr:cNvPr id="2239" name="Picture 3431" descr="T-LS-044m">
          <a:hlinkClick xmlns:r="http://schemas.openxmlformats.org/officeDocument/2006/relationships" r:id="rId8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896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240" name="Picture 3432" descr="14-1542m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057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241" name="Picture 3433" descr="14-1543m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309</xdr:row>
      <xdr:rowOff>0</xdr:rowOff>
    </xdr:from>
    <xdr:to>
      <xdr:col>2</xdr:col>
      <xdr:colOff>0</xdr:colOff>
      <xdr:row>310</xdr:row>
      <xdr:rowOff>0</xdr:rowOff>
    </xdr:to>
    <xdr:pic>
      <xdr:nvPicPr>
        <xdr:cNvPr id="2242" name="Picture 3434" descr="14-1545m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81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526</xdr:row>
      <xdr:rowOff>0</xdr:rowOff>
    </xdr:from>
    <xdr:to>
      <xdr:col>2</xdr:col>
      <xdr:colOff>0</xdr:colOff>
      <xdr:row>526</xdr:row>
      <xdr:rowOff>0</xdr:rowOff>
    </xdr:to>
    <xdr:pic>
      <xdr:nvPicPr>
        <xdr:cNvPr id="2243" name="Picture 3435" descr="14-1542m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903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2244" name="Picture 3436" descr="14-1543m">
          <a:hlinkClick xmlns:r="http://schemas.openxmlformats.org/officeDocument/2006/relationships" r:id="rId8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03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636</xdr:row>
      <xdr:rowOff>0</xdr:rowOff>
    </xdr:from>
    <xdr:to>
      <xdr:col>2</xdr:col>
      <xdr:colOff>0</xdr:colOff>
      <xdr:row>637</xdr:row>
      <xdr:rowOff>0</xdr:rowOff>
    </xdr:to>
    <xdr:pic>
      <xdr:nvPicPr>
        <xdr:cNvPr id="2245" name="Picture 3437" descr="14-1542m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726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637</xdr:row>
      <xdr:rowOff>0</xdr:rowOff>
    </xdr:from>
    <xdr:to>
      <xdr:col>2</xdr:col>
      <xdr:colOff>0</xdr:colOff>
      <xdr:row>638</xdr:row>
      <xdr:rowOff>0</xdr:rowOff>
    </xdr:to>
    <xdr:pic>
      <xdr:nvPicPr>
        <xdr:cNvPr id="2246" name="Picture 3438" descr="14-1543m">
          <a:hlinkClick xmlns:r="http://schemas.openxmlformats.org/officeDocument/2006/relationships" r:id="rId8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7269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1257</xdr:row>
      <xdr:rowOff>0</xdr:rowOff>
    </xdr:from>
    <xdr:to>
      <xdr:col>2</xdr:col>
      <xdr:colOff>0</xdr:colOff>
      <xdr:row>1258</xdr:row>
      <xdr:rowOff>0</xdr:rowOff>
    </xdr:to>
    <xdr:pic>
      <xdr:nvPicPr>
        <xdr:cNvPr id="2247" name="Picture 3439" descr="t-ts-057m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97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232</xdr:row>
      <xdr:rowOff>0</xdr:rowOff>
    </xdr:to>
    <xdr:pic>
      <xdr:nvPicPr>
        <xdr:cNvPr id="2248" name="Picture 3440" descr="14-1544m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663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638</xdr:row>
      <xdr:rowOff>0</xdr:rowOff>
    </xdr:from>
    <xdr:to>
      <xdr:col>2</xdr:col>
      <xdr:colOff>0</xdr:colOff>
      <xdr:row>639</xdr:row>
      <xdr:rowOff>0</xdr:rowOff>
    </xdr:to>
    <xdr:pic>
      <xdr:nvPicPr>
        <xdr:cNvPr id="2249" name="Picture 3441" descr="14-1544m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803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226</xdr:row>
      <xdr:rowOff>0</xdr:rowOff>
    </xdr:to>
    <xdr:pic>
      <xdr:nvPicPr>
        <xdr:cNvPr id="2250" name="Picture 3442" descr="14-1559m">
          <a:hlinkClick xmlns:r="http://schemas.openxmlformats.org/officeDocument/2006/relationships" r:id="rId8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11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420</xdr:row>
      <xdr:rowOff>0</xdr:rowOff>
    </xdr:from>
    <xdr:to>
      <xdr:col>2</xdr:col>
      <xdr:colOff>0</xdr:colOff>
      <xdr:row>421</xdr:row>
      <xdr:rowOff>0</xdr:rowOff>
    </xdr:to>
    <xdr:pic>
      <xdr:nvPicPr>
        <xdr:cNvPr id="2251" name="Picture 3443" descr="14-1559m">
          <a:hlinkClick xmlns:r="http://schemas.openxmlformats.org/officeDocument/2006/relationships" r:id="rId8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661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252" name="Picture 3444" descr="14-1559m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621</xdr:row>
      <xdr:rowOff>0</xdr:rowOff>
    </xdr:from>
    <xdr:to>
      <xdr:col>2</xdr:col>
      <xdr:colOff>0</xdr:colOff>
      <xdr:row>622</xdr:row>
      <xdr:rowOff>0</xdr:rowOff>
    </xdr:to>
    <xdr:pic>
      <xdr:nvPicPr>
        <xdr:cNvPr id="2253" name="Picture 3445" descr="14-1559m">
          <a:hlinkClick xmlns:r="http://schemas.openxmlformats.org/officeDocument/2006/relationships" r:id="rId8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041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664</xdr:row>
      <xdr:rowOff>0</xdr:rowOff>
    </xdr:from>
    <xdr:to>
      <xdr:col>2</xdr:col>
      <xdr:colOff>0</xdr:colOff>
      <xdr:row>665</xdr:row>
      <xdr:rowOff>0</xdr:rowOff>
    </xdr:to>
    <xdr:pic>
      <xdr:nvPicPr>
        <xdr:cNvPr id="2254" name="Picture 3446" descr="38-417m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869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938</xdr:row>
      <xdr:rowOff>0</xdr:rowOff>
    </xdr:from>
    <xdr:to>
      <xdr:col>2</xdr:col>
      <xdr:colOff>0</xdr:colOff>
      <xdr:row>939</xdr:row>
      <xdr:rowOff>0</xdr:rowOff>
    </xdr:to>
    <xdr:pic>
      <xdr:nvPicPr>
        <xdr:cNvPr id="2255" name="Picture 3447" descr="RW-22-02m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6844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939</xdr:row>
      <xdr:rowOff>0</xdr:rowOff>
    </xdr:from>
    <xdr:to>
      <xdr:col>2</xdr:col>
      <xdr:colOff>0</xdr:colOff>
      <xdr:row>940</xdr:row>
      <xdr:rowOff>0</xdr:rowOff>
    </xdr:to>
    <xdr:pic>
      <xdr:nvPicPr>
        <xdr:cNvPr id="2256" name="Picture 3448" descr="RW-22-03m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7606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751</xdr:row>
      <xdr:rowOff>0</xdr:rowOff>
    </xdr:from>
    <xdr:to>
      <xdr:col>2</xdr:col>
      <xdr:colOff>0</xdr:colOff>
      <xdr:row>752</xdr:row>
      <xdr:rowOff>0</xdr:rowOff>
    </xdr:to>
    <xdr:pic>
      <xdr:nvPicPr>
        <xdr:cNvPr id="2257" name="Picture 3449" descr="50-1544m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715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688</xdr:row>
      <xdr:rowOff>0</xdr:rowOff>
    </xdr:from>
    <xdr:to>
      <xdr:col>2</xdr:col>
      <xdr:colOff>0</xdr:colOff>
      <xdr:row>689</xdr:row>
      <xdr:rowOff>0</xdr:rowOff>
    </xdr:to>
    <xdr:pic>
      <xdr:nvPicPr>
        <xdr:cNvPr id="2258" name="Picture 3450" descr="42-1559m">
          <a:hlinkClick xmlns:r="http://schemas.openxmlformats.org/officeDocument/2006/relationships" r:id="rId8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403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686</xdr:row>
      <xdr:rowOff>0</xdr:rowOff>
    </xdr:from>
    <xdr:to>
      <xdr:col>2</xdr:col>
      <xdr:colOff>0</xdr:colOff>
      <xdr:row>687</xdr:row>
      <xdr:rowOff>0</xdr:rowOff>
    </xdr:to>
    <xdr:pic>
      <xdr:nvPicPr>
        <xdr:cNvPr id="2259" name="Picture 3451" descr="42-136m">
          <a:hlinkClick xmlns:r="http://schemas.openxmlformats.org/officeDocument/2006/relationships" r:id="rId8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2509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419</xdr:row>
      <xdr:rowOff>0</xdr:rowOff>
    </xdr:from>
    <xdr:to>
      <xdr:col>2</xdr:col>
      <xdr:colOff>0</xdr:colOff>
      <xdr:row>420</xdr:row>
      <xdr:rowOff>0</xdr:rowOff>
    </xdr:to>
    <xdr:pic>
      <xdr:nvPicPr>
        <xdr:cNvPr id="2260" name="Picture 3452" descr="42-136m">
          <a:hlinkClick xmlns:r="http://schemas.openxmlformats.org/officeDocument/2006/relationships" r:id="rId8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661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394</xdr:row>
      <xdr:rowOff>0</xdr:rowOff>
    </xdr:from>
    <xdr:to>
      <xdr:col>2</xdr:col>
      <xdr:colOff>0</xdr:colOff>
      <xdr:row>395</xdr:row>
      <xdr:rowOff>0</xdr:rowOff>
    </xdr:to>
    <xdr:pic>
      <xdr:nvPicPr>
        <xdr:cNvPr id="2261" name="Picture 3453" descr="14-7561m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875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375</xdr:row>
      <xdr:rowOff>0</xdr:rowOff>
    </xdr:from>
    <xdr:to>
      <xdr:col>2</xdr:col>
      <xdr:colOff>0</xdr:colOff>
      <xdr:row>376</xdr:row>
      <xdr:rowOff>0</xdr:rowOff>
    </xdr:to>
    <xdr:pic>
      <xdr:nvPicPr>
        <xdr:cNvPr id="2262" name="Picture 3454" descr="14-5561m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450</xdr:row>
      <xdr:rowOff>0</xdr:rowOff>
    </xdr:from>
    <xdr:to>
      <xdr:col>2</xdr:col>
      <xdr:colOff>0</xdr:colOff>
      <xdr:row>451</xdr:row>
      <xdr:rowOff>0</xdr:rowOff>
    </xdr:to>
    <xdr:pic>
      <xdr:nvPicPr>
        <xdr:cNvPr id="2263" name="Picture 3455" descr="22-427m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85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692</xdr:row>
      <xdr:rowOff>0</xdr:rowOff>
    </xdr:from>
    <xdr:to>
      <xdr:col>2</xdr:col>
      <xdr:colOff>0</xdr:colOff>
      <xdr:row>693</xdr:row>
      <xdr:rowOff>0</xdr:rowOff>
    </xdr:to>
    <xdr:pic>
      <xdr:nvPicPr>
        <xdr:cNvPr id="2264" name="Picture 3456" descr="42-427m">
          <a:hlinkClick xmlns:r="http://schemas.openxmlformats.org/officeDocument/2006/relationships" r:id="rId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555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772</xdr:row>
      <xdr:rowOff>0</xdr:rowOff>
    </xdr:from>
    <xdr:to>
      <xdr:col>2</xdr:col>
      <xdr:colOff>0</xdr:colOff>
      <xdr:row>773</xdr:row>
      <xdr:rowOff>0</xdr:rowOff>
    </xdr:to>
    <xdr:pic>
      <xdr:nvPicPr>
        <xdr:cNvPr id="2265" name="Picture 3457" descr="54-427m">
          <a:hlinkClick xmlns:r="http://schemas.openxmlformats.org/officeDocument/2006/relationships" r:id="rId8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7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2266" name="Picture 3458" descr="36-1530m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93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424</xdr:row>
      <xdr:rowOff>0</xdr:rowOff>
    </xdr:from>
    <xdr:to>
      <xdr:col>2</xdr:col>
      <xdr:colOff>0</xdr:colOff>
      <xdr:row>425</xdr:row>
      <xdr:rowOff>0</xdr:rowOff>
    </xdr:to>
    <xdr:pic>
      <xdr:nvPicPr>
        <xdr:cNvPr id="2267" name="Picture 3459" descr="16-523m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42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2268" name="Picture 3460" descr="14-1560m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639</xdr:row>
      <xdr:rowOff>0</xdr:rowOff>
    </xdr:from>
    <xdr:to>
      <xdr:col>2</xdr:col>
      <xdr:colOff>0</xdr:colOff>
      <xdr:row>640</xdr:row>
      <xdr:rowOff>0</xdr:rowOff>
    </xdr:to>
    <xdr:pic>
      <xdr:nvPicPr>
        <xdr:cNvPr id="2269" name="Picture 3461" descr="36-1560m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879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790</xdr:row>
      <xdr:rowOff>0</xdr:rowOff>
    </xdr:from>
    <xdr:to>
      <xdr:col>2</xdr:col>
      <xdr:colOff>0</xdr:colOff>
      <xdr:row>791</xdr:row>
      <xdr:rowOff>0</xdr:rowOff>
    </xdr:to>
    <xdr:pic>
      <xdr:nvPicPr>
        <xdr:cNvPr id="2270" name="Picture 3462" descr="64-523m">
          <a:hlinkClick xmlns:r="http://schemas.openxmlformats.org/officeDocument/2006/relationships" r:id="rId8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691</xdr:row>
      <xdr:rowOff>0</xdr:rowOff>
    </xdr:from>
    <xdr:to>
      <xdr:col>2</xdr:col>
      <xdr:colOff>0</xdr:colOff>
      <xdr:row>692</xdr:row>
      <xdr:rowOff>0</xdr:rowOff>
    </xdr:to>
    <xdr:pic>
      <xdr:nvPicPr>
        <xdr:cNvPr id="2271" name="Picture 3463" descr="42-423m">
          <a:hlinkClick xmlns:r="http://schemas.openxmlformats.org/officeDocument/2006/relationships" r:id="rId8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5557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848</xdr:row>
      <xdr:rowOff>0</xdr:rowOff>
    </xdr:from>
    <xdr:to>
      <xdr:col>2</xdr:col>
      <xdr:colOff>0</xdr:colOff>
      <xdr:row>849</xdr:row>
      <xdr:rowOff>0</xdr:rowOff>
    </xdr:to>
    <xdr:pic>
      <xdr:nvPicPr>
        <xdr:cNvPr id="2272" name="Picture 3464" descr="81-1545m">
          <a:hlinkClick xmlns:r="http://schemas.openxmlformats.org/officeDocument/2006/relationships" r:id="rId8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534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849</xdr:row>
      <xdr:rowOff>0</xdr:rowOff>
    </xdr:from>
    <xdr:to>
      <xdr:col>2</xdr:col>
      <xdr:colOff>0</xdr:colOff>
      <xdr:row>850</xdr:row>
      <xdr:rowOff>0</xdr:rowOff>
    </xdr:to>
    <xdr:pic>
      <xdr:nvPicPr>
        <xdr:cNvPr id="2273" name="Picture 3465" descr="81-1562m">
          <a:hlinkClick xmlns:r="http://schemas.openxmlformats.org/officeDocument/2006/relationships" r:id="rId8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610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870</xdr:row>
      <xdr:rowOff>0</xdr:rowOff>
    </xdr:from>
    <xdr:to>
      <xdr:col>2</xdr:col>
      <xdr:colOff>0</xdr:colOff>
      <xdr:row>871</xdr:row>
      <xdr:rowOff>0</xdr:rowOff>
    </xdr:to>
    <xdr:pic>
      <xdr:nvPicPr>
        <xdr:cNvPr id="2274" name="Picture 3466" descr="84-6563m">
          <a:hlinkClick xmlns:r="http://schemas.openxmlformats.org/officeDocument/2006/relationships" r:id="rId8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601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872</xdr:row>
      <xdr:rowOff>0</xdr:rowOff>
    </xdr:from>
    <xdr:to>
      <xdr:col>2</xdr:col>
      <xdr:colOff>0</xdr:colOff>
      <xdr:row>873</xdr:row>
      <xdr:rowOff>0</xdr:rowOff>
    </xdr:to>
    <xdr:pic>
      <xdr:nvPicPr>
        <xdr:cNvPr id="2275" name="Picture 3467" descr="84-9558m">
          <a:hlinkClick xmlns:r="http://schemas.openxmlformats.org/officeDocument/2006/relationships" r:id="rId8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753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858</xdr:row>
      <xdr:rowOff>0</xdr:rowOff>
    </xdr:from>
    <xdr:to>
      <xdr:col>2</xdr:col>
      <xdr:colOff>0</xdr:colOff>
      <xdr:row>859</xdr:row>
      <xdr:rowOff>0</xdr:rowOff>
    </xdr:to>
    <xdr:pic>
      <xdr:nvPicPr>
        <xdr:cNvPr id="2276" name="Picture 3468" descr="82-6563m">
          <a:hlinkClick xmlns:r="http://schemas.openxmlformats.org/officeDocument/2006/relationships" r:id="rId8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144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860</xdr:row>
      <xdr:rowOff>0</xdr:rowOff>
    </xdr:from>
    <xdr:to>
      <xdr:col>2</xdr:col>
      <xdr:colOff>0</xdr:colOff>
      <xdr:row>861</xdr:row>
      <xdr:rowOff>0</xdr:rowOff>
    </xdr:to>
    <xdr:pic>
      <xdr:nvPicPr>
        <xdr:cNvPr id="2277" name="Picture 3469" descr="82-9558m">
          <a:hlinkClick xmlns:r="http://schemas.openxmlformats.org/officeDocument/2006/relationships" r:id="rId9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96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856</xdr:row>
      <xdr:rowOff>0</xdr:rowOff>
    </xdr:from>
    <xdr:to>
      <xdr:col>2</xdr:col>
      <xdr:colOff>0</xdr:colOff>
      <xdr:row>857</xdr:row>
      <xdr:rowOff>0</xdr:rowOff>
    </xdr:to>
    <xdr:pic>
      <xdr:nvPicPr>
        <xdr:cNvPr id="2278" name="Picture 3470" descr="81-7557m"/>
        <xdr:cNvPicPr>
          <a:picLocks noChangeAspect="1" noChangeArrowheads="1"/>
        </xdr:cNvPicPr>
      </xdr:nvPicPr>
      <xdr:blipFill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991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871</xdr:row>
      <xdr:rowOff>0</xdr:rowOff>
    </xdr:from>
    <xdr:to>
      <xdr:col>2</xdr:col>
      <xdr:colOff>0</xdr:colOff>
      <xdr:row>872</xdr:row>
      <xdr:rowOff>0</xdr:rowOff>
    </xdr:to>
    <xdr:pic>
      <xdr:nvPicPr>
        <xdr:cNvPr id="2279" name="Picture 3471" descr="84-8516m"/>
        <xdr:cNvPicPr>
          <a:picLocks noChangeAspect="1" noChangeArrowheads="1"/>
        </xdr:cNvPicPr>
      </xdr:nvPicPr>
      <xdr:blipFill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677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412</xdr:row>
      <xdr:rowOff>0</xdr:rowOff>
    </xdr:to>
    <xdr:pic>
      <xdr:nvPicPr>
        <xdr:cNvPr id="2280" name="Picture 3472" descr="14-939m">
          <a:hlinkClick xmlns:r="http://schemas.openxmlformats.org/officeDocument/2006/relationships" r:id="rId9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637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794</xdr:row>
      <xdr:rowOff>0</xdr:rowOff>
    </xdr:from>
    <xdr:to>
      <xdr:col>2</xdr:col>
      <xdr:colOff>0</xdr:colOff>
      <xdr:row>795</xdr:row>
      <xdr:rowOff>0</xdr:rowOff>
    </xdr:to>
    <xdr:pic>
      <xdr:nvPicPr>
        <xdr:cNvPr id="2281" name="Picture 3473" descr="64-939m">
          <a:hlinkClick xmlns:r="http://schemas.openxmlformats.org/officeDocument/2006/relationships" r:id="rId9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620</xdr:row>
      <xdr:rowOff>0</xdr:rowOff>
    </xdr:to>
    <xdr:pic>
      <xdr:nvPicPr>
        <xdr:cNvPr id="2282" name="Picture 3474" descr="36-227m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88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791</xdr:row>
      <xdr:rowOff>0</xdr:rowOff>
    </xdr:from>
    <xdr:to>
      <xdr:col>2</xdr:col>
      <xdr:colOff>0</xdr:colOff>
      <xdr:row>792</xdr:row>
      <xdr:rowOff>0</xdr:rowOff>
    </xdr:to>
    <xdr:pic>
      <xdr:nvPicPr>
        <xdr:cNvPr id="2283" name="Picture 3475" descr="64-539m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657</xdr:row>
      <xdr:rowOff>0</xdr:rowOff>
    </xdr:from>
    <xdr:to>
      <xdr:col>2</xdr:col>
      <xdr:colOff>0</xdr:colOff>
      <xdr:row>658</xdr:row>
      <xdr:rowOff>0</xdr:rowOff>
    </xdr:to>
    <xdr:pic>
      <xdr:nvPicPr>
        <xdr:cNvPr id="2284" name="Picture 3476" descr="36-9504m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788</xdr:row>
      <xdr:rowOff>0</xdr:rowOff>
    </xdr:from>
    <xdr:to>
      <xdr:col>2</xdr:col>
      <xdr:colOff>0</xdr:colOff>
      <xdr:row>789</xdr:row>
      <xdr:rowOff>0</xdr:rowOff>
    </xdr:to>
    <xdr:pic>
      <xdr:nvPicPr>
        <xdr:cNvPr id="2285" name="Picture 3477" descr="64-4505m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846</xdr:row>
      <xdr:rowOff>0</xdr:rowOff>
    </xdr:from>
    <xdr:to>
      <xdr:col>2</xdr:col>
      <xdr:colOff>0</xdr:colOff>
      <xdr:row>847</xdr:row>
      <xdr:rowOff>0</xdr:rowOff>
    </xdr:to>
    <xdr:pic>
      <xdr:nvPicPr>
        <xdr:cNvPr id="2286" name="Picture 3480" descr="10-1m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534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2287" name="Picture 3486" descr="14-1566m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335</xdr:row>
      <xdr:rowOff>0</xdr:rowOff>
    </xdr:from>
    <xdr:to>
      <xdr:col>2</xdr:col>
      <xdr:colOff>0</xdr:colOff>
      <xdr:row>336</xdr:row>
      <xdr:rowOff>0</xdr:rowOff>
    </xdr:to>
    <xdr:pic>
      <xdr:nvPicPr>
        <xdr:cNvPr id="2288" name="Picture 3487" descr="14-207m">
          <a:hlinkClick xmlns:r="http://schemas.openxmlformats.org/officeDocument/2006/relationships" r:id="rId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2289" name="Picture 3488" descr="34-1566m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534</xdr:row>
      <xdr:rowOff>0</xdr:rowOff>
    </xdr:from>
    <xdr:to>
      <xdr:col>2</xdr:col>
      <xdr:colOff>0</xdr:colOff>
      <xdr:row>535</xdr:row>
      <xdr:rowOff>0</xdr:rowOff>
    </xdr:to>
    <xdr:pic>
      <xdr:nvPicPr>
        <xdr:cNvPr id="2290" name="Picture 3489" descr="34-207m">
          <a:hlinkClick xmlns:r="http://schemas.openxmlformats.org/officeDocument/2006/relationships" r:id="rId9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751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536</xdr:row>
      <xdr:rowOff>0</xdr:rowOff>
    </xdr:from>
    <xdr:to>
      <xdr:col>2</xdr:col>
      <xdr:colOff>0</xdr:colOff>
      <xdr:row>537</xdr:row>
      <xdr:rowOff>0</xdr:rowOff>
    </xdr:to>
    <xdr:pic>
      <xdr:nvPicPr>
        <xdr:cNvPr id="2291" name="Picture 3490" descr="34-235m">
          <a:hlinkClick xmlns:r="http://schemas.openxmlformats.org/officeDocument/2006/relationships" r:id="rId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9513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1259</xdr:row>
      <xdr:rowOff>0</xdr:rowOff>
    </xdr:from>
    <xdr:to>
      <xdr:col>2</xdr:col>
      <xdr:colOff>0</xdr:colOff>
      <xdr:row>1260</xdr:row>
      <xdr:rowOff>0</xdr:rowOff>
    </xdr:to>
    <xdr:pic>
      <xdr:nvPicPr>
        <xdr:cNvPr id="2292" name="Picture 3491" descr="T-TS-058m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449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1260</xdr:row>
      <xdr:rowOff>0</xdr:rowOff>
    </xdr:from>
    <xdr:to>
      <xdr:col>2</xdr:col>
      <xdr:colOff>0</xdr:colOff>
      <xdr:row>1261</xdr:row>
      <xdr:rowOff>0</xdr:rowOff>
    </xdr:to>
    <xdr:pic>
      <xdr:nvPicPr>
        <xdr:cNvPr id="2293" name="Picture 3492" descr="T-NLS-058m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526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1178</xdr:row>
      <xdr:rowOff>0</xdr:rowOff>
    </xdr:from>
    <xdr:to>
      <xdr:col>2</xdr:col>
      <xdr:colOff>0</xdr:colOff>
      <xdr:row>1179</xdr:row>
      <xdr:rowOff>0</xdr:rowOff>
    </xdr:to>
    <xdr:pic>
      <xdr:nvPicPr>
        <xdr:cNvPr id="2294" name="Picture 3493" descr="T-NLS-058m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106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1179</xdr:row>
      <xdr:rowOff>0</xdr:rowOff>
    </xdr:from>
    <xdr:to>
      <xdr:col>2</xdr:col>
      <xdr:colOff>0</xdr:colOff>
      <xdr:row>1180</xdr:row>
      <xdr:rowOff>0</xdr:rowOff>
    </xdr:to>
    <xdr:pic>
      <xdr:nvPicPr>
        <xdr:cNvPr id="2295" name="Picture 3494" descr="T-TS-058-Lm">
          <a:hlinkClick xmlns:r="http://schemas.openxmlformats.org/officeDocument/2006/relationships" r:id="rId9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1064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493</xdr:row>
      <xdr:rowOff>0</xdr:rowOff>
    </xdr:to>
    <xdr:pic>
      <xdr:nvPicPr>
        <xdr:cNvPr id="2296" name="Picture 3495" descr="30-1514m">
          <a:hlinkClick xmlns:r="http://schemas.openxmlformats.org/officeDocument/2006/relationships" r:id="rId9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24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249</xdr:row>
      <xdr:rowOff>0</xdr:rowOff>
    </xdr:to>
    <xdr:pic>
      <xdr:nvPicPr>
        <xdr:cNvPr id="2297" name="Picture 3496" descr="14-5564m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775</xdr:row>
      <xdr:rowOff>0</xdr:rowOff>
    </xdr:from>
    <xdr:to>
      <xdr:col>2</xdr:col>
      <xdr:colOff>0</xdr:colOff>
      <xdr:row>776</xdr:row>
      <xdr:rowOff>0</xdr:rowOff>
    </xdr:to>
    <xdr:pic>
      <xdr:nvPicPr>
        <xdr:cNvPr id="2298" name="Picture 3497" descr="14-5564m">
          <a:hlinkClick xmlns:r="http://schemas.openxmlformats.org/officeDocument/2006/relationships" r:id="rId9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248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640</xdr:row>
      <xdr:rowOff>0</xdr:rowOff>
    </xdr:to>
    <xdr:pic>
      <xdr:nvPicPr>
        <xdr:cNvPr id="2299" name="Picture 3498" descr="36-1566m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879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495</xdr:row>
      <xdr:rowOff>0</xdr:rowOff>
    </xdr:from>
    <xdr:to>
      <xdr:col>2</xdr:col>
      <xdr:colOff>0</xdr:colOff>
      <xdr:row>496</xdr:row>
      <xdr:rowOff>0</xdr:rowOff>
    </xdr:to>
    <xdr:pic>
      <xdr:nvPicPr>
        <xdr:cNvPr id="2300" name="Picture 3499" descr="36-1566m">
          <a:hlinkClick xmlns:r="http://schemas.openxmlformats.org/officeDocument/2006/relationships" r:id="rId9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200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421</xdr:row>
      <xdr:rowOff>0</xdr:rowOff>
    </xdr:from>
    <xdr:to>
      <xdr:col>2</xdr:col>
      <xdr:colOff>0</xdr:colOff>
      <xdr:row>422</xdr:row>
      <xdr:rowOff>0</xdr:rowOff>
    </xdr:to>
    <xdr:pic>
      <xdr:nvPicPr>
        <xdr:cNvPr id="2301" name="Picture 3500" descr="36-1566m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42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515</xdr:row>
      <xdr:rowOff>0</xdr:rowOff>
    </xdr:from>
    <xdr:to>
      <xdr:col>2</xdr:col>
      <xdr:colOff>0</xdr:colOff>
      <xdr:row>516</xdr:row>
      <xdr:rowOff>0</xdr:rowOff>
    </xdr:to>
    <xdr:pic>
      <xdr:nvPicPr>
        <xdr:cNvPr id="2302" name="Picture 4164" descr="14-130m">
          <a:hlinkClick xmlns:r="http://schemas.openxmlformats.org/officeDocument/2006/relationships" r:id="rId9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2303" name="Picture 3502" descr="14-1569m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2304" name="Picture 3503" descr="14-1569m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2305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324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2306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324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2307" name="Picture 3506" descr="36-1514m">
          <a:hlinkClick xmlns:r="http://schemas.openxmlformats.org/officeDocument/2006/relationships" r:id="rId9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498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628</xdr:row>
      <xdr:rowOff>0</xdr:rowOff>
    </xdr:from>
    <xdr:to>
      <xdr:col>2</xdr:col>
      <xdr:colOff>0</xdr:colOff>
      <xdr:row>629</xdr:row>
      <xdr:rowOff>0</xdr:rowOff>
    </xdr:to>
    <xdr:pic>
      <xdr:nvPicPr>
        <xdr:cNvPr id="2308" name="Picture 3507" descr="36-1509m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4221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1261</xdr:row>
      <xdr:rowOff>0</xdr:rowOff>
    </xdr:from>
    <xdr:to>
      <xdr:col>2</xdr:col>
      <xdr:colOff>0</xdr:colOff>
      <xdr:row>1262</xdr:row>
      <xdr:rowOff>0</xdr:rowOff>
    </xdr:to>
    <xdr:pic>
      <xdr:nvPicPr>
        <xdr:cNvPr id="2309" name="Picture 3508" descr="t-ts-059m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602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752</xdr:row>
      <xdr:rowOff>0</xdr:rowOff>
    </xdr:from>
    <xdr:to>
      <xdr:col>2</xdr:col>
      <xdr:colOff>0</xdr:colOff>
      <xdr:row>753</xdr:row>
      <xdr:rowOff>0</xdr:rowOff>
    </xdr:to>
    <xdr:pic>
      <xdr:nvPicPr>
        <xdr:cNvPr id="2310" name="Picture 3509" descr="14-1566m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791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511</xdr:row>
      <xdr:rowOff>0</xdr:rowOff>
    </xdr:to>
    <xdr:pic>
      <xdr:nvPicPr>
        <xdr:cNvPr id="2311" name="Picture 3510" descr="34-101SGm">
          <a:hlinkClick xmlns:r="http://schemas.openxmlformats.org/officeDocument/2006/relationships" r:id="rId9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844</xdr:row>
      <xdr:rowOff>0</xdr:rowOff>
    </xdr:from>
    <xdr:to>
      <xdr:col>2</xdr:col>
      <xdr:colOff>0</xdr:colOff>
      <xdr:row>845</xdr:row>
      <xdr:rowOff>0</xdr:rowOff>
    </xdr:to>
    <xdr:pic>
      <xdr:nvPicPr>
        <xdr:cNvPr id="2312" name="Picture 3513" descr="80-14-108m">
          <a:hlinkClick xmlns:r="http://schemas.openxmlformats.org/officeDocument/2006/relationships" r:id="rId9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534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847</xdr:row>
      <xdr:rowOff>0</xdr:rowOff>
    </xdr:from>
    <xdr:to>
      <xdr:col>2</xdr:col>
      <xdr:colOff>0</xdr:colOff>
      <xdr:row>848</xdr:row>
      <xdr:rowOff>0</xdr:rowOff>
    </xdr:to>
    <xdr:pic>
      <xdr:nvPicPr>
        <xdr:cNvPr id="2313" name="Picture 3515" descr="80-14-710m">
          <a:hlinkClick xmlns:r="http://schemas.openxmlformats.org/officeDocument/2006/relationships" r:id="rId9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534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845</xdr:row>
      <xdr:rowOff>0</xdr:rowOff>
    </xdr:from>
    <xdr:to>
      <xdr:col>2</xdr:col>
      <xdr:colOff>0</xdr:colOff>
      <xdr:row>846</xdr:row>
      <xdr:rowOff>0</xdr:rowOff>
    </xdr:to>
    <xdr:pic>
      <xdr:nvPicPr>
        <xdr:cNvPr id="2314" name="Picture 3517" descr="80-14-109m">
          <a:hlinkClick xmlns:r="http://schemas.openxmlformats.org/officeDocument/2006/relationships" r:id="rId9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534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777</xdr:row>
      <xdr:rowOff>0</xdr:rowOff>
    </xdr:to>
    <xdr:pic>
      <xdr:nvPicPr>
        <xdr:cNvPr id="2315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324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1262</xdr:row>
      <xdr:rowOff>0</xdr:rowOff>
    </xdr:from>
    <xdr:to>
      <xdr:col>2</xdr:col>
      <xdr:colOff>0</xdr:colOff>
      <xdr:row>1263</xdr:row>
      <xdr:rowOff>0</xdr:rowOff>
    </xdr:to>
    <xdr:pic>
      <xdr:nvPicPr>
        <xdr:cNvPr id="2316" name="Picture 3527" descr="t-ts-060m">
          <a:hlinkClick xmlns:r="http://schemas.openxmlformats.org/officeDocument/2006/relationships" r:id="rId9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678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388</xdr:row>
      <xdr:rowOff>0</xdr:rowOff>
    </xdr:to>
    <xdr:pic>
      <xdr:nvPicPr>
        <xdr:cNvPr id="2317" name="Picture 3528" descr="14-6532m">
          <a:hlinkClick xmlns:r="http://schemas.openxmlformats.org/officeDocument/2006/relationships" r:id="rId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354</xdr:row>
      <xdr:rowOff>0</xdr:rowOff>
    </xdr:to>
    <xdr:pic>
      <xdr:nvPicPr>
        <xdr:cNvPr id="2318" name="Picture 3529" descr="14-3532m">
          <a:hlinkClick xmlns:r="http://schemas.openxmlformats.org/officeDocument/2006/relationships" r:id="rId9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928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572</xdr:row>
      <xdr:rowOff>0</xdr:rowOff>
    </xdr:to>
    <xdr:pic>
      <xdr:nvPicPr>
        <xdr:cNvPr id="2319" name="Picture 3530" descr="34-5532m">
          <a:hlinkClick xmlns:r="http://schemas.openxmlformats.org/officeDocument/2006/relationships" r:id="rId9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372</xdr:row>
      <xdr:rowOff>0</xdr:rowOff>
    </xdr:from>
    <xdr:to>
      <xdr:col>2</xdr:col>
      <xdr:colOff>0</xdr:colOff>
      <xdr:row>373</xdr:row>
      <xdr:rowOff>0</xdr:rowOff>
    </xdr:to>
    <xdr:pic>
      <xdr:nvPicPr>
        <xdr:cNvPr id="2320" name="Picture 3531" descr="14-5532m">
          <a:hlinkClick xmlns:r="http://schemas.openxmlformats.org/officeDocument/2006/relationships" r:id="rId9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377</xdr:row>
      <xdr:rowOff>0</xdr:rowOff>
    </xdr:from>
    <xdr:to>
      <xdr:col>2</xdr:col>
      <xdr:colOff>0</xdr:colOff>
      <xdr:row>378</xdr:row>
      <xdr:rowOff>0</xdr:rowOff>
    </xdr:to>
    <xdr:pic>
      <xdr:nvPicPr>
        <xdr:cNvPr id="2321" name="Picture 3532" descr="14-5568m">
          <a:hlinkClick xmlns:r="http://schemas.openxmlformats.org/officeDocument/2006/relationships" r:id="rId9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2322" name="Picture 3533" descr="14-6508m">
          <a:hlinkClick xmlns:r="http://schemas.openxmlformats.org/officeDocument/2006/relationships" r:id="rId9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2323" name="Picture 3534" descr="28-4568m">
          <a:hlinkClick xmlns:r="http://schemas.openxmlformats.org/officeDocument/2006/relationships" r:id="rId9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01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576</xdr:row>
      <xdr:rowOff>0</xdr:rowOff>
    </xdr:to>
    <xdr:pic>
      <xdr:nvPicPr>
        <xdr:cNvPr id="2324" name="Picture 3535" descr="34-5568m">
          <a:hlinkClick xmlns:r="http://schemas.openxmlformats.org/officeDocument/2006/relationships" r:id="rId9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133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669</xdr:row>
      <xdr:rowOff>0</xdr:rowOff>
    </xdr:to>
    <xdr:pic>
      <xdr:nvPicPr>
        <xdr:cNvPr id="2325" name="Picture 3536" descr="38-4568m">
          <a:hlinkClick xmlns:r="http://schemas.openxmlformats.org/officeDocument/2006/relationships" r:id="rId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946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793</xdr:row>
      <xdr:rowOff>0</xdr:rowOff>
    </xdr:from>
    <xdr:to>
      <xdr:col>2</xdr:col>
      <xdr:colOff>0</xdr:colOff>
      <xdr:row>794</xdr:row>
      <xdr:rowOff>0</xdr:rowOff>
    </xdr:to>
    <xdr:pic>
      <xdr:nvPicPr>
        <xdr:cNvPr id="2326" name="Picture 3537" descr="64-5541m">
          <a:hlinkClick xmlns:r="http://schemas.openxmlformats.org/officeDocument/2006/relationships" r:id="rId9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0</xdr:rowOff>
    </xdr:to>
    <xdr:pic>
      <xdr:nvPicPr>
        <xdr:cNvPr id="2327" name="Picture 3538" descr="14-1570m">
          <a:hlinkClick xmlns:r="http://schemas.openxmlformats.org/officeDocument/2006/relationships" r:id="rId9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2328" name="Picture 3539" descr="14-5541m">
          <a:hlinkClick xmlns:r="http://schemas.openxmlformats.org/officeDocument/2006/relationships" r:id="rId9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575</xdr:row>
      <xdr:rowOff>0</xdr:rowOff>
    </xdr:to>
    <xdr:pic>
      <xdr:nvPicPr>
        <xdr:cNvPr id="2329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13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351</xdr:row>
      <xdr:rowOff>0</xdr:rowOff>
    </xdr:from>
    <xdr:to>
      <xdr:col>2</xdr:col>
      <xdr:colOff>0</xdr:colOff>
      <xdr:row>352</xdr:row>
      <xdr:rowOff>0</xdr:rowOff>
    </xdr:to>
    <xdr:pic>
      <xdr:nvPicPr>
        <xdr:cNvPr id="2330" name="Picture 3541" descr="14-2VEGm">
          <a:hlinkClick xmlns:r="http://schemas.openxmlformats.org/officeDocument/2006/relationships" r:id="rId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9287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533</xdr:row>
      <xdr:rowOff>0</xdr:rowOff>
    </xdr:to>
    <xdr:pic>
      <xdr:nvPicPr>
        <xdr:cNvPr id="2331" name="Picture 3542" descr="34-1VEGm">
          <a:hlinkClick xmlns:r="http://schemas.openxmlformats.org/officeDocument/2006/relationships" r:id="rId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427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332" name="Picture 3543" descr="34-1570m">
          <a:hlinkClick xmlns:r="http://schemas.openxmlformats.org/officeDocument/2006/relationships" r:id="rId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1125</xdr:row>
      <xdr:rowOff>0</xdr:rowOff>
    </xdr:from>
    <xdr:to>
      <xdr:col>2</xdr:col>
      <xdr:colOff>0</xdr:colOff>
      <xdr:row>1126</xdr:row>
      <xdr:rowOff>0</xdr:rowOff>
    </xdr:to>
    <xdr:pic>
      <xdr:nvPicPr>
        <xdr:cNvPr id="2333" name="Picture 3544" descr="t-ls-020m">
          <a:hlinkClick xmlns:r="http://schemas.openxmlformats.org/officeDocument/2006/relationships" r:id="rId9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3632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1199</xdr:row>
      <xdr:rowOff>0</xdr:rowOff>
    </xdr:from>
    <xdr:to>
      <xdr:col>2</xdr:col>
      <xdr:colOff>0</xdr:colOff>
      <xdr:row>1200</xdr:row>
      <xdr:rowOff>0</xdr:rowOff>
    </xdr:to>
    <xdr:pic>
      <xdr:nvPicPr>
        <xdr:cNvPr id="2334" name="Picture 3545" descr="t-ts-020m">
          <a:hlinkClick xmlns:r="http://schemas.openxmlformats.org/officeDocument/2006/relationships" r:id="rId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097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665</xdr:row>
      <xdr:rowOff>0</xdr:rowOff>
    </xdr:from>
    <xdr:to>
      <xdr:col>2</xdr:col>
      <xdr:colOff>0</xdr:colOff>
      <xdr:row>666</xdr:row>
      <xdr:rowOff>0</xdr:rowOff>
    </xdr:to>
    <xdr:pic>
      <xdr:nvPicPr>
        <xdr:cNvPr id="2335" name="Picture 3553" descr="38-427m">
          <a:hlinkClick xmlns:r="http://schemas.openxmlformats.org/officeDocument/2006/relationships" r:id="rId1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869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768</xdr:row>
      <xdr:rowOff>0</xdr:rowOff>
    </xdr:from>
    <xdr:to>
      <xdr:col>2</xdr:col>
      <xdr:colOff>0</xdr:colOff>
      <xdr:row>769</xdr:row>
      <xdr:rowOff>0</xdr:rowOff>
    </xdr:to>
    <xdr:pic>
      <xdr:nvPicPr>
        <xdr:cNvPr id="2336" name="Picture 3554" descr="53-5565m">
          <a:hlinkClick xmlns:r="http://schemas.openxmlformats.org/officeDocument/2006/relationships" r:id="rId1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769</xdr:row>
      <xdr:rowOff>0</xdr:rowOff>
    </xdr:from>
    <xdr:to>
      <xdr:col>2</xdr:col>
      <xdr:colOff>0</xdr:colOff>
      <xdr:row>770</xdr:row>
      <xdr:rowOff>0</xdr:rowOff>
    </xdr:to>
    <xdr:pic>
      <xdr:nvPicPr>
        <xdr:cNvPr id="2337" name="Picture 3555" descr="53-7565m">
          <a:hlinkClick xmlns:r="http://schemas.openxmlformats.org/officeDocument/2006/relationships" r:id="rId1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544</xdr:row>
      <xdr:rowOff>0</xdr:rowOff>
    </xdr:from>
    <xdr:to>
      <xdr:col>2</xdr:col>
      <xdr:colOff>0</xdr:colOff>
      <xdr:row>545</xdr:row>
      <xdr:rowOff>0</xdr:rowOff>
    </xdr:to>
    <xdr:pic>
      <xdr:nvPicPr>
        <xdr:cNvPr id="2338" name="Picture 3556" descr="34-2571m">
          <a:hlinkClick xmlns:r="http://schemas.openxmlformats.org/officeDocument/2006/relationships" r:id="rId10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1037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343</xdr:row>
      <xdr:rowOff>0</xdr:rowOff>
    </xdr:from>
    <xdr:to>
      <xdr:col>2</xdr:col>
      <xdr:colOff>0</xdr:colOff>
      <xdr:row>344</xdr:row>
      <xdr:rowOff>0</xdr:rowOff>
    </xdr:to>
    <xdr:pic>
      <xdr:nvPicPr>
        <xdr:cNvPr id="2339" name="Picture 3557" descr="14-2571m">
          <a:hlinkClick xmlns:r="http://schemas.openxmlformats.org/officeDocument/2006/relationships" r:id="rId1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547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661</xdr:row>
      <xdr:rowOff>0</xdr:rowOff>
    </xdr:from>
    <xdr:to>
      <xdr:col>2</xdr:col>
      <xdr:colOff>0</xdr:colOff>
      <xdr:row>662</xdr:row>
      <xdr:rowOff>0</xdr:rowOff>
    </xdr:to>
    <xdr:pic>
      <xdr:nvPicPr>
        <xdr:cNvPr id="2340" name="Picture 3558" descr="38-3571m">
          <a:hlinkClick xmlns:r="http://schemas.openxmlformats.org/officeDocument/2006/relationships" r:id="rId1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793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712</xdr:row>
      <xdr:rowOff>0</xdr:rowOff>
    </xdr:from>
    <xdr:to>
      <xdr:col>2</xdr:col>
      <xdr:colOff>0</xdr:colOff>
      <xdr:row>713</xdr:row>
      <xdr:rowOff>0</xdr:rowOff>
    </xdr:to>
    <xdr:pic>
      <xdr:nvPicPr>
        <xdr:cNvPr id="2341" name="Picture 3559" descr="44-2571m">
          <a:hlinkClick xmlns:r="http://schemas.openxmlformats.org/officeDocument/2006/relationships" r:id="rId10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038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2342" name="Picture 3560" descr="34-197m">
          <a:hlinkClick xmlns:r="http://schemas.openxmlformats.org/officeDocument/2006/relationships" r:id="rId10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1136</xdr:row>
      <xdr:rowOff>0</xdr:rowOff>
    </xdr:from>
    <xdr:to>
      <xdr:col>2</xdr:col>
      <xdr:colOff>0</xdr:colOff>
      <xdr:row>1137</xdr:row>
      <xdr:rowOff>0</xdr:rowOff>
    </xdr:to>
    <xdr:pic>
      <xdr:nvPicPr>
        <xdr:cNvPr id="2343" name="Picture 3561" descr="T-TS-061-Lm">
          <a:hlinkClick xmlns:r="http://schemas.openxmlformats.org/officeDocument/2006/relationships" r:id="rId10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049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1264</xdr:row>
      <xdr:rowOff>0</xdr:rowOff>
    </xdr:from>
    <xdr:to>
      <xdr:col>2</xdr:col>
      <xdr:colOff>0</xdr:colOff>
      <xdr:row>1265</xdr:row>
      <xdr:rowOff>0</xdr:rowOff>
    </xdr:to>
    <xdr:pic>
      <xdr:nvPicPr>
        <xdr:cNvPr id="2344" name="Picture 3562" descr="T-TS-061m">
          <a:hlinkClick xmlns:r="http://schemas.openxmlformats.org/officeDocument/2006/relationships" r:id="rId1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830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1265</xdr:row>
      <xdr:rowOff>0</xdr:rowOff>
    </xdr:from>
    <xdr:to>
      <xdr:col>2</xdr:col>
      <xdr:colOff>0</xdr:colOff>
      <xdr:row>1266</xdr:row>
      <xdr:rowOff>0</xdr:rowOff>
    </xdr:to>
    <xdr:pic>
      <xdr:nvPicPr>
        <xdr:cNvPr id="2345" name="Picture 3563" descr="T-TS-061-Lm">
          <a:hlinkClick xmlns:r="http://schemas.openxmlformats.org/officeDocument/2006/relationships" r:id="rId10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907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1266</xdr:row>
      <xdr:rowOff>0</xdr:rowOff>
    </xdr:from>
    <xdr:to>
      <xdr:col>2</xdr:col>
      <xdr:colOff>0</xdr:colOff>
      <xdr:row>1267</xdr:row>
      <xdr:rowOff>0</xdr:rowOff>
    </xdr:to>
    <xdr:pic>
      <xdr:nvPicPr>
        <xdr:cNvPr id="2346" name="Picture 3564" descr="T-TS-062m">
          <a:hlinkClick xmlns:r="http://schemas.openxmlformats.org/officeDocument/2006/relationships" r:id="rId10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983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2347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2348" name="Picture 3566" descr="14-1575m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349" name="Picture 3567" descr="14-1574m">
          <a:hlinkClick xmlns:r="http://schemas.openxmlformats.org/officeDocument/2006/relationships" r:id="rId10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2350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232</xdr:row>
      <xdr:rowOff>0</xdr:rowOff>
    </xdr:to>
    <xdr:pic>
      <xdr:nvPicPr>
        <xdr:cNvPr id="2351" name="Picture 3571" descr="14-1574m">
          <a:hlinkClick xmlns:r="http://schemas.openxmlformats.org/officeDocument/2006/relationships" r:id="rId1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663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2352" name="Picture 3572" descr="14-1574m">
          <a:hlinkClick xmlns:r="http://schemas.openxmlformats.org/officeDocument/2006/relationships" r:id="rId10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9329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485</xdr:row>
      <xdr:rowOff>0</xdr:rowOff>
    </xdr:from>
    <xdr:to>
      <xdr:col>2</xdr:col>
      <xdr:colOff>0</xdr:colOff>
      <xdr:row>486</xdr:row>
      <xdr:rowOff>0</xdr:rowOff>
    </xdr:to>
    <xdr:pic>
      <xdr:nvPicPr>
        <xdr:cNvPr id="2353" name="Picture 3573" descr="14-5564m">
          <a:hlinkClick xmlns:r="http://schemas.openxmlformats.org/officeDocument/2006/relationships" r:id="rId10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048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1121</xdr:row>
      <xdr:rowOff>0</xdr:rowOff>
    </xdr:from>
    <xdr:to>
      <xdr:col>2</xdr:col>
      <xdr:colOff>19050</xdr:colOff>
      <xdr:row>1122</xdr:row>
      <xdr:rowOff>0</xdr:rowOff>
    </xdr:to>
    <xdr:pic>
      <xdr:nvPicPr>
        <xdr:cNvPr id="2354" name="Picture 3574" descr="T-LS-002m">
          <a:hlinkClick xmlns:r="http://schemas.openxmlformats.org/officeDocument/2006/relationships" r:id="rId10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0584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762</xdr:row>
      <xdr:rowOff>0</xdr:rowOff>
    </xdr:from>
    <xdr:to>
      <xdr:col>2</xdr:col>
      <xdr:colOff>19050</xdr:colOff>
      <xdr:row>763</xdr:row>
      <xdr:rowOff>0</xdr:rowOff>
    </xdr:to>
    <xdr:pic>
      <xdr:nvPicPr>
        <xdr:cNvPr id="2355" name="Picture 3575" descr="52-1559m">
          <a:hlinkClick xmlns:r="http://schemas.openxmlformats.org/officeDocument/2006/relationships" r:id="rId10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1981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1270</xdr:row>
      <xdr:rowOff>0</xdr:rowOff>
    </xdr:from>
    <xdr:to>
      <xdr:col>2</xdr:col>
      <xdr:colOff>19050</xdr:colOff>
      <xdr:row>1271</xdr:row>
      <xdr:rowOff>0</xdr:rowOff>
    </xdr:to>
    <xdr:pic>
      <xdr:nvPicPr>
        <xdr:cNvPr id="2356" name="Picture 3576" descr="T-TS-064-Om">
          <a:hlinkClick xmlns:r="http://schemas.openxmlformats.org/officeDocument/2006/relationships" r:id="rId10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21186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1269</xdr:row>
      <xdr:rowOff>0</xdr:rowOff>
    </xdr:from>
    <xdr:to>
      <xdr:col>2</xdr:col>
      <xdr:colOff>19050</xdr:colOff>
      <xdr:row>1270</xdr:row>
      <xdr:rowOff>0</xdr:rowOff>
    </xdr:to>
    <xdr:pic>
      <xdr:nvPicPr>
        <xdr:cNvPr id="2357" name="Picture 3577" descr="T-TS-064-LBm">
          <a:hlinkClick xmlns:r="http://schemas.openxmlformats.org/officeDocument/2006/relationships" r:id="rId10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1356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1268</xdr:row>
      <xdr:rowOff>0</xdr:rowOff>
    </xdr:from>
    <xdr:to>
      <xdr:col>2</xdr:col>
      <xdr:colOff>19050</xdr:colOff>
      <xdr:row>1269</xdr:row>
      <xdr:rowOff>0</xdr:rowOff>
    </xdr:to>
    <xdr:pic>
      <xdr:nvPicPr>
        <xdr:cNvPr id="2358" name="Picture 3578" descr="T-TS-064-Gm">
          <a:hlinkClick xmlns:r="http://schemas.openxmlformats.org/officeDocument/2006/relationships" r:id="rId10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13566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1267</xdr:row>
      <xdr:rowOff>0</xdr:rowOff>
    </xdr:from>
    <xdr:to>
      <xdr:col>2</xdr:col>
      <xdr:colOff>19050</xdr:colOff>
      <xdr:row>1268</xdr:row>
      <xdr:rowOff>0</xdr:rowOff>
    </xdr:to>
    <xdr:pic>
      <xdr:nvPicPr>
        <xdr:cNvPr id="2359" name="Picture 3579" descr="T-TS-063m">
          <a:hlinkClick xmlns:r="http://schemas.openxmlformats.org/officeDocument/2006/relationships" r:id="rId1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0594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482</xdr:row>
      <xdr:rowOff>0</xdr:rowOff>
    </xdr:from>
    <xdr:to>
      <xdr:col>2</xdr:col>
      <xdr:colOff>0</xdr:colOff>
      <xdr:row>483</xdr:row>
      <xdr:rowOff>0</xdr:rowOff>
    </xdr:to>
    <xdr:pic>
      <xdr:nvPicPr>
        <xdr:cNvPr id="2360" name="Picture 3580" descr="14-1530m">
          <a:hlinkClick xmlns:r="http://schemas.openxmlformats.org/officeDocument/2006/relationships" r:id="rId1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19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682</xdr:row>
      <xdr:rowOff>0</xdr:rowOff>
    </xdr:from>
    <xdr:to>
      <xdr:col>2</xdr:col>
      <xdr:colOff>19050</xdr:colOff>
      <xdr:row>683</xdr:row>
      <xdr:rowOff>0</xdr:rowOff>
    </xdr:to>
    <xdr:pic>
      <xdr:nvPicPr>
        <xdr:cNvPr id="2361" name="Picture 3581" descr="41-4576m">
          <a:hlinkClick xmlns:r="http://schemas.openxmlformats.org/officeDocument/2006/relationships" r:id="rId1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2509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246</xdr:row>
      <xdr:rowOff>0</xdr:rowOff>
    </xdr:to>
    <xdr:pic>
      <xdr:nvPicPr>
        <xdr:cNvPr id="2362" name="Picture 3582" descr="28-4576m">
          <a:hlinkClick xmlns:r="http://schemas.openxmlformats.org/officeDocument/2006/relationships" r:id="rId1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395</xdr:row>
      <xdr:rowOff>0</xdr:rowOff>
    </xdr:from>
    <xdr:to>
      <xdr:col>2</xdr:col>
      <xdr:colOff>19050</xdr:colOff>
      <xdr:row>396</xdr:row>
      <xdr:rowOff>0</xdr:rowOff>
    </xdr:to>
    <xdr:pic>
      <xdr:nvPicPr>
        <xdr:cNvPr id="2363" name="Picture 3583" descr="14-7573m">
          <a:hlinkClick xmlns:r="http://schemas.openxmlformats.org/officeDocument/2006/relationships" r:id="rId1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9517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560</xdr:row>
      <xdr:rowOff>0</xdr:rowOff>
    </xdr:from>
    <xdr:to>
      <xdr:col>2</xdr:col>
      <xdr:colOff>0</xdr:colOff>
      <xdr:row>561</xdr:row>
      <xdr:rowOff>0</xdr:rowOff>
    </xdr:to>
    <xdr:pic>
      <xdr:nvPicPr>
        <xdr:cNvPr id="2364" name="Picture 3584" descr="34-379m">
          <a:hlinkClick xmlns:r="http://schemas.openxmlformats.org/officeDocument/2006/relationships" r:id="rId1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84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2365" name="Picture 3585" descr="14-1577m">
          <a:hlinkClick xmlns:r="http://schemas.openxmlformats.org/officeDocument/2006/relationships" r:id="rId1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266</xdr:row>
      <xdr:rowOff>0</xdr:rowOff>
    </xdr:from>
    <xdr:to>
      <xdr:col>2</xdr:col>
      <xdr:colOff>19050</xdr:colOff>
      <xdr:row>267</xdr:row>
      <xdr:rowOff>0</xdr:rowOff>
    </xdr:to>
    <xdr:pic>
      <xdr:nvPicPr>
        <xdr:cNvPr id="2366" name="Picture 3586" descr="14-1577m">
          <a:hlinkClick xmlns:r="http://schemas.openxmlformats.org/officeDocument/2006/relationships" r:id="rId10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035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590</xdr:row>
      <xdr:rowOff>0</xdr:rowOff>
    </xdr:from>
    <xdr:to>
      <xdr:col>2</xdr:col>
      <xdr:colOff>19050</xdr:colOff>
      <xdr:row>591</xdr:row>
      <xdr:rowOff>0</xdr:rowOff>
    </xdr:to>
    <xdr:pic>
      <xdr:nvPicPr>
        <xdr:cNvPr id="2367" name="Picture 3587" descr="14-7573m">
          <a:hlinkClick xmlns:r="http://schemas.openxmlformats.org/officeDocument/2006/relationships" r:id="rId10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43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253</xdr:row>
      <xdr:rowOff>0</xdr:rowOff>
    </xdr:from>
    <xdr:to>
      <xdr:col>2</xdr:col>
      <xdr:colOff>19050</xdr:colOff>
      <xdr:row>254</xdr:row>
      <xdr:rowOff>0</xdr:rowOff>
    </xdr:to>
    <xdr:pic>
      <xdr:nvPicPr>
        <xdr:cNvPr id="2368" name="Picture 3588" descr="28-215m">
          <a:hlinkClick xmlns:r="http://schemas.openxmlformats.org/officeDocument/2006/relationships" r:id="rId10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654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885</xdr:row>
      <xdr:rowOff>0</xdr:rowOff>
    </xdr:from>
    <xdr:to>
      <xdr:col>2</xdr:col>
      <xdr:colOff>19050</xdr:colOff>
      <xdr:row>886</xdr:row>
      <xdr:rowOff>0</xdr:rowOff>
    </xdr:to>
    <xdr:pic>
      <xdr:nvPicPr>
        <xdr:cNvPr id="2369" name="Picture 3589" descr="BR-711-12m">
          <a:hlinkClick xmlns:r="http://schemas.openxmlformats.org/officeDocument/2006/relationships" r:id="rId10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19938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886</xdr:row>
      <xdr:rowOff>0</xdr:rowOff>
    </xdr:from>
    <xdr:to>
      <xdr:col>2</xdr:col>
      <xdr:colOff>19050</xdr:colOff>
      <xdr:row>887</xdr:row>
      <xdr:rowOff>0</xdr:rowOff>
    </xdr:to>
    <xdr:pic>
      <xdr:nvPicPr>
        <xdr:cNvPr id="2370" name="Picture 3590" descr="BR-712-09m">
          <a:hlinkClick xmlns:r="http://schemas.openxmlformats.org/officeDocument/2006/relationships" r:id="rId10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27558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887</xdr:row>
      <xdr:rowOff>0</xdr:rowOff>
    </xdr:from>
    <xdr:to>
      <xdr:col>2</xdr:col>
      <xdr:colOff>19050</xdr:colOff>
      <xdr:row>888</xdr:row>
      <xdr:rowOff>0</xdr:rowOff>
    </xdr:to>
    <xdr:pic>
      <xdr:nvPicPr>
        <xdr:cNvPr id="2371" name="Picture 3591" descr="BR-712-11m">
          <a:hlinkClick xmlns:r="http://schemas.openxmlformats.org/officeDocument/2006/relationships" r:id="rId10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27558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888</xdr:row>
      <xdr:rowOff>0</xdr:rowOff>
    </xdr:from>
    <xdr:to>
      <xdr:col>2</xdr:col>
      <xdr:colOff>19050</xdr:colOff>
      <xdr:row>889</xdr:row>
      <xdr:rowOff>0</xdr:rowOff>
    </xdr:to>
    <xdr:pic>
      <xdr:nvPicPr>
        <xdr:cNvPr id="2372" name="Picture 3592" descr="BR-720-12m">
          <a:hlinkClick xmlns:r="http://schemas.openxmlformats.org/officeDocument/2006/relationships" r:id="rId10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27558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875</xdr:row>
      <xdr:rowOff>0</xdr:rowOff>
    </xdr:from>
    <xdr:to>
      <xdr:col>2</xdr:col>
      <xdr:colOff>0</xdr:colOff>
      <xdr:row>876</xdr:row>
      <xdr:rowOff>0</xdr:rowOff>
    </xdr:to>
    <xdr:pic>
      <xdr:nvPicPr>
        <xdr:cNvPr id="2373" name="Picture 3593" descr="14-1530m">
          <a:hlinkClick xmlns:r="http://schemas.openxmlformats.org/officeDocument/2006/relationships" r:id="rId10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06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876</xdr:row>
      <xdr:rowOff>0</xdr:rowOff>
    </xdr:from>
    <xdr:to>
      <xdr:col>2</xdr:col>
      <xdr:colOff>0</xdr:colOff>
      <xdr:row>877</xdr:row>
      <xdr:rowOff>0</xdr:rowOff>
    </xdr:to>
    <xdr:pic>
      <xdr:nvPicPr>
        <xdr:cNvPr id="2374" name="Picture 3594" descr="14-1532m">
          <a:hlinkClick xmlns:r="http://schemas.openxmlformats.org/officeDocument/2006/relationships" r:id="rId10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06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877</xdr:row>
      <xdr:rowOff>0</xdr:rowOff>
    </xdr:from>
    <xdr:to>
      <xdr:col>2</xdr:col>
      <xdr:colOff>0</xdr:colOff>
      <xdr:row>878</xdr:row>
      <xdr:rowOff>0</xdr:rowOff>
    </xdr:to>
    <xdr:pic>
      <xdr:nvPicPr>
        <xdr:cNvPr id="2375" name="Picture 3595" descr="14-1559m">
          <a:hlinkClick xmlns:r="http://schemas.openxmlformats.org/officeDocument/2006/relationships" r:id="rId10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376" name="Picture 3596" descr="D-300-02m">
          <a:hlinkClick xmlns:r="http://schemas.openxmlformats.org/officeDocument/2006/relationships" r:id="rId10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377" name="Picture 3597" descr="D-498-01m">
          <a:hlinkClick xmlns:r="http://schemas.openxmlformats.org/officeDocument/2006/relationships" r:id="rId10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378" name="Picture 3598" descr="D-562-01m">
          <a:hlinkClick xmlns:r="http://schemas.openxmlformats.org/officeDocument/2006/relationships" r:id="rId1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379" name="Picture 3599" descr="D-567-01m">
          <a:hlinkClick xmlns:r="http://schemas.openxmlformats.org/officeDocument/2006/relationships" r:id="rId1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380" name="Picture 3600" descr="D-602-01m">
          <a:hlinkClick xmlns:r="http://schemas.openxmlformats.org/officeDocument/2006/relationships" r:id="rId1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408</xdr:row>
      <xdr:rowOff>0</xdr:rowOff>
    </xdr:from>
    <xdr:to>
      <xdr:col>2</xdr:col>
      <xdr:colOff>19050</xdr:colOff>
      <xdr:row>409</xdr:row>
      <xdr:rowOff>0</xdr:rowOff>
    </xdr:to>
    <xdr:pic>
      <xdr:nvPicPr>
        <xdr:cNvPr id="2381" name="Picture 3601" descr="14-901SGm">
          <a:hlinkClick xmlns:r="http://schemas.openxmlformats.org/officeDocument/2006/relationships" r:id="rId10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613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598</xdr:row>
      <xdr:rowOff>0</xdr:rowOff>
    </xdr:from>
    <xdr:to>
      <xdr:col>2</xdr:col>
      <xdr:colOff>19050</xdr:colOff>
      <xdr:row>599</xdr:row>
      <xdr:rowOff>0</xdr:rowOff>
    </xdr:to>
    <xdr:pic>
      <xdr:nvPicPr>
        <xdr:cNvPr id="2382" name="Picture 3602" descr="34-901SGm">
          <a:hlinkClick xmlns:r="http://schemas.openxmlformats.org/officeDocument/2006/relationships" r:id="rId10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67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292</xdr:row>
      <xdr:rowOff>0</xdr:rowOff>
    </xdr:from>
    <xdr:to>
      <xdr:col>2</xdr:col>
      <xdr:colOff>19050</xdr:colOff>
      <xdr:row>293</xdr:row>
      <xdr:rowOff>0</xdr:rowOff>
    </xdr:to>
    <xdr:pic>
      <xdr:nvPicPr>
        <xdr:cNvPr id="2383" name="Picture 3603" descr="14-136-1m">
          <a:hlinkClick xmlns:r="http://schemas.openxmlformats.org/officeDocument/2006/relationships" r:id="rId1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462</xdr:row>
      <xdr:rowOff>0</xdr:rowOff>
    </xdr:from>
    <xdr:to>
      <xdr:col>2</xdr:col>
      <xdr:colOff>19050</xdr:colOff>
      <xdr:row>463</xdr:row>
      <xdr:rowOff>0</xdr:rowOff>
    </xdr:to>
    <xdr:pic>
      <xdr:nvPicPr>
        <xdr:cNvPr id="2384" name="Picture 3604" descr="28-3578m">
          <a:hlinkClick xmlns:r="http://schemas.openxmlformats.org/officeDocument/2006/relationships" r:id="rId1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209</xdr:row>
      <xdr:rowOff>0</xdr:rowOff>
    </xdr:from>
    <xdr:to>
      <xdr:col>2</xdr:col>
      <xdr:colOff>19050</xdr:colOff>
      <xdr:row>210</xdr:row>
      <xdr:rowOff>0</xdr:rowOff>
    </xdr:to>
    <xdr:pic>
      <xdr:nvPicPr>
        <xdr:cNvPr id="2385" name="Picture 3605" descr="38-4536m">
          <a:hlinkClick xmlns:r="http://schemas.openxmlformats.org/officeDocument/2006/relationships" r:id="rId10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9016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874</xdr:row>
      <xdr:rowOff>0</xdr:rowOff>
    </xdr:from>
    <xdr:to>
      <xdr:col>2</xdr:col>
      <xdr:colOff>0</xdr:colOff>
      <xdr:row>875</xdr:row>
      <xdr:rowOff>0</xdr:rowOff>
    </xdr:to>
    <xdr:pic>
      <xdr:nvPicPr>
        <xdr:cNvPr id="2386" name="Picture 3927" descr="14-136m">
          <a:hlinkClick xmlns:r="http://schemas.openxmlformats.org/officeDocument/2006/relationships" r:id="rId10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829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873</xdr:row>
      <xdr:rowOff>0</xdr:rowOff>
    </xdr:from>
    <xdr:to>
      <xdr:col>2</xdr:col>
      <xdr:colOff>0</xdr:colOff>
      <xdr:row>874</xdr:row>
      <xdr:rowOff>0</xdr:rowOff>
    </xdr:to>
    <xdr:pic>
      <xdr:nvPicPr>
        <xdr:cNvPr id="2387" name="Picture 3926" descr="14-128m">
          <a:hlinkClick xmlns:r="http://schemas.openxmlformats.org/officeDocument/2006/relationships" r:id="rId10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829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391</xdr:row>
      <xdr:rowOff>0</xdr:rowOff>
    </xdr:from>
    <xdr:to>
      <xdr:col>2</xdr:col>
      <xdr:colOff>19050</xdr:colOff>
      <xdr:row>392</xdr:row>
      <xdr:rowOff>0</xdr:rowOff>
    </xdr:to>
    <xdr:pic>
      <xdr:nvPicPr>
        <xdr:cNvPr id="2388" name="Picture 3608" descr="14-749m">
          <a:hlinkClick xmlns:r="http://schemas.openxmlformats.org/officeDocument/2006/relationships" r:id="rId10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7231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458</xdr:row>
      <xdr:rowOff>0</xdr:rowOff>
    </xdr:from>
    <xdr:to>
      <xdr:col>2</xdr:col>
      <xdr:colOff>19050</xdr:colOff>
      <xdr:row>459</xdr:row>
      <xdr:rowOff>0</xdr:rowOff>
    </xdr:to>
    <xdr:pic>
      <xdr:nvPicPr>
        <xdr:cNvPr id="2389" name="Picture 3609" descr="28-349m">
          <a:hlinkClick xmlns:r="http://schemas.openxmlformats.org/officeDocument/2006/relationships" r:id="rId10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3625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553</xdr:row>
      <xdr:rowOff>0</xdr:rowOff>
    </xdr:from>
    <xdr:to>
      <xdr:col>2</xdr:col>
      <xdr:colOff>19050</xdr:colOff>
      <xdr:row>554</xdr:row>
      <xdr:rowOff>0</xdr:rowOff>
    </xdr:to>
    <xdr:pic>
      <xdr:nvPicPr>
        <xdr:cNvPr id="2390" name="Picture 3611" descr="34-349m">
          <a:hlinkClick xmlns:r="http://schemas.openxmlformats.org/officeDocument/2006/relationships" r:id="rId10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587</xdr:row>
      <xdr:rowOff>0</xdr:rowOff>
    </xdr:from>
    <xdr:to>
      <xdr:col>2</xdr:col>
      <xdr:colOff>19050</xdr:colOff>
      <xdr:row>588</xdr:row>
      <xdr:rowOff>0</xdr:rowOff>
    </xdr:to>
    <xdr:pic>
      <xdr:nvPicPr>
        <xdr:cNvPr id="2391" name="Picture 3612" descr="34-749m">
          <a:hlinkClick xmlns:r="http://schemas.openxmlformats.org/officeDocument/2006/relationships" r:id="rId10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200</xdr:row>
      <xdr:rowOff>0</xdr:rowOff>
    </xdr:from>
    <xdr:to>
      <xdr:col>2</xdr:col>
      <xdr:colOff>19050</xdr:colOff>
      <xdr:row>201</xdr:row>
      <xdr:rowOff>0</xdr:rowOff>
    </xdr:to>
    <xdr:pic>
      <xdr:nvPicPr>
        <xdr:cNvPr id="2392" name="Picture 3614" descr="28-5578m">
          <a:hlinkClick xmlns:r="http://schemas.openxmlformats.org/officeDocument/2006/relationships" r:id="rId10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292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881</xdr:row>
      <xdr:rowOff>0</xdr:rowOff>
    </xdr:from>
    <xdr:to>
      <xdr:col>2</xdr:col>
      <xdr:colOff>19050</xdr:colOff>
      <xdr:row>882</xdr:row>
      <xdr:rowOff>0</xdr:rowOff>
    </xdr:to>
    <xdr:pic>
      <xdr:nvPicPr>
        <xdr:cNvPr id="2393" name="Picture 3615" descr="87-227m">
          <a:hlinkClick xmlns:r="http://schemas.openxmlformats.org/officeDocument/2006/relationships" r:id="rId1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882</xdr:row>
      <xdr:rowOff>0</xdr:rowOff>
    </xdr:from>
    <xdr:to>
      <xdr:col>2</xdr:col>
      <xdr:colOff>19050</xdr:colOff>
      <xdr:row>883</xdr:row>
      <xdr:rowOff>0</xdr:rowOff>
    </xdr:to>
    <xdr:pic>
      <xdr:nvPicPr>
        <xdr:cNvPr id="2394" name="Picture 3616" descr="87-235m">
          <a:hlinkClick xmlns:r="http://schemas.openxmlformats.org/officeDocument/2006/relationships" r:id="rId1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05841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2395" name="Picture 3617" descr="14-1581m">
          <a:hlinkClick xmlns:r="http://schemas.openxmlformats.org/officeDocument/2006/relationships" r:id="rId1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710</xdr:row>
      <xdr:rowOff>0</xdr:rowOff>
    </xdr:from>
    <xdr:to>
      <xdr:col>2</xdr:col>
      <xdr:colOff>19050</xdr:colOff>
      <xdr:row>711</xdr:row>
      <xdr:rowOff>0</xdr:rowOff>
    </xdr:to>
    <xdr:pic>
      <xdr:nvPicPr>
        <xdr:cNvPr id="2396" name="Picture 3618" descr="44-1581m">
          <a:hlinkClick xmlns:r="http://schemas.openxmlformats.org/officeDocument/2006/relationships" r:id="rId1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03861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184</xdr:row>
      <xdr:rowOff>0</xdr:rowOff>
    </xdr:from>
    <xdr:to>
      <xdr:col>2</xdr:col>
      <xdr:colOff>19050</xdr:colOff>
      <xdr:row>185</xdr:row>
      <xdr:rowOff>0</xdr:rowOff>
    </xdr:to>
    <xdr:pic>
      <xdr:nvPicPr>
        <xdr:cNvPr id="2397" name="Picture 3619" descr="14-2579m">
          <a:hlinkClick xmlns:r="http://schemas.openxmlformats.org/officeDocument/2006/relationships" r:id="rId1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225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667</xdr:row>
      <xdr:rowOff>0</xdr:rowOff>
    </xdr:from>
    <xdr:to>
      <xdr:col>2</xdr:col>
      <xdr:colOff>19050</xdr:colOff>
      <xdr:row>668</xdr:row>
      <xdr:rowOff>0</xdr:rowOff>
    </xdr:to>
    <xdr:pic>
      <xdr:nvPicPr>
        <xdr:cNvPr id="2398" name="Picture 3620" descr="38-4505m">
          <a:hlinkClick xmlns:r="http://schemas.openxmlformats.org/officeDocument/2006/relationships" r:id="rId1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9461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1271</xdr:row>
      <xdr:rowOff>0</xdr:rowOff>
    </xdr:from>
    <xdr:to>
      <xdr:col>2</xdr:col>
      <xdr:colOff>19050</xdr:colOff>
      <xdr:row>1272</xdr:row>
      <xdr:rowOff>0</xdr:rowOff>
    </xdr:to>
    <xdr:pic>
      <xdr:nvPicPr>
        <xdr:cNvPr id="2399" name="Picture 3621" descr="T-TS-065m">
          <a:hlinkClick xmlns:r="http://schemas.openxmlformats.org/officeDocument/2006/relationships" r:id="rId1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2118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1272</xdr:row>
      <xdr:rowOff>0</xdr:rowOff>
    </xdr:from>
    <xdr:to>
      <xdr:col>2</xdr:col>
      <xdr:colOff>19050</xdr:colOff>
      <xdr:row>1273</xdr:row>
      <xdr:rowOff>0</xdr:rowOff>
    </xdr:to>
    <xdr:pic>
      <xdr:nvPicPr>
        <xdr:cNvPr id="2400" name="Picture 3622" descr="T-TS-065-Lm">
          <a:hlinkClick xmlns:r="http://schemas.openxmlformats.org/officeDocument/2006/relationships" r:id="rId1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28806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1273</xdr:row>
      <xdr:rowOff>0</xdr:rowOff>
    </xdr:from>
    <xdr:to>
      <xdr:col>2</xdr:col>
      <xdr:colOff>19050</xdr:colOff>
      <xdr:row>1274</xdr:row>
      <xdr:rowOff>0</xdr:rowOff>
    </xdr:to>
    <xdr:pic>
      <xdr:nvPicPr>
        <xdr:cNvPr id="2401" name="Picture 3623" descr="T-TS-066m">
          <a:hlinkClick xmlns:r="http://schemas.openxmlformats.org/officeDocument/2006/relationships" r:id="rId1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2880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1137</xdr:row>
      <xdr:rowOff>0</xdr:rowOff>
    </xdr:from>
    <xdr:to>
      <xdr:col>2</xdr:col>
      <xdr:colOff>19050</xdr:colOff>
      <xdr:row>1138</xdr:row>
      <xdr:rowOff>0</xdr:rowOff>
    </xdr:to>
    <xdr:pic>
      <xdr:nvPicPr>
        <xdr:cNvPr id="2402" name="Picture 3624" descr="T-LS-065m">
          <a:hlinkClick xmlns:r="http://schemas.openxmlformats.org/officeDocument/2006/relationships" r:id="rId1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2526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214</xdr:row>
      <xdr:rowOff>0</xdr:rowOff>
    </xdr:from>
    <xdr:to>
      <xdr:col>2</xdr:col>
      <xdr:colOff>19050</xdr:colOff>
      <xdr:row>215</xdr:row>
      <xdr:rowOff>0</xdr:rowOff>
    </xdr:to>
    <xdr:pic>
      <xdr:nvPicPr>
        <xdr:cNvPr id="2403" name="Picture 3625" descr="64-457m">
          <a:hlinkClick xmlns:r="http://schemas.openxmlformats.org/officeDocument/2006/relationships" r:id="rId1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213</xdr:row>
      <xdr:rowOff>0</xdr:rowOff>
    </xdr:from>
    <xdr:to>
      <xdr:col>2</xdr:col>
      <xdr:colOff>19050</xdr:colOff>
      <xdr:row>214</xdr:row>
      <xdr:rowOff>0</xdr:rowOff>
    </xdr:to>
    <xdr:pic>
      <xdr:nvPicPr>
        <xdr:cNvPr id="2404" name="Picture 3626" descr="64-357m">
          <a:hlinkClick xmlns:r="http://schemas.openxmlformats.org/officeDocument/2006/relationships" r:id="rId1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1258</xdr:row>
      <xdr:rowOff>0</xdr:rowOff>
    </xdr:from>
    <xdr:to>
      <xdr:col>2</xdr:col>
      <xdr:colOff>0</xdr:colOff>
      <xdr:row>1259</xdr:row>
      <xdr:rowOff>0</xdr:rowOff>
    </xdr:to>
    <xdr:pic>
      <xdr:nvPicPr>
        <xdr:cNvPr id="2405" name="Picture 3627" descr="t-ts-057m">
          <a:hlinkClick xmlns:r="http://schemas.openxmlformats.org/officeDocument/2006/relationships" r:id="rId1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373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1263</xdr:row>
      <xdr:rowOff>0</xdr:rowOff>
    </xdr:from>
    <xdr:to>
      <xdr:col>2</xdr:col>
      <xdr:colOff>0</xdr:colOff>
      <xdr:row>1264</xdr:row>
      <xdr:rowOff>0</xdr:rowOff>
    </xdr:to>
    <xdr:pic>
      <xdr:nvPicPr>
        <xdr:cNvPr id="2406" name="Picture 3628" descr="t-ts-060m">
          <a:hlinkClick xmlns:r="http://schemas.openxmlformats.org/officeDocument/2006/relationships" r:id="rId1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754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1047</xdr:row>
      <xdr:rowOff>0</xdr:rowOff>
    </xdr:from>
    <xdr:to>
      <xdr:col>2</xdr:col>
      <xdr:colOff>19050</xdr:colOff>
      <xdr:row>1048</xdr:row>
      <xdr:rowOff>0</xdr:rowOff>
    </xdr:to>
    <xdr:pic>
      <xdr:nvPicPr>
        <xdr:cNvPr id="2407" name="Picture 3629" descr="SL-NIm">
          <a:hlinkClick xmlns:r="http://schemas.openxmlformats.org/officeDocument/2006/relationships" r:id="rId1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83152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1057</xdr:row>
      <xdr:rowOff>0</xdr:rowOff>
    </xdr:from>
    <xdr:to>
      <xdr:col>2</xdr:col>
      <xdr:colOff>19050</xdr:colOff>
      <xdr:row>1058</xdr:row>
      <xdr:rowOff>0</xdr:rowOff>
    </xdr:to>
    <xdr:pic>
      <xdr:nvPicPr>
        <xdr:cNvPr id="2408" name="Picture 3630" descr="SL-NI-M-1m">
          <a:hlinkClick xmlns:r="http://schemas.openxmlformats.org/officeDocument/2006/relationships" r:id="rId1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8315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1058</xdr:row>
      <xdr:rowOff>0</xdr:rowOff>
    </xdr:from>
    <xdr:to>
      <xdr:col>2</xdr:col>
      <xdr:colOff>19050</xdr:colOff>
      <xdr:row>1059</xdr:row>
      <xdr:rowOff>0</xdr:rowOff>
    </xdr:to>
    <xdr:pic>
      <xdr:nvPicPr>
        <xdr:cNvPr id="2409" name="Picture 3631" descr="SL-NI-M-2m">
          <a:hlinkClick xmlns:r="http://schemas.openxmlformats.org/officeDocument/2006/relationships" r:id="rId1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90772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1059</xdr:row>
      <xdr:rowOff>0</xdr:rowOff>
    </xdr:from>
    <xdr:to>
      <xdr:col>2</xdr:col>
      <xdr:colOff>19050</xdr:colOff>
      <xdr:row>1060</xdr:row>
      <xdr:rowOff>0</xdr:rowOff>
    </xdr:to>
    <xdr:pic>
      <xdr:nvPicPr>
        <xdr:cNvPr id="2410" name="Picture 3632" descr="SL-NI-M-3m">
          <a:hlinkClick xmlns:r="http://schemas.openxmlformats.org/officeDocument/2006/relationships" r:id="rId1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9077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1060</xdr:row>
      <xdr:rowOff>0</xdr:rowOff>
    </xdr:from>
    <xdr:to>
      <xdr:col>2</xdr:col>
      <xdr:colOff>19050</xdr:colOff>
      <xdr:row>1061</xdr:row>
      <xdr:rowOff>0</xdr:rowOff>
    </xdr:to>
    <xdr:pic>
      <xdr:nvPicPr>
        <xdr:cNvPr id="2411" name="Picture 3633" descr="SL-NI-M-4m">
          <a:hlinkClick xmlns:r="http://schemas.openxmlformats.org/officeDocument/2006/relationships" r:id="rId1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98392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1061</xdr:row>
      <xdr:rowOff>0</xdr:rowOff>
    </xdr:from>
    <xdr:to>
      <xdr:col>2</xdr:col>
      <xdr:colOff>19050</xdr:colOff>
      <xdr:row>1062</xdr:row>
      <xdr:rowOff>0</xdr:rowOff>
    </xdr:to>
    <xdr:pic>
      <xdr:nvPicPr>
        <xdr:cNvPr id="2412" name="Picture 3634" descr="SL-NI-M-5m">
          <a:hlinkClick xmlns:r="http://schemas.openxmlformats.org/officeDocument/2006/relationships" r:id="rId1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9839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1062</xdr:row>
      <xdr:rowOff>0</xdr:rowOff>
    </xdr:from>
    <xdr:to>
      <xdr:col>2</xdr:col>
      <xdr:colOff>19050</xdr:colOff>
      <xdr:row>1063</xdr:row>
      <xdr:rowOff>0</xdr:rowOff>
    </xdr:to>
    <xdr:pic>
      <xdr:nvPicPr>
        <xdr:cNvPr id="2413" name="Picture 3635" descr="SL-NI-M-6m">
          <a:hlinkClick xmlns:r="http://schemas.openxmlformats.org/officeDocument/2006/relationships" r:id="rId1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0601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1063</xdr:row>
      <xdr:rowOff>0</xdr:rowOff>
    </xdr:from>
    <xdr:to>
      <xdr:col>2</xdr:col>
      <xdr:colOff>19050</xdr:colOff>
      <xdr:row>1064</xdr:row>
      <xdr:rowOff>0</xdr:rowOff>
    </xdr:to>
    <xdr:pic>
      <xdr:nvPicPr>
        <xdr:cNvPr id="2414" name="Picture 3636" descr="SL-NI-M-7m">
          <a:hlinkClick xmlns:r="http://schemas.openxmlformats.org/officeDocument/2006/relationships" r:id="rId1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1363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1064</xdr:row>
      <xdr:rowOff>0</xdr:rowOff>
    </xdr:from>
    <xdr:to>
      <xdr:col>2</xdr:col>
      <xdr:colOff>19050</xdr:colOff>
      <xdr:row>1065</xdr:row>
      <xdr:rowOff>0</xdr:rowOff>
    </xdr:to>
    <xdr:pic>
      <xdr:nvPicPr>
        <xdr:cNvPr id="2415" name="Picture 3637" descr="SL-NI-M-8m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2125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1066</xdr:row>
      <xdr:rowOff>0</xdr:rowOff>
    </xdr:from>
    <xdr:to>
      <xdr:col>2</xdr:col>
      <xdr:colOff>19050</xdr:colOff>
      <xdr:row>1067</xdr:row>
      <xdr:rowOff>0</xdr:rowOff>
    </xdr:to>
    <xdr:pic>
      <xdr:nvPicPr>
        <xdr:cNvPr id="2416" name="Picture 3638" descr="SL-NI-M-9m">
          <a:hlinkClick xmlns:r="http://schemas.openxmlformats.org/officeDocument/2006/relationships" r:id="rId1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2887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1067</xdr:row>
      <xdr:rowOff>0</xdr:rowOff>
    </xdr:from>
    <xdr:to>
      <xdr:col>2</xdr:col>
      <xdr:colOff>19050</xdr:colOff>
      <xdr:row>1068</xdr:row>
      <xdr:rowOff>0</xdr:rowOff>
    </xdr:to>
    <xdr:pic>
      <xdr:nvPicPr>
        <xdr:cNvPr id="2417" name="Picture 3639" descr="SL-NI-M-10m">
          <a:hlinkClick xmlns:r="http://schemas.openxmlformats.org/officeDocument/2006/relationships" r:id="rId1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3649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1014</xdr:row>
      <xdr:rowOff>0</xdr:rowOff>
    </xdr:from>
    <xdr:to>
      <xdr:col>2</xdr:col>
      <xdr:colOff>19050</xdr:colOff>
      <xdr:row>1015</xdr:row>
      <xdr:rowOff>0</xdr:rowOff>
    </xdr:to>
    <xdr:pic>
      <xdr:nvPicPr>
        <xdr:cNvPr id="2418" name="Picture 3640" descr="SL-K-Mm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94379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1015</xdr:row>
      <xdr:rowOff>0</xdr:rowOff>
    </xdr:from>
    <xdr:to>
      <xdr:col>2</xdr:col>
      <xdr:colOff>19050</xdr:colOff>
      <xdr:row>1016</xdr:row>
      <xdr:rowOff>0</xdr:rowOff>
    </xdr:to>
    <xdr:pic>
      <xdr:nvPicPr>
        <xdr:cNvPr id="2419" name="Picture 3641" descr="SL-K-Mm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01999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1013</xdr:row>
      <xdr:rowOff>0</xdr:rowOff>
    </xdr:from>
    <xdr:to>
      <xdr:col>2</xdr:col>
      <xdr:colOff>19050</xdr:colOff>
      <xdr:row>1014</xdr:row>
      <xdr:rowOff>0</xdr:rowOff>
    </xdr:to>
    <xdr:pic>
      <xdr:nvPicPr>
        <xdr:cNvPr id="2420" name="Picture 3642" descr="SL-K-Mm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94379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1018</xdr:row>
      <xdr:rowOff>0</xdr:rowOff>
    </xdr:from>
    <xdr:to>
      <xdr:col>2</xdr:col>
      <xdr:colOff>19050</xdr:colOff>
      <xdr:row>1019</xdr:row>
      <xdr:rowOff>0</xdr:rowOff>
    </xdr:to>
    <xdr:pic>
      <xdr:nvPicPr>
        <xdr:cNvPr id="2421" name="Picture 3643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17239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1019</xdr:row>
      <xdr:rowOff>0</xdr:rowOff>
    </xdr:from>
    <xdr:to>
      <xdr:col>2</xdr:col>
      <xdr:colOff>19050</xdr:colOff>
      <xdr:row>1020</xdr:row>
      <xdr:rowOff>0</xdr:rowOff>
    </xdr:to>
    <xdr:pic>
      <xdr:nvPicPr>
        <xdr:cNvPr id="2422" name="Picture 3644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24859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1068</xdr:row>
      <xdr:rowOff>0</xdr:rowOff>
    </xdr:from>
    <xdr:to>
      <xdr:col>2</xdr:col>
      <xdr:colOff>19050</xdr:colOff>
      <xdr:row>1069</xdr:row>
      <xdr:rowOff>0</xdr:rowOff>
    </xdr:to>
    <xdr:pic>
      <xdr:nvPicPr>
        <xdr:cNvPr id="2423" name="Picture 3645" descr="SL-Wm">
          <a:hlinkClick xmlns:r="http://schemas.openxmlformats.org/officeDocument/2006/relationships" r:id="rId1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44112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1021</xdr:row>
      <xdr:rowOff>0</xdr:rowOff>
    </xdr:from>
    <xdr:to>
      <xdr:col>2</xdr:col>
      <xdr:colOff>19050</xdr:colOff>
      <xdr:row>1022</xdr:row>
      <xdr:rowOff>0</xdr:rowOff>
    </xdr:to>
    <xdr:pic>
      <xdr:nvPicPr>
        <xdr:cNvPr id="2424" name="Picture 3646" descr="SL-Mm">
          <a:hlinkClick xmlns:r="http://schemas.openxmlformats.org/officeDocument/2006/relationships" r:id="rId1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24859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2425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195</xdr:row>
      <xdr:rowOff>0</xdr:rowOff>
    </xdr:from>
    <xdr:to>
      <xdr:col>2</xdr:col>
      <xdr:colOff>19050</xdr:colOff>
      <xdr:row>195</xdr:row>
      <xdr:rowOff>0</xdr:rowOff>
    </xdr:to>
    <xdr:pic>
      <xdr:nvPicPr>
        <xdr:cNvPr id="2426" name="Picture 3648" descr="14-1583m">
          <a:hlinkClick xmlns:r="http://schemas.openxmlformats.org/officeDocument/2006/relationships" r:id="rId1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87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527</xdr:row>
      <xdr:rowOff>0</xdr:rowOff>
    </xdr:from>
    <xdr:to>
      <xdr:col>2</xdr:col>
      <xdr:colOff>19050</xdr:colOff>
      <xdr:row>528</xdr:row>
      <xdr:rowOff>0</xdr:rowOff>
    </xdr:to>
    <xdr:pic>
      <xdr:nvPicPr>
        <xdr:cNvPr id="2427" name="Picture 3649" descr="14-1583m">
          <a:hlinkClick xmlns:r="http://schemas.openxmlformats.org/officeDocument/2006/relationships" r:id="rId1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76653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317</xdr:row>
      <xdr:rowOff>0</xdr:rowOff>
    </xdr:from>
    <xdr:to>
      <xdr:col>2</xdr:col>
      <xdr:colOff>19050</xdr:colOff>
      <xdr:row>318</xdr:row>
      <xdr:rowOff>0</xdr:rowOff>
    </xdr:to>
    <xdr:pic>
      <xdr:nvPicPr>
        <xdr:cNvPr id="2428" name="Picture 3650" descr="14-1584m">
          <a:hlinkClick xmlns:r="http://schemas.openxmlformats.org/officeDocument/2006/relationships" r:id="rId1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1059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250</xdr:row>
      <xdr:rowOff>0</xdr:rowOff>
    </xdr:from>
    <xdr:to>
      <xdr:col>2</xdr:col>
      <xdr:colOff>19050</xdr:colOff>
      <xdr:row>251</xdr:row>
      <xdr:rowOff>0</xdr:rowOff>
    </xdr:to>
    <xdr:pic>
      <xdr:nvPicPr>
        <xdr:cNvPr id="2429" name="Picture 3651" descr="28-3584m">
          <a:hlinkClick xmlns:r="http://schemas.openxmlformats.org/officeDocument/2006/relationships" r:id="rId1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425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479</xdr:row>
      <xdr:rowOff>0</xdr:rowOff>
    </xdr:from>
    <xdr:to>
      <xdr:col>2</xdr:col>
      <xdr:colOff>19050</xdr:colOff>
      <xdr:row>480</xdr:row>
      <xdr:rowOff>0</xdr:rowOff>
    </xdr:to>
    <xdr:pic>
      <xdr:nvPicPr>
        <xdr:cNvPr id="2430" name="Picture 3652" descr="28-6584m">
          <a:hlinkClick xmlns:r="http://schemas.openxmlformats.org/officeDocument/2006/relationships" r:id="rId1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7435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662</xdr:row>
      <xdr:rowOff>0</xdr:rowOff>
    </xdr:from>
    <xdr:to>
      <xdr:col>2</xdr:col>
      <xdr:colOff>19050</xdr:colOff>
      <xdr:row>663</xdr:row>
      <xdr:rowOff>0</xdr:rowOff>
    </xdr:to>
    <xdr:pic>
      <xdr:nvPicPr>
        <xdr:cNvPr id="2431" name="Picture 3653" descr="38-3584m">
          <a:hlinkClick xmlns:r="http://schemas.openxmlformats.org/officeDocument/2006/relationships" r:id="rId1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8699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671</xdr:row>
      <xdr:rowOff>0</xdr:rowOff>
    </xdr:from>
    <xdr:to>
      <xdr:col>2</xdr:col>
      <xdr:colOff>19050</xdr:colOff>
      <xdr:row>672</xdr:row>
      <xdr:rowOff>0</xdr:rowOff>
    </xdr:to>
    <xdr:pic>
      <xdr:nvPicPr>
        <xdr:cNvPr id="2432" name="Picture 3654" descr="38-6584m">
          <a:hlinkClick xmlns:r="http://schemas.openxmlformats.org/officeDocument/2006/relationships" r:id="rId1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223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465</xdr:row>
      <xdr:rowOff>0</xdr:rowOff>
    </xdr:from>
    <xdr:to>
      <xdr:col>2</xdr:col>
      <xdr:colOff>19050</xdr:colOff>
      <xdr:row>466</xdr:row>
      <xdr:rowOff>0</xdr:rowOff>
    </xdr:to>
    <xdr:pic>
      <xdr:nvPicPr>
        <xdr:cNvPr id="2433" name="Picture 3655" descr="28-385m">
          <a:hlinkClick xmlns:r="http://schemas.openxmlformats.org/officeDocument/2006/relationships" r:id="rId1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659</xdr:row>
      <xdr:rowOff>0</xdr:rowOff>
    </xdr:from>
    <xdr:to>
      <xdr:col>2</xdr:col>
      <xdr:colOff>19050</xdr:colOff>
      <xdr:row>660</xdr:row>
      <xdr:rowOff>0</xdr:rowOff>
    </xdr:to>
    <xdr:pic>
      <xdr:nvPicPr>
        <xdr:cNvPr id="2434" name="Picture 3656" descr="38-3541m">
          <a:hlinkClick xmlns:r="http://schemas.openxmlformats.org/officeDocument/2006/relationships" r:id="rId1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210</xdr:row>
      <xdr:rowOff>0</xdr:rowOff>
    </xdr:from>
    <xdr:to>
      <xdr:col>2</xdr:col>
      <xdr:colOff>19050</xdr:colOff>
      <xdr:row>211</xdr:row>
      <xdr:rowOff>0</xdr:rowOff>
    </xdr:to>
    <xdr:pic>
      <xdr:nvPicPr>
        <xdr:cNvPr id="2435" name="Picture 3657" descr="38-4541m">
          <a:hlinkClick xmlns:r="http://schemas.openxmlformats.org/officeDocument/2006/relationships" r:id="rId1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901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670</xdr:row>
      <xdr:rowOff>0</xdr:rowOff>
    </xdr:from>
    <xdr:to>
      <xdr:col>2</xdr:col>
      <xdr:colOff>19050</xdr:colOff>
      <xdr:row>671</xdr:row>
      <xdr:rowOff>0</xdr:rowOff>
    </xdr:to>
    <xdr:pic>
      <xdr:nvPicPr>
        <xdr:cNvPr id="2436" name="Picture 3658" descr="38-6541m">
          <a:hlinkClick xmlns:r="http://schemas.openxmlformats.org/officeDocument/2006/relationships" r:id="rId1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223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483</xdr:row>
      <xdr:rowOff>0</xdr:rowOff>
    </xdr:from>
    <xdr:to>
      <xdr:col>2</xdr:col>
      <xdr:colOff>0</xdr:colOff>
      <xdr:row>484</xdr:row>
      <xdr:rowOff>0</xdr:rowOff>
    </xdr:to>
    <xdr:pic>
      <xdr:nvPicPr>
        <xdr:cNvPr id="2437" name="Picture 3659" descr="14-1570m">
          <a:hlinkClick xmlns:r="http://schemas.openxmlformats.org/officeDocument/2006/relationships" r:id="rId1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95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761</xdr:row>
      <xdr:rowOff>0</xdr:rowOff>
    </xdr:from>
    <xdr:to>
      <xdr:col>2</xdr:col>
      <xdr:colOff>0</xdr:colOff>
      <xdr:row>762</xdr:row>
      <xdr:rowOff>0</xdr:rowOff>
    </xdr:to>
    <xdr:pic>
      <xdr:nvPicPr>
        <xdr:cNvPr id="2438" name="Picture 3660" descr="14-1530m">
          <a:hlinkClick xmlns:r="http://schemas.openxmlformats.org/officeDocument/2006/relationships" r:id="rId1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19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418</xdr:row>
      <xdr:rowOff>0</xdr:rowOff>
    </xdr:to>
    <xdr:pic>
      <xdr:nvPicPr>
        <xdr:cNvPr id="2439" name="Picture 3661" descr="14-1530m">
          <a:hlinkClick xmlns:r="http://schemas.openxmlformats.org/officeDocument/2006/relationships" r:id="rId1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661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2440" name="Picture 21372" descr="14-1505-1m">
          <a:hlinkClick xmlns:r="http://schemas.openxmlformats.org/officeDocument/2006/relationships" r:id="rId1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93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2441" name="Picture 21373" descr="14-1505m">
          <a:hlinkClick xmlns:r="http://schemas.openxmlformats.org/officeDocument/2006/relationships" r:id="rId1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93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622</xdr:row>
      <xdr:rowOff>0</xdr:rowOff>
    </xdr:from>
    <xdr:to>
      <xdr:col>2</xdr:col>
      <xdr:colOff>0</xdr:colOff>
      <xdr:row>623</xdr:row>
      <xdr:rowOff>0</xdr:rowOff>
    </xdr:to>
    <xdr:pic>
      <xdr:nvPicPr>
        <xdr:cNvPr id="2442" name="Picture 3664" descr="14-1570m">
          <a:hlinkClick xmlns:r="http://schemas.openxmlformats.org/officeDocument/2006/relationships" r:id="rId1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17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654</xdr:row>
      <xdr:rowOff>0</xdr:rowOff>
    </xdr:to>
    <xdr:pic>
      <xdr:nvPicPr>
        <xdr:cNvPr id="2443" name="Picture 3666" descr="14-5564m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44" name="Picture 3667" descr="D-1302-0108m">
          <a:hlinkClick xmlns:r="http://schemas.openxmlformats.org/officeDocument/2006/relationships" r:id="rId1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45" name="Picture 3668" descr="D-1302-01m">
          <a:hlinkClick xmlns:r="http://schemas.openxmlformats.org/officeDocument/2006/relationships" r:id="rId1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46" name="Picture 3669" descr="D-1402-01m">
          <a:hlinkClick xmlns:r="http://schemas.openxmlformats.org/officeDocument/2006/relationships" r:id="rId1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47" name="Picture 3670" descr="D-1416-01m">
          <a:hlinkClick xmlns:r="http://schemas.openxmlformats.org/officeDocument/2006/relationships" r:id="rId1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48" name="Picture 3671" descr="D-1421-01m">
          <a:hlinkClick xmlns:r="http://schemas.openxmlformats.org/officeDocument/2006/relationships" r:id="rId1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49" name="Picture 3672" descr="D-1424-01m">
          <a:hlinkClick xmlns:r="http://schemas.openxmlformats.org/officeDocument/2006/relationships" r:id="rId1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0" name="Picture 3673" descr="D-1424-02m">
          <a:hlinkClick xmlns:r="http://schemas.openxmlformats.org/officeDocument/2006/relationships" r:id="rId1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1" name="Picture 3674" descr="D-291-01m">
          <a:hlinkClick xmlns:r="http://schemas.openxmlformats.org/officeDocument/2006/relationships" r:id="rId1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2" name="Picture 3675" descr="D-415-02m">
          <a:hlinkClick xmlns:r="http://schemas.openxmlformats.org/officeDocument/2006/relationships" r:id="rId1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3" name="Picture 3676" descr="D-415-05m">
          <a:hlinkClick xmlns:r="http://schemas.openxmlformats.org/officeDocument/2006/relationships" r:id="rId1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4" name="Picture 3677" descr="D-415-09m">
          <a:hlinkClick xmlns:r="http://schemas.openxmlformats.org/officeDocument/2006/relationships" r:id="rId1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5" name="Picture 3678" descr="D-415-30m">
          <a:hlinkClick xmlns:r="http://schemas.openxmlformats.org/officeDocument/2006/relationships" r:id="rId1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6" name="Picture 3679" descr="D-415-39m">
          <a:hlinkClick xmlns:r="http://schemas.openxmlformats.org/officeDocument/2006/relationships" r:id="rId1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7" name="Picture 3680" descr="D-462-01m">
          <a:hlinkClick xmlns:r="http://schemas.openxmlformats.org/officeDocument/2006/relationships" r:id="rId1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8" name="Picture 3681" descr="D-520-01m">
          <a:hlinkClick xmlns:r="http://schemas.openxmlformats.org/officeDocument/2006/relationships" r:id="rId1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59" name="Picture 3682" descr="D-520-02m">
          <a:hlinkClick xmlns:r="http://schemas.openxmlformats.org/officeDocument/2006/relationships" r:id="rId1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60" name="Picture 3683" descr="D-563-02m">
          <a:hlinkClick xmlns:r="http://schemas.openxmlformats.org/officeDocument/2006/relationships" r:id="rId1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61" name="Picture 3684" descr="D-563-09m">
          <a:hlinkClick xmlns:r="http://schemas.openxmlformats.org/officeDocument/2006/relationships" r:id="rId1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62" name="Picture 3685" descr="D-592-01m">
          <a:hlinkClick xmlns:r="http://schemas.openxmlformats.org/officeDocument/2006/relationships" r:id="rId1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294</xdr:row>
      <xdr:rowOff>0</xdr:rowOff>
    </xdr:from>
    <xdr:to>
      <xdr:col>2</xdr:col>
      <xdr:colOff>19050</xdr:colOff>
      <xdr:row>295</xdr:row>
      <xdr:rowOff>0</xdr:rowOff>
    </xdr:to>
    <xdr:pic>
      <xdr:nvPicPr>
        <xdr:cNvPr id="2463" name="Picture 3686" descr="14-1504m">
          <a:hlinkClick xmlns:r="http://schemas.openxmlformats.org/officeDocument/2006/relationships" r:id="rId1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318</xdr:row>
      <xdr:rowOff>0</xdr:rowOff>
    </xdr:from>
    <xdr:to>
      <xdr:col>2</xdr:col>
      <xdr:colOff>19050</xdr:colOff>
      <xdr:row>319</xdr:row>
      <xdr:rowOff>0</xdr:rowOff>
    </xdr:to>
    <xdr:pic>
      <xdr:nvPicPr>
        <xdr:cNvPr id="2464" name="Picture 3687" descr="14-1585m">
          <a:hlinkClick xmlns:r="http://schemas.openxmlformats.org/officeDocument/2006/relationships" r:id="rId1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247</xdr:row>
      <xdr:rowOff>0</xdr:rowOff>
    </xdr:to>
    <xdr:pic>
      <xdr:nvPicPr>
        <xdr:cNvPr id="2465" name="Picture 3688" descr="14-5504m">
          <a:hlinkClick xmlns:r="http://schemas.openxmlformats.org/officeDocument/2006/relationships" r:id="rId1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400</xdr:row>
      <xdr:rowOff>0</xdr:rowOff>
    </xdr:from>
    <xdr:to>
      <xdr:col>2</xdr:col>
      <xdr:colOff>19050</xdr:colOff>
      <xdr:row>401</xdr:row>
      <xdr:rowOff>0</xdr:rowOff>
    </xdr:to>
    <xdr:pic>
      <xdr:nvPicPr>
        <xdr:cNvPr id="2466" name="Picture 3689" descr="14-7512m">
          <a:hlinkClick xmlns:r="http://schemas.openxmlformats.org/officeDocument/2006/relationships" r:id="rId1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1803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444</xdr:row>
      <xdr:rowOff>0</xdr:rowOff>
    </xdr:from>
    <xdr:to>
      <xdr:col>2</xdr:col>
      <xdr:colOff>19050</xdr:colOff>
      <xdr:row>445</xdr:row>
      <xdr:rowOff>0</xdr:rowOff>
    </xdr:to>
    <xdr:pic>
      <xdr:nvPicPr>
        <xdr:cNvPr id="2467" name="Picture 3690" descr="22-1512m">
          <a:hlinkClick xmlns:r="http://schemas.openxmlformats.org/officeDocument/2006/relationships" r:id="rId1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7043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568</xdr:row>
      <xdr:rowOff>0</xdr:rowOff>
    </xdr:from>
    <xdr:to>
      <xdr:col>2</xdr:col>
      <xdr:colOff>19050</xdr:colOff>
      <xdr:row>569</xdr:row>
      <xdr:rowOff>0</xdr:rowOff>
    </xdr:to>
    <xdr:pic>
      <xdr:nvPicPr>
        <xdr:cNvPr id="2468" name="Picture 3691" descr="34-5512m">
          <a:hlinkClick xmlns:r="http://schemas.openxmlformats.org/officeDocument/2006/relationships" r:id="rId1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658</xdr:row>
      <xdr:rowOff>0</xdr:rowOff>
    </xdr:from>
    <xdr:to>
      <xdr:col>2</xdr:col>
      <xdr:colOff>19050</xdr:colOff>
      <xdr:row>659</xdr:row>
      <xdr:rowOff>0</xdr:rowOff>
    </xdr:to>
    <xdr:pic>
      <xdr:nvPicPr>
        <xdr:cNvPr id="2469" name="Picture 3692" descr="36-9512m">
          <a:hlinkClick xmlns:r="http://schemas.openxmlformats.org/officeDocument/2006/relationships" r:id="rId1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766</xdr:row>
      <xdr:rowOff>0</xdr:rowOff>
    </xdr:from>
    <xdr:to>
      <xdr:col>2</xdr:col>
      <xdr:colOff>19050</xdr:colOff>
      <xdr:row>767</xdr:row>
      <xdr:rowOff>0</xdr:rowOff>
    </xdr:to>
    <xdr:pic>
      <xdr:nvPicPr>
        <xdr:cNvPr id="2470" name="Picture 3693" descr="52-5564m">
          <a:hlinkClick xmlns:r="http://schemas.openxmlformats.org/officeDocument/2006/relationships" r:id="rId1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09601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1" name="Picture 3694" descr="D-1201-01m">
          <a:hlinkClick xmlns:r="http://schemas.openxmlformats.org/officeDocument/2006/relationships" r:id="rId1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2" name="Picture 3695" descr="D-426-0501m">
          <a:hlinkClick xmlns:r="http://schemas.openxmlformats.org/officeDocument/2006/relationships" r:id="rId1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3" name="Picture 3696" descr="D-426-0901m">
          <a:hlinkClick xmlns:r="http://schemas.openxmlformats.org/officeDocument/2006/relationships" r:id="rId1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4" name="Picture 3697" descr="D-426-3001m">
          <a:hlinkClick xmlns:r="http://schemas.openxmlformats.org/officeDocument/2006/relationships" r:id="rId1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5" name="Picture 3698" descr="D-426-3209m">
          <a:hlinkClick xmlns:r="http://schemas.openxmlformats.org/officeDocument/2006/relationships" r:id="rId1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6" name="Picture 3699" descr="D-507-01m">
          <a:hlinkClick xmlns:r="http://schemas.openxmlformats.org/officeDocument/2006/relationships" r:id="rId1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7" name="Picture 3700" descr="D-530-01m">
          <a:hlinkClick xmlns:r="http://schemas.openxmlformats.org/officeDocument/2006/relationships" r:id="rId1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8" name="Picture 3701" descr="D-594-01m">
          <a:hlinkClick xmlns:r="http://schemas.openxmlformats.org/officeDocument/2006/relationships" r:id="rId1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79" name="Picture 3702" descr="D-822-01m">
          <a:hlinkClick xmlns:r="http://schemas.openxmlformats.org/officeDocument/2006/relationships" r:id="rId1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19050</xdr:colOff>
      <xdr:row>902</xdr:row>
      <xdr:rowOff>0</xdr:rowOff>
    </xdr:to>
    <xdr:pic>
      <xdr:nvPicPr>
        <xdr:cNvPr id="2480" name="Picture 3703" descr="D-822-0639m">
          <a:hlinkClick xmlns:r="http://schemas.openxmlformats.org/officeDocument/2006/relationships" r:id="rId1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528</xdr:row>
      <xdr:rowOff>0</xdr:rowOff>
    </xdr:from>
    <xdr:to>
      <xdr:col>2</xdr:col>
      <xdr:colOff>19050</xdr:colOff>
      <xdr:row>529</xdr:row>
      <xdr:rowOff>0</xdr:rowOff>
    </xdr:to>
    <xdr:pic>
      <xdr:nvPicPr>
        <xdr:cNvPr id="2481" name="Picture 3704" descr="14-1584m">
          <a:hlinkClick xmlns:r="http://schemas.openxmlformats.org/officeDocument/2006/relationships" r:id="rId1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76653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620</xdr:row>
      <xdr:rowOff>0</xdr:rowOff>
    </xdr:from>
    <xdr:to>
      <xdr:col>2</xdr:col>
      <xdr:colOff>19050</xdr:colOff>
      <xdr:row>621</xdr:row>
      <xdr:rowOff>0</xdr:rowOff>
    </xdr:to>
    <xdr:pic>
      <xdr:nvPicPr>
        <xdr:cNvPr id="2482" name="Picture 3705" descr="14-1584m">
          <a:hlinkClick xmlns:r="http://schemas.openxmlformats.org/officeDocument/2006/relationships" r:id="rId1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96490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2483" name="Picture 3706" descr="14-1587m">
          <a:hlinkClick xmlns:r="http://schemas.openxmlformats.org/officeDocument/2006/relationships" r:id="rId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220</xdr:row>
      <xdr:rowOff>0</xdr:rowOff>
    </xdr:from>
    <xdr:to>
      <xdr:col>2</xdr:col>
      <xdr:colOff>19050</xdr:colOff>
      <xdr:row>221</xdr:row>
      <xdr:rowOff>0</xdr:rowOff>
    </xdr:to>
    <xdr:pic>
      <xdr:nvPicPr>
        <xdr:cNvPr id="2484" name="Picture 3707" descr="14-1587m">
          <a:hlinkClick xmlns:r="http://schemas.openxmlformats.org/officeDocument/2006/relationships" r:id="rId1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826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396</xdr:row>
      <xdr:rowOff>0</xdr:rowOff>
    </xdr:from>
    <xdr:to>
      <xdr:col>2</xdr:col>
      <xdr:colOff>19050</xdr:colOff>
      <xdr:row>397</xdr:row>
      <xdr:rowOff>0</xdr:rowOff>
    </xdr:to>
    <xdr:pic>
      <xdr:nvPicPr>
        <xdr:cNvPr id="2485" name="Picture 3708" descr="14-7580m">
          <a:hlinkClick xmlns:r="http://schemas.openxmlformats.org/officeDocument/2006/relationships" r:id="rId1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0279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319</xdr:row>
      <xdr:rowOff>0</xdr:rowOff>
    </xdr:from>
    <xdr:to>
      <xdr:col>2</xdr:col>
      <xdr:colOff>19050</xdr:colOff>
      <xdr:row>320</xdr:row>
      <xdr:rowOff>0</xdr:rowOff>
    </xdr:to>
    <xdr:pic>
      <xdr:nvPicPr>
        <xdr:cNvPr id="2486" name="Picture 3709" descr="14-1586m">
          <a:hlinkClick xmlns:r="http://schemas.openxmlformats.org/officeDocument/2006/relationships" r:id="rId1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449</xdr:row>
      <xdr:rowOff>0</xdr:rowOff>
    </xdr:from>
    <xdr:to>
      <xdr:col>2</xdr:col>
      <xdr:colOff>19050</xdr:colOff>
      <xdr:row>450</xdr:row>
      <xdr:rowOff>0</xdr:rowOff>
    </xdr:to>
    <xdr:pic>
      <xdr:nvPicPr>
        <xdr:cNvPr id="2487" name="Picture 3710" descr="22-422m">
          <a:hlinkClick xmlns:r="http://schemas.openxmlformats.org/officeDocument/2006/relationships" r:id="rId1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85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378</xdr:row>
      <xdr:rowOff>0</xdr:rowOff>
    </xdr:from>
    <xdr:to>
      <xdr:col>2</xdr:col>
      <xdr:colOff>19050</xdr:colOff>
      <xdr:row>379</xdr:row>
      <xdr:rowOff>0</xdr:rowOff>
    </xdr:to>
    <xdr:pic>
      <xdr:nvPicPr>
        <xdr:cNvPr id="2488" name="Picture 3711" descr="14-5584m">
          <a:hlinkClick xmlns:r="http://schemas.openxmlformats.org/officeDocument/2006/relationships" r:id="rId1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397</xdr:row>
      <xdr:rowOff>0</xdr:rowOff>
    </xdr:from>
    <xdr:to>
      <xdr:col>2</xdr:col>
      <xdr:colOff>19050</xdr:colOff>
      <xdr:row>398</xdr:row>
      <xdr:rowOff>0</xdr:rowOff>
    </xdr:to>
    <xdr:pic>
      <xdr:nvPicPr>
        <xdr:cNvPr id="2489" name="Picture 3712" descr="14-7584m">
          <a:hlinkClick xmlns:r="http://schemas.openxmlformats.org/officeDocument/2006/relationships" r:id="rId1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0279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415</xdr:row>
      <xdr:rowOff>0</xdr:rowOff>
    </xdr:from>
    <xdr:to>
      <xdr:col>2</xdr:col>
      <xdr:colOff>19050</xdr:colOff>
      <xdr:row>416</xdr:row>
      <xdr:rowOff>0</xdr:rowOff>
    </xdr:to>
    <xdr:pic>
      <xdr:nvPicPr>
        <xdr:cNvPr id="2490" name="Picture 3713" descr="14-9584m">
          <a:hlinkClick xmlns:r="http://schemas.openxmlformats.org/officeDocument/2006/relationships" r:id="rId1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78996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591</xdr:row>
      <xdr:rowOff>0</xdr:rowOff>
    </xdr:from>
    <xdr:to>
      <xdr:col>2</xdr:col>
      <xdr:colOff>19050</xdr:colOff>
      <xdr:row>592</xdr:row>
      <xdr:rowOff>0</xdr:rowOff>
    </xdr:to>
    <xdr:pic>
      <xdr:nvPicPr>
        <xdr:cNvPr id="2491" name="Picture 3714" descr="34-7584m">
          <a:hlinkClick xmlns:r="http://schemas.openxmlformats.org/officeDocument/2006/relationships" r:id="rId1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43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651</xdr:row>
      <xdr:rowOff>0</xdr:rowOff>
    </xdr:from>
    <xdr:to>
      <xdr:col>2</xdr:col>
      <xdr:colOff>19050</xdr:colOff>
      <xdr:row>652</xdr:row>
      <xdr:rowOff>0</xdr:rowOff>
    </xdr:to>
    <xdr:pic>
      <xdr:nvPicPr>
        <xdr:cNvPr id="2492" name="Picture 3715" descr="36-2584m">
          <a:hlinkClick xmlns:r="http://schemas.openxmlformats.org/officeDocument/2006/relationships" r:id="rId1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48890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1277</xdr:row>
      <xdr:rowOff>0</xdr:rowOff>
    </xdr:from>
    <xdr:to>
      <xdr:col>2</xdr:col>
      <xdr:colOff>19050</xdr:colOff>
      <xdr:row>1278</xdr:row>
      <xdr:rowOff>0</xdr:rowOff>
    </xdr:to>
    <xdr:pic>
      <xdr:nvPicPr>
        <xdr:cNvPr id="2493" name="Picture 3716" descr="T-TS-069m">
          <a:hlinkClick xmlns:r="http://schemas.openxmlformats.org/officeDocument/2006/relationships" r:id="rId1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5928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1274</xdr:row>
      <xdr:rowOff>0</xdr:rowOff>
    </xdr:from>
    <xdr:to>
      <xdr:col>2</xdr:col>
      <xdr:colOff>19050</xdr:colOff>
      <xdr:row>1275</xdr:row>
      <xdr:rowOff>0</xdr:rowOff>
    </xdr:to>
    <xdr:pic>
      <xdr:nvPicPr>
        <xdr:cNvPr id="2494" name="Picture 3717" descr="T-TS-067m">
          <a:hlinkClick xmlns:r="http://schemas.openxmlformats.org/officeDocument/2006/relationships" r:id="rId1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3642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1275</xdr:row>
      <xdr:rowOff>0</xdr:rowOff>
    </xdr:from>
    <xdr:to>
      <xdr:col>2</xdr:col>
      <xdr:colOff>19050</xdr:colOff>
      <xdr:row>1276</xdr:row>
      <xdr:rowOff>0</xdr:rowOff>
    </xdr:to>
    <xdr:pic>
      <xdr:nvPicPr>
        <xdr:cNvPr id="2495" name="Picture 3718" descr="T-TS-068m">
          <a:hlinkClick xmlns:r="http://schemas.openxmlformats.org/officeDocument/2006/relationships" r:id="rId1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4404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1276</xdr:row>
      <xdr:rowOff>0</xdr:rowOff>
    </xdr:from>
    <xdr:to>
      <xdr:col>2</xdr:col>
      <xdr:colOff>19050</xdr:colOff>
      <xdr:row>1277</xdr:row>
      <xdr:rowOff>0</xdr:rowOff>
    </xdr:to>
    <xdr:pic>
      <xdr:nvPicPr>
        <xdr:cNvPr id="2496" name="Picture 3719" descr="T-TS-068-Lm">
          <a:hlinkClick xmlns:r="http://schemas.openxmlformats.org/officeDocument/2006/relationships" r:id="rId1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5166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1138</xdr:row>
      <xdr:rowOff>0</xdr:rowOff>
    </xdr:from>
    <xdr:to>
      <xdr:col>2</xdr:col>
      <xdr:colOff>19050</xdr:colOff>
      <xdr:row>1139</xdr:row>
      <xdr:rowOff>0</xdr:rowOff>
    </xdr:to>
    <xdr:pic>
      <xdr:nvPicPr>
        <xdr:cNvPr id="2497" name="Picture 3720" descr="T-LS-068m">
          <a:hlinkClick xmlns:r="http://schemas.openxmlformats.org/officeDocument/2006/relationships" r:id="rId1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252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1108</xdr:row>
      <xdr:rowOff>0</xdr:rowOff>
    </xdr:from>
    <xdr:to>
      <xdr:col>2</xdr:col>
      <xdr:colOff>19050</xdr:colOff>
      <xdr:row>1109</xdr:row>
      <xdr:rowOff>0</xdr:rowOff>
    </xdr:to>
    <xdr:pic>
      <xdr:nvPicPr>
        <xdr:cNvPr id="2498" name="Picture 3721" descr="T-JH-001m">
          <a:hlinkClick xmlns:r="http://schemas.openxmlformats.org/officeDocument/2006/relationships" r:id="rId1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0678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1112</xdr:row>
      <xdr:rowOff>0</xdr:rowOff>
    </xdr:from>
    <xdr:to>
      <xdr:col>2</xdr:col>
      <xdr:colOff>19050</xdr:colOff>
      <xdr:row>1113</xdr:row>
      <xdr:rowOff>0</xdr:rowOff>
    </xdr:to>
    <xdr:pic>
      <xdr:nvPicPr>
        <xdr:cNvPr id="2499" name="Picture 3722" descr="T-JH-033m">
          <a:hlinkClick xmlns:r="http://schemas.openxmlformats.org/officeDocument/2006/relationships" r:id="rId1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3726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1113</xdr:row>
      <xdr:rowOff>0</xdr:rowOff>
    </xdr:from>
    <xdr:to>
      <xdr:col>2</xdr:col>
      <xdr:colOff>19050</xdr:colOff>
      <xdr:row>1114</xdr:row>
      <xdr:rowOff>0</xdr:rowOff>
    </xdr:to>
    <xdr:pic>
      <xdr:nvPicPr>
        <xdr:cNvPr id="2500" name="Picture 3723" descr="T-JH-033m">
          <a:hlinkClick xmlns:r="http://schemas.openxmlformats.org/officeDocument/2006/relationships" r:id="rId1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4488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1115</xdr:row>
      <xdr:rowOff>0</xdr:rowOff>
    </xdr:from>
    <xdr:to>
      <xdr:col>2</xdr:col>
      <xdr:colOff>19050</xdr:colOff>
      <xdr:row>1116</xdr:row>
      <xdr:rowOff>0</xdr:rowOff>
    </xdr:to>
    <xdr:pic>
      <xdr:nvPicPr>
        <xdr:cNvPr id="2501" name="Picture 3724" descr="T-JH-058m">
          <a:hlinkClick xmlns:r="http://schemas.openxmlformats.org/officeDocument/2006/relationships" r:id="rId1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6012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1116</xdr:row>
      <xdr:rowOff>0</xdr:rowOff>
    </xdr:from>
    <xdr:to>
      <xdr:col>2</xdr:col>
      <xdr:colOff>19050</xdr:colOff>
      <xdr:row>1117</xdr:row>
      <xdr:rowOff>0</xdr:rowOff>
    </xdr:to>
    <xdr:pic>
      <xdr:nvPicPr>
        <xdr:cNvPr id="2502" name="Picture 3725" descr="T-JH-065m">
          <a:hlinkClick xmlns:r="http://schemas.openxmlformats.org/officeDocument/2006/relationships" r:id="rId1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6774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1117</xdr:row>
      <xdr:rowOff>0</xdr:rowOff>
    </xdr:from>
    <xdr:to>
      <xdr:col>2</xdr:col>
      <xdr:colOff>19050</xdr:colOff>
      <xdr:row>1118</xdr:row>
      <xdr:rowOff>0</xdr:rowOff>
    </xdr:to>
    <xdr:pic>
      <xdr:nvPicPr>
        <xdr:cNvPr id="2503" name="Picture 3726" descr="T-JH-068m">
          <a:hlinkClick xmlns:r="http://schemas.openxmlformats.org/officeDocument/2006/relationships" r:id="rId1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7536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1120</xdr:row>
      <xdr:rowOff>0</xdr:rowOff>
    </xdr:from>
    <xdr:to>
      <xdr:col>2</xdr:col>
      <xdr:colOff>19050</xdr:colOff>
      <xdr:row>1121</xdr:row>
      <xdr:rowOff>0</xdr:rowOff>
    </xdr:to>
    <xdr:pic>
      <xdr:nvPicPr>
        <xdr:cNvPr id="2504" name="Picture 3727" descr="t-ls-001m">
          <a:hlinkClick xmlns:r="http://schemas.openxmlformats.org/officeDocument/2006/relationships" r:id="rId1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9822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1193</xdr:row>
      <xdr:rowOff>0</xdr:rowOff>
    </xdr:from>
    <xdr:to>
      <xdr:col>2</xdr:col>
      <xdr:colOff>19050</xdr:colOff>
      <xdr:row>1194</xdr:row>
      <xdr:rowOff>0</xdr:rowOff>
    </xdr:to>
    <xdr:pic>
      <xdr:nvPicPr>
        <xdr:cNvPr id="2505" name="Picture 3728" descr="t-ts-013m">
          <a:hlinkClick xmlns:r="http://schemas.openxmlformats.org/officeDocument/2006/relationships" r:id="rId1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9446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1194</xdr:row>
      <xdr:rowOff>0</xdr:rowOff>
    </xdr:from>
    <xdr:to>
      <xdr:col>2</xdr:col>
      <xdr:colOff>19050</xdr:colOff>
      <xdr:row>1195</xdr:row>
      <xdr:rowOff>0</xdr:rowOff>
    </xdr:to>
    <xdr:pic>
      <xdr:nvPicPr>
        <xdr:cNvPr id="2506" name="Picture 3729" descr="t-ts-013-bm">
          <a:hlinkClick xmlns:r="http://schemas.openxmlformats.org/officeDocument/2006/relationships" r:id="rId1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02086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1195</xdr:row>
      <xdr:rowOff>0</xdr:rowOff>
    </xdr:from>
    <xdr:to>
      <xdr:col>2</xdr:col>
      <xdr:colOff>19050</xdr:colOff>
      <xdr:row>1196</xdr:row>
      <xdr:rowOff>0</xdr:rowOff>
    </xdr:to>
    <xdr:pic>
      <xdr:nvPicPr>
        <xdr:cNvPr id="2507" name="Picture 3730" descr="t-ts-013-lm">
          <a:hlinkClick xmlns:r="http://schemas.openxmlformats.org/officeDocument/2006/relationships" r:id="rId1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0208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1215</xdr:row>
      <xdr:rowOff>0</xdr:rowOff>
    </xdr:from>
    <xdr:to>
      <xdr:col>2</xdr:col>
      <xdr:colOff>19050</xdr:colOff>
      <xdr:row>1216</xdr:row>
      <xdr:rowOff>0</xdr:rowOff>
    </xdr:to>
    <xdr:pic>
      <xdr:nvPicPr>
        <xdr:cNvPr id="2508" name="Picture 3731" descr="T-TS-034m">
          <a:hlinkClick xmlns:r="http://schemas.openxmlformats.org/officeDocument/2006/relationships" r:id="rId1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087665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629</xdr:row>
      <xdr:rowOff>0</xdr:rowOff>
    </xdr:from>
    <xdr:to>
      <xdr:col>2</xdr:col>
      <xdr:colOff>0</xdr:colOff>
      <xdr:row>630</xdr:row>
      <xdr:rowOff>0</xdr:rowOff>
    </xdr:to>
    <xdr:pic>
      <xdr:nvPicPr>
        <xdr:cNvPr id="2509" name="Picture 3928" descr="14-151m">
          <a:hlinkClick xmlns:r="http://schemas.openxmlformats.org/officeDocument/2006/relationships" r:id="rId1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422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267</xdr:row>
      <xdr:rowOff>0</xdr:rowOff>
    </xdr:from>
    <xdr:to>
      <xdr:col>2</xdr:col>
      <xdr:colOff>19050</xdr:colOff>
      <xdr:row>268</xdr:row>
      <xdr:rowOff>0</xdr:rowOff>
    </xdr:to>
    <xdr:pic>
      <xdr:nvPicPr>
        <xdr:cNvPr id="2510" name="Picture 3733" descr="14-1581m">
          <a:hlinkClick xmlns:r="http://schemas.openxmlformats.org/officeDocument/2006/relationships" r:id="rId1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11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642</xdr:row>
      <xdr:rowOff>0</xdr:rowOff>
    </xdr:from>
    <xdr:to>
      <xdr:col>2</xdr:col>
      <xdr:colOff>19050</xdr:colOff>
      <xdr:row>643</xdr:row>
      <xdr:rowOff>0</xdr:rowOff>
    </xdr:to>
    <xdr:pic>
      <xdr:nvPicPr>
        <xdr:cNvPr id="2511" name="Picture 3734" descr="14-1581m">
          <a:hlinkClick xmlns:r="http://schemas.openxmlformats.org/officeDocument/2006/relationships" r:id="rId1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03170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624</xdr:row>
      <xdr:rowOff>0</xdr:rowOff>
    </xdr:to>
    <xdr:pic>
      <xdr:nvPicPr>
        <xdr:cNvPr id="2512" name="Picture 3735" descr="14-101SGm">
          <a:hlinkClick xmlns:r="http://schemas.openxmlformats.org/officeDocument/2006/relationships" r:id="rId1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93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624</xdr:row>
      <xdr:rowOff>0</xdr:rowOff>
    </xdr:from>
    <xdr:to>
      <xdr:col>2</xdr:col>
      <xdr:colOff>0</xdr:colOff>
      <xdr:row>625</xdr:row>
      <xdr:rowOff>0</xdr:rowOff>
    </xdr:to>
    <xdr:pic>
      <xdr:nvPicPr>
        <xdr:cNvPr id="2513" name="Picture 3736" descr="14-102SGm">
          <a:hlinkClick xmlns:r="http://schemas.openxmlformats.org/officeDocument/2006/relationships" r:id="rId1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269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2514" name="Picture 4166" descr="14-1501m">
          <a:hlinkClick xmlns:r="http://schemas.openxmlformats.org/officeDocument/2006/relationships" r:id="rId1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4221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753</xdr:row>
      <xdr:rowOff>0</xdr:rowOff>
    </xdr:from>
    <xdr:to>
      <xdr:col>2</xdr:col>
      <xdr:colOff>19050</xdr:colOff>
      <xdr:row>754</xdr:row>
      <xdr:rowOff>0</xdr:rowOff>
    </xdr:to>
    <xdr:pic>
      <xdr:nvPicPr>
        <xdr:cNvPr id="2515" name="Picture 3738" descr="50-1587m">
          <a:hlinkClick xmlns:r="http://schemas.openxmlformats.org/officeDocument/2006/relationships" r:id="rId1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79121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634</xdr:row>
      <xdr:rowOff>0</xdr:rowOff>
    </xdr:from>
    <xdr:to>
      <xdr:col>2</xdr:col>
      <xdr:colOff>0</xdr:colOff>
      <xdr:row>635</xdr:row>
      <xdr:rowOff>0</xdr:rowOff>
    </xdr:to>
    <xdr:pic>
      <xdr:nvPicPr>
        <xdr:cNvPr id="2516" name="Picture 3739" descr="14-1535m">
          <a:hlinkClick xmlns:r="http://schemas.openxmlformats.org/officeDocument/2006/relationships" r:id="rId1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507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246</xdr:row>
      <xdr:rowOff>0</xdr:rowOff>
    </xdr:to>
    <xdr:pic>
      <xdr:nvPicPr>
        <xdr:cNvPr id="2517" name="Picture 3740" descr="28-4576m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363</xdr:row>
      <xdr:rowOff>0</xdr:rowOff>
    </xdr:from>
    <xdr:to>
      <xdr:col>2</xdr:col>
      <xdr:colOff>0</xdr:colOff>
      <xdr:row>364</xdr:row>
      <xdr:rowOff>0</xdr:rowOff>
    </xdr:to>
    <xdr:pic>
      <xdr:nvPicPr>
        <xdr:cNvPr id="2518" name="Picture 3741" descr="28-4568m">
          <a:hlinkClick xmlns:r="http://schemas.openxmlformats.org/officeDocument/2006/relationships" r:id="rId1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33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370</xdr:row>
      <xdr:rowOff>0</xdr:rowOff>
    </xdr:to>
    <xdr:pic>
      <xdr:nvPicPr>
        <xdr:cNvPr id="2519" name="Picture 4164" descr="14-130m">
          <a:hlinkClick xmlns:r="http://schemas.openxmlformats.org/officeDocument/2006/relationships" r:id="rId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538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566</xdr:row>
      <xdr:rowOff>0</xdr:rowOff>
    </xdr:to>
    <xdr:pic>
      <xdr:nvPicPr>
        <xdr:cNvPr id="2520" name="Picture 4164" descr="14-130m">
          <a:hlinkClick xmlns:r="http://schemas.openxmlformats.org/officeDocument/2006/relationships" r:id="rId1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316</xdr:row>
      <xdr:rowOff>0</xdr:rowOff>
    </xdr:from>
    <xdr:to>
      <xdr:col>2</xdr:col>
      <xdr:colOff>19050</xdr:colOff>
      <xdr:row>317</xdr:row>
      <xdr:rowOff>0</xdr:rowOff>
    </xdr:to>
    <xdr:pic>
      <xdr:nvPicPr>
        <xdr:cNvPr id="2521" name="Picture 3744" descr="14-1556m">
          <a:hlinkClick xmlns:r="http://schemas.openxmlformats.org/officeDocument/2006/relationships" r:id="rId1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34397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526</xdr:row>
      <xdr:rowOff>0</xdr:rowOff>
    </xdr:from>
    <xdr:to>
      <xdr:col>2</xdr:col>
      <xdr:colOff>19050</xdr:colOff>
      <xdr:row>527</xdr:row>
      <xdr:rowOff>0</xdr:rowOff>
    </xdr:to>
    <xdr:pic>
      <xdr:nvPicPr>
        <xdr:cNvPr id="2522" name="Picture 3745" descr="34-1556m">
          <a:hlinkClick xmlns:r="http://schemas.openxmlformats.org/officeDocument/2006/relationships" r:id="rId1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9033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221</xdr:row>
      <xdr:rowOff>0</xdr:rowOff>
    </xdr:from>
    <xdr:to>
      <xdr:col>2</xdr:col>
      <xdr:colOff>19050</xdr:colOff>
      <xdr:row>221</xdr:row>
      <xdr:rowOff>0</xdr:rowOff>
    </xdr:to>
    <xdr:pic>
      <xdr:nvPicPr>
        <xdr:cNvPr id="2523" name="Picture 3746" descr="14-1593m">
          <a:hlinkClick xmlns:r="http://schemas.openxmlformats.org/officeDocument/2006/relationships" r:id="rId1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826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499</xdr:row>
      <xdr:rowOff>0</xdr:rowOff>
    </xdr:from>
    <xdr:to>
      <xdr:col>2</xdr:col>
      <xdr:colOff>19050</xdr:colOff>
      <xdr:row>500</xdr:row>
      <xdr:rowOff>0</xdr:rowOff>
    </xdr:to>
    <xdr:pic>
      <xdr:nvPicPr>
        <xdr:cNvPr id="2524" name="Picture 3747" descr="30-4584m">
          <a:hlinkClick xmlns:r="http://schemas.openxmlformats.org/officeDocument/2006/relationships" r:id="rId1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5314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969</xdr:row>
      <xdr:rowOff>0</xdr:rowOff>
    </xdr:from>
    <xdr:to>
      <xdr:col>2</xdr:col>
      <xdr:colOff>0</xdr:colOff>
      <xdr:row>970</xdr:row>
      <xdr:rowOff>0</xdr:rowOff>
    </xdr:to>
    <xdr:pic>
      <xdr:nvPicPr>
        <xdr:cNvPr id="2525" name="Picture 3748" descr="K-14-101m">
          <a:hlinkClick xmlns:r="http://schemas.openxmlformats.org/officeDocument/2006/relationships" r:id="rId1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3912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268</xdr:row>
      <xdr:rowOff>0</xdr:rowOff>
    </xdr:from>
    <xdr:to>
      <xdr:col>2</xdr:col>
      <xdr:colOff>19050</xdr:colOff>
      <xdr:row>269</xdr:row>
      <xdr:rowOff>0</xdr:rowOff>
    </xdr:to>
    <xdr:pic>
      <xdr:nvPicPr>
        <xdr:cNvPr id="2526" name="Picture 3749" descr="14-1582m">
          <a:hlinkClick xmlns:r="http://schemas.openxmlformats.org/officeDocument/2006/relationships" r:id="rId1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11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643</xdr:row>
      <xdr:rowOff>0</xdr:rowOff>
    </xdr:from>
    <xdr:to>
      <xdr:col>2</xdr:col>
      <xdr:colOff>19050</xdr:colOff>
      <xdr:row>643</xdr:row>
      <xdr:rowOff>0</xdr:rowOff>
    </xdr:to>
    <xdr:pic>
      <xdr:nvPicPr>
        <xdr:cNvPr id="2527" name="Picture 3750" descr="14-1582m">
          <a:hlinkClick xmlns:r="http://schemas.openxmlformats.org/officeDocument/2006/relationships" r:id="rId1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1079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632</xdr:row>
      <xdr:rowOff>0</xdr:rowOff>
    </xdr:from>
    <xdr:to>
      <xdr:col>2</xdr:col>
      <xdr:colOff>0</xdr:colOff>
      <xdr:row>633</xdr:row>
      <xdr:rowOff>0</xdr:rowOff>
    </xdr:to>
    <xdr:pic>
      <xdr:nvPicPr>
        <xdr:cNvPr id="2528" name="Picture 3751" descr="14-1520m">
          <a:hlinkClick xmlns:r="http://schemas.openxmlformats.org/officeDocument/2006/relationships" r:id="rId1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574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616</xdr:row>
      <xdr:rowOff>0</xdr:rowOff>
    </xdr:from>
    <xdr:to>
      <xdr:col>2</xdr:col>
      <xdr:colOff>0</xdr:colOff>
      <xdr:row>617</xdr:row>
      <xdr:rowOff>0</xdr:rowOff>
    </xdr:to>
    <xdr:pic>
      <xdr:nvPicPr>
        <xdr:cNvPr id="2529" name="Picture 3932" descr="14-170m">
          <a:hlinkClick xmlns:r="http://schemas.openxmlformats.org/officeDocument/2006/relationships" r:id="rId1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660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pic>
      <xdr:nvPicPr>
        <xdr:cNvPr id="2530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82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321</xdr:row>
      <xdr:rowOff>0</xdr:rowOff>
    </xdr:to>
    <xdr:pic>
      <xdr:nvPicPr>
        <xdr:cNvPr id="2531" name="Picture 3754" descr="14-1596m">
          <a:hlinkClick xmlns:r="http://schemas.openxmlformats.org/officeDocument/2006/relationships" r:id="rId1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850</xdr:row>
      <xdr:rowOff>0</xdr:rowOff>
    </xdr:from>
    <xdr:to>
      <xdr:col>2</xdr:col>
      <xdr:colOff>0</xdr:colOff>
      <xdr:row>851</xdr:row>
      <xdr:rowOff>0</xdr:rowOff>
    </xdr:to>
    <xdr:pic>
      <xdr:nvPicPr>
        <xdr:cNvPr id="2532" name="Picture 3755" descr="81-1589m">
          <a:hlinkClick xmlns:r="http://schemas.openxmlformats.org/officeDocument/2006/relationships" r:id="rId1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686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857</xdr:row>
      <xdr:rowOff>0</xdr:rowOff>
    </xdr:from>
    <xdr:to>
      <xdr:col>2</xdr:col>
      <xdr:colOff>0</xdr:colOff>
      <xdr:row>858</xdr:row>
      <xdr:rowOff>0</xdr:rowOff>
    </xdr:to>
    <xdr:pic>
      <xdr:nvPicPr>
        <xdr:cNvPr id="2533" name="Picture 3756" descr="82-2592m">
          <a:hlinkClick xmlns:r="http://schemas.openxmlformats.org/officeDocument/2006/relationships" r:id="rId1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067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861</xdr:row>
      <xdr:rowOff>0</xdr:rowOff>
    </xdr:from>
    <xdr:to>
      <xdr:col>2</xdr:col>
      <xdr:colOff>0</xdr:colOff>
      <xdr:row>862</xdr:row>
      <xdr:rowOff>0</xdr:rowOff>
    </xdr:to>
    <xdr:pic>
      <xdr:nvPicPr>
        <xdr:cNvPr id="2534" name="Picture 3757" descr="82-9590m">
          <a:hlinkClick xmlns:r="http://schemas.openxmlformats.org/officeDocument/2006/relationships" r:id="rId1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372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755</xdr:row>
      <xdr:rowOff>0</xdr:rowOff>
    </xdr:from>
    <xdr:to>
      <xdr:col>2</xdr:col>
      <xdr:colOff>0</xdr:colOff>
      <xdr:row>756</xdr:row>
      <xdr:rowOff>0</xdr:rowOff>
    </xdr:to>
    <xdr:pic>
      <xdr:nvPicPr>
        <xdr:cNvPr id="2535" name="Picture 3924" descr="14-123m">
          <a:hlinkClick xmlns:r="http://schemas.openxmlformats.org/officeDocument/2006/relationships" r:id="rId1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9436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320</xdr:row>
      <xdr:rowOff>0</xdr:rowOff>
    </xdr:to>
    <xdr:pic>
      <xdr:nvPicPr>
        <xdr:cNvPr id="2536" name="Picture 3759" descr="14-1594m">
          <a:hlinkClick xmlns:r="http://schemas.openxmlformats.org/officeDocument/2006/relationships" r:id="rId1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620</xdr:row>
      <xdr:rowOff>0</xdr:rowOff>
    </xdr:from>
    <xdr:to>
      <xdr:col>2</xdr:col>
      <xdr:colOff>0</xdr:colOff>
      <xdr:row>620</xdr:row>
      <xdr:rowOff>0</xdr:rowOff>
    </xdr:to>
    <xdr:pic>
      <xdr:nvPicPr>
        <xdr:cNvPr id="2537" name="Picture 3760" descr="36-1595m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964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754</xdr:row>
      <xdr:rowOff>0</xdr:rowOff>
    </xdr:from>
    <xdr:to>
      <xdr:col>2</xdr:col>
      <xdr:colOff>0</xdr:colOff>
      <xdr:row>755</xdr:row>
      <xdr:rowOff>0</xdr:rowOff>
    </xdr:to>
    <xdr:pic>
      <xdr:nvPicPr>
        <xdr:cNvPr id="2538" name="Picture 3761" descr="36-1595m">
          <a:hlinkClick xmlns:r="http://schemas.openxmlformats.org/officeDocument/2006/relationships" r:id="rId1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867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851</xdr:row>
      <xdr:rowOff>0</xdr:rowOff>
    </xdr:from>
    <xdr:to>
      <xdr:col>2</xdr:col>
      <xdr:colOff>0</xdr:colOff>
      <xdr:row>852</xdr:row>
      <xdr:rowOff>0</xdr:rowOff>
    </xdr:to>
    <xdr:pic>
      <xdr:nvPicPr>
        <xdr:cNvPr id="2539" name="Picture 3762" descr="81-1590m">
          <a:hlinkClick xmlns:r="http://schemas.openxmlformats.org/officeDocument/2006/relationships" r:id="rId1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686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853</xdr:row>
      <xdr:rowOff>0</xdr:rowOff>
    </xdr:from>
    <xdr:to>
      <xdr:col>2</xdr:col>
      <xdr:colOff>0</xdr:colOff>
      <xdr:row>854</xdr:row>
      <xdr:rowOff>0</xdr:rowOff>
    </xdr:to>
    <xdr:pic>
      <xdr:nvPicPr>
        <xdr:cNvPr id="2540" name="Picture 3763" descr="81-5588m">
          <a:hlinkClick xmlns:r="http://schemas.openxmlformats.org/officeDocument/2006/relationships" r:id="rId1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839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854</xdr:row>
      <xdr:rowOff>0</xdr:rowOff>
    </xdr:from>
    <xdr:to>
      <xdr:col>2</xdr:col>
      <xdr:colOff>0</xdr:colOff>
      <xdr:row>855</xdr:row>
      <xdr:rowOff>0</xdr:rowOff>
    </xdr:to>
    <xdr:pic>
      <xdr:nvPicPr>
        <xdr:cNvPr id="2541" name="Picture 3764" descr="81-5590m">
          <a:hlinkClick xmlns:r="http://schemas.openxmlformats.org/officeDocument/2006/relationships" r:id="rId1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915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2542" name="Picture 3766" descr="14-6539m">
          <a:hlinkClick xmlns:r="http://schemas.openxmlformats.org/officeDocument/2006/relationships" r:id="rId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2543" name="Picture 3767" descr="14-6539m">
          <a:hlinkClick xmlns:r="http://schemas.openxmlformats.org/officeDocument/2006/relationships" r:id="rId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644</xdr:row>
      <xdr:rowOff>0</xdr:rowOff>
    </xdr:from>
    <xdr:to>
      <xdr:col>2</xdr:col>
      <xdr:colOff>19050</xdr:colOff>
      <xdr:row>645</xdr:row>
      <xdr:rowOff>0</xdr:rowOff>
    </xdr:to>
    <xdr:pic>
      <xdr:nvPicPr>
        <xdr:cNvPr id="2544" name="Picture 3768" descr="14-1587m">
          <a:hlinkClick xmlns:r="http://schemas.openxmlformats.org/officeDocument/2006/relationships" r:id="rId1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18410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625</xdr:row>
      <xdr:rowOff>0</xdr:rowOff>
    </xdr:to>
    <xdr:pic>
      <xdr:nvPicPr>
        <xdr:cNvPr id="2545" name="Picture 3920" descr="14-119m">
          <a:hlinkClick xmlns:r="http://schemas.openxmlformats.org/officeDocument/2006/relationships" r:id="rId1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345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502</xdr:row>
      <xdr:rowOff>0</xdr:rowOff>
    </xdr:from>
    <xdr:to>
      <xdr:col>2</xdr:col>
      <xdr:colOff>0</xdr:colOff>
      <xdr:row>503</xdr:row>
      <xdr:rowOff>0</xdr:rowOff>
    </xdr:to>
    <xdr:pic>
      <xdr:nvPicPr>
        <xdr:cNvPr id="2546" name="Picture 3920" descr="14-119m">
          <a:hlinkClick xmlns:r="http://schemas.openxmlformats.org/officeDocument/2006/relationships" r:id="rId1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4293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852</xdr:row>
      <xdr:rowOff>0</xdr:rowOff>
    </xdr:from>
    <xdr:to>
      <xdr:col>2</xdr:col>
      <xdr:colOff>0</xdr:colOff>
      <xdr:row>853</xdr:row>
      <xdr:rowOff>0</xdr:rowOff>
    </xdr:to>
    <xdr:pic>
      <xdr:nvPicPr>
        <xdr:cNvPr id="2547" name="Picture 3771" descr="81-1591m">
          <a:hlinkClick xmlns:r="http://schemas.openxmlformats.org/officeDocument/2006/relationships" r:id="rId1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763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337</xdr:row>
      <xdr:rowOff>0</xdr:rowOff>
    </xdr:from>
    <xdr:to>
      <xdr:col>2</xdr:col>
      <xdr:colOff>0</xdr:colOff>
      <xdr:row>338</xdr:row>
      <xdr:rowOff>0</xdr:rowOff>
    </xdr:to>
    <xdr:pic>
      <xdr:nvPicPr>
        <xdr:cNvPr id="2548" name="Picture 3772" descr="14-217m">
          <a:hlinkClick xmlns:r="http://schemas.openxmlformats.org/officeDocument/2006/relationships" r:id="rId1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2549" name="Picture 3773" descr="14-2531m">
          <a:hlinkClick xmlns:r="http://schemas.openxmlformats.org/officeDocument/2006/relationships" r:id="rId1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139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540</xdr:row>
      <xdr:rowOff>0</xdr:rowOff>
    </xdr:to>
    <xdr:pic>
      <xdr:nvPicPr>
        <xdr:cNvPr id="2550" name="Picture 3774" descr="34-2531m">
          <a:hlinkClick xmlns:r="http://schemas.openxmlformats.org/officeDocument/2006/relationships" r:id="rId1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027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1139</xdr:row>
      <xdr:rowOff>0</xdr:rowOff>
    </xdr:from>
    <xdr:to>
      <xdr:col>2</xdr:col>
      <xdr:colOff>0</xdr:colOff>
      <xdr:row>1140</xdr:row>
      <xdr:rowOff>0</xdr:rowOff>
    </xdr:to>
    <xdr:pic>
      <xdr:nvPicPr>
        <xdr:cNvPr id="2551" name="Picture 3775" descr="T-LS-070m">
          <a:hlinkClick xmlns:r="http://schemas.openxmlformats.org/officeDocument/2006/relationships" r:id="rId1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201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1278</xdr:row>
      <xdr:rowOff>0</xdr:rowOff>
    </xdr:from>
    <xdr:to>
      <xdr:col>2</xdr:col>
      <xdr:colOff>0</xdr:colOff>
      <xdr:row>1279</xdr:row>
      <xdr:rowOff>0</xdr:rowOff>
    </xdr:to>
    <xdr:pic>
      <xdr:nvPicPr>
        <xdr:cNvPr id="2552" name="Picture 3776" descr="T-TS-070m">
          <a:hlinkClick xmlns:r="http://schemas.openxmlformats.org/officeDocument/2006/relationships" r:id="rId1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669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970</xdr:row>
      <xdr:rowOff>0</xdr:rowOff>
    </xdr:from>
    <xdr:to>
      <xdr:col>2</xdr:col>
      <xdr:colOff>0</xdr:colOff>
      <xdr:row>971</xdr:row>
      <xdr:rowOff>0</xdr:rowOff>
    </xdr:to>
    <xdr:pic>
      <xdr:nvPicPr>
        <xdr:cNvPr id="2553" name="Picture 3777" descr="K-14-102m">
          <a:hlinkClick xmlns:r="http://schemas.openxmlformats.org/officeDocument/2006/relationships" r:id="rId1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4674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321</xdr:row>
      <xdr:rowOff>0</xdr:rowOff>
    </xdr:from>
    <xdr:to>
      <xdr:col>2</xdr:col>
      <xdr:colOff>0</xdr:colOff>
      <xdr:row>322</xdr:row>
      <xdr:rowOff>0</xdr:rowOff>
    </xdr:to>
    <xdr:pic>
      <xdr:nvPicPr>
        <xdr:cNvPr id="2554" name="Picture 3778" descr="14-1598m">
          <a:hlinkClick xmlns:r="http://schemas.openxmlformats.org/officeDocument/2006/relationships" r:id="rId1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660</xdr:row>
      <xdr:rowOff>0</xdr:rowOff>
    </xdr:from>
    <xdr:to>
      <xdr:col>2</xdr:col>
      <xdr:colOff>0</xdr:colOff>
      <xdr:row>661</xdr:row>
      <xdr:rowOff>0</xdr:rowOff>
    </xdr:to>
    <xdr:pic>
      <xdr:nvPicPr>
        <xdr:cNvPr id="2555" name="Picture 3779" descr="38-357m">
          <a:hlinkClick xmlns:r="http://schemas.openxmlformats.org/officeDocument/2006/relationships" r:id="rId1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717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1017</xdr:row>
      <xdr:rowOff>0</xdr:rowOff>
    </xdr:from>
    <xdr:to>
      <xdr:col>2</xdr:col>
      <xdr:colOff>19050</xdr:colOff>
      <xdr:row>1018</xdr:row>
      <xdr:rowOff>0</xdr:rowOff>
    </xdr:to>
    <xdr:pic>
      <xdr:nvPicPr>
        <xdr:cNvPr id="2556" name="Picture 3780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09619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423</xdr:row>
      <xdr:rowOff>0</xdr:rowOff>
    </xdr:from>
    <xdr:to>
      <xdr:col>2</xdr:col>
      <xdr:colOff>19050</xdr:colOff>
      <xdr:row>424</xdr:row>
      <xdr:rowOff>0</xdr:rowOff>
    </xdr:to>
    <xdr:pic>
      <xdr:nvPicPr>
        <xdr:cNvPr id="2557" name="Picture 3781" descr="14-1587m">
          <a:hlinkClick xmlns:r="http://schemas.openxmlformats.org/officeDocument/2006/relationships" r:id="rId1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42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364</xdr:row>
      <xdr:rowOff>0</xdr:rowOff>
    </xdr:from>
    <xdr:to>
      <xdr:col>2</xdr:col>
      <xdr:colOff>0</xdr:colOff>
      <xdr:row>365</xdr:row>
      <xdr:rowOff>0</xdr:rowOff>
    </xdr:to>
    <xdr:pic>
      <xdr:nvPicPr>
        <xdr:cNvPr id="2558" name="Picture 3782" descr="14-4597m">
          <a:hlinkClick xmlns:r="http://schemas.openxmlformats.org/officeDocument/2006/relationships" r:id="rId1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3097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379</xdr:row>
      <xdr:rowOff>0</xdr:rowOff>
    </xdr:from>
    <xdr:to>
      <xdr:col>2</xdr:col>
      <xdr:colOff>0</xdr:colOff>
      <xdr:row>380</xdr:row>
      <xdr:rowOff>0</xdr:rowOff>
    </xdr:to>
    <xdr:pic>
      <xdr:nvPicPr>
        <xdr:cNvPr id="2559" name="Picture 3783" descr="14-5597m">
          <a:hlinkClick xmlns:r="http://schemas.openxmlformats.org/officeDocument/2006/relationships" r:id="rId1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576</xdr:row>
      <xdr:rowOff>0</xdr:rowOff>
    </xdr:from>
    <xdr:to>
      <xdr:col>2</xdr:col>
      <xdr:colOff>0</xdr:colOff>
      <xdr:row>577</xdr:row>
      <xdr:rowOff>0</xdr:rowOff>
    </xdr:to>
    <xdr:pic>
      <xdr:nvPicPr>
        <xdr:cNvPr id="2560" name="Picture 3784" descr="34-5597m">
          <a:hlinkClick xmlns:r="http://schemas.openxmlformats.org/officeDocument/2006/relationships" r:id="rId1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89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1" name="Picture 3785" descr="D-1116-01m">
          <a:hlinkClick xmlns:r="http://schemas.openxmlformats.org/officeDocument/2006/relationships" r:id="rId1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2" name="Picture 3786" descr="D-1418-02m">
          <a:hlinkClick xmlns:r="http://schemas.openxmlformats.org/officeDocument/2006/relationships" r:id="rId13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3" name="Picture 3787" descr="D-1418-0401m">
          <a:hlinkClick xmlns:r="http://schemas.openxmlformats.org/officeDocument/2006/relationships" r:id="rId1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4" name="Picture 3788" descr="D-1418-0901m">
          <a:hlinkClick xmlns:r="http://schemas.openxmlformats.org/officeDocument/2006/relationships" r:id="rId1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5" name="Picture 3789" descr="D-1418-3001m">
          <a:hlinkClick xmlns:r="http://schemas.openxmlformats.org/officeDocument/2006/relationships" r:id="rId1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6" name="Picture 3790" descr="D-1433-01m">
          <a:hlinkClick xmlns:r="http://schemas.openxmlformats.org/officeDocument/2006/relationships" r:id="rId1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7" name="Picture 3791" descr="D-1439-01m">
          <a:hlinkClick xmlns:r="http://schemas.openxmlformats.org/officeDocument/2006/relationships" r:id="rId1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8" name="Picture 3792" descr="D-1442-01m">
          <a:hlinkClick xmlns:r="http://schemas.openxmlformats.org/officeDocument/2006/relationships" r:id="rId1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69" name="Picture 3793" descr="D-1444-01m">
          <a:hlinkClick xmlns:r="http://schemas.openxmlformats.org/officeDocument/2006/relationships" r:id="rId1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0" name="Picture 3794" descr="D-1445-37m">
          <a:hlinkClick xmlns:r="http://schemas.openxmlformats.org/officeDocument/2006/relationships" r:id="rId1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1" name="Picture 3795" descr="D-1447-01m">
          <a:hlinkClick xmlns:r="http://schemas.openxmlformats.org/officeDocument/2006/relationships" r:id="rId1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2" name="Picture 3796" descr="D-1447-19m">
          <a:hlinkClick xmlns:r="http://schemas.openxmlformats.org/officeDocument/2006/relationships" r:id="rId1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3" name="Picture 3797" descr="D-546-01m">
          <a:hlinkClick xmlns:r="http://schemas.openxmlformats.org/officeDocument/2006/relationships" r:id="rId1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4" name="Picture 3798" descr="D-557-01m">
          <a:hlinkClick xmlns:r="http://schemas.openxmlformats.org/officeDocument/2006/relationships" r:id="rId1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5" name="Picture 3799" descr="D-580-02m">
          <a:hlinkClick xmlns:r="http://schemas.openxmlformats.org/officeDocument/2006/relationships" r:id="rId1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576" name="Picture 3800" descr="D-585-01m">
          <a:hlinkClick xmlns:r="http://schemas.openxmlformats.org/officeDocument/2006/relationships" r:id="rId1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1118</xdr:row>
      <xdr:rowOff>0</xdr:rowOff>
    </xdr:from>
    <xdr:to>
      <xdr:col>2</xdr:col>
      <xdr:colOff>0</xdr:colOff>
      <xdr:row>1119</xdr:row>
      <xdr:rowOff>0</xdr:rowOff>
    </xdr:to>
    <xdr:pic>
      <xdr:nvPicPr>
        <xdr:cNvPr id="2577" name="Picture 3801" descr="T-JHWS-023m">
          <a:hlinkClick xmlns:r="http://schemas.openxmlformats.org/officeDocument/2006/relationships" r:id="rId1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829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1119</xdr:row>
      <xdr:rowOff>0</xdr:rowOff>
    </xdr:from>
    <xdr:to>
      <xdr:col>2</xdr:col>
      <xdr:colOff>0</xdr:colOff>
      <xdr:row>1120</xdr:row>
      <xdr:rowOff>0</xdr:rowOff>
    </xdr:to>
    <xdr:pic>
      <xdr:nvPicPr>
        <xdr:cNvPr id="2578" name="Picture 3802" descr="T-JHWS-037m">
          <a:hlinkClick xmlns:r="http://schemas.openxmlformats.org/officeDocument/2006/relationships" r:id="rId1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906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1204</xdr:row>
      <xdr:rowOff>0</xdr:rowOff>
    </xdr:from>
    <xdr:to>
      <xdr:col>2</xdr:col>
      <xdr:colOff>0</xdr:colOff>
      <xdr:row>1205</xdr:row>
      <xdr:rowOff>0</xdr:rowOff>
    </xdr:to>
    <xdr:pic>
      <xdr:nvPicPr>
        <xdr:cNvPr id="2579" name="Picture 3803" descr="T-TS-022m">
          <a:hlinkClick xmlns:r="http://schemas.openxmlformats.org/officeDocument/2006/relationships" r:id="rId1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325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1192</xdr:row>
      <xdr:rowOff>0</xdr:rowOff>
    </xdr:from>
    <xdr:to>
      <xdr:col>2</xdr:col>
      <xdr:colOff>0</xdr:colOff>
      <xdr:row>1193</xdr:row>
      <xdr:rowOff>0</xdr:rowOff>
    </xdr:to>
    <xdr:pic>
      <xdr:nvPicPr>
        <xdr:cNvPr id="2580" name="Picture 3804" descr="t-011m">
          <a:hlinkClick xmlns:r="http://schemas.openxmlformats.org/officeDocument/2006/relationships" r:id="rId1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868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1109</xdr:row>
      <xdr:rowOff>0</xdr:rowOff>
    </xdr:from>
    <xdr:to>
      <xdr:col>2</xdr:col>
      <xdr:colOff>0</xdr:colOff>
      <xdr:row>1110</xdr:row>
      <xdr:rowOff>0</xdr:rowOff>
    </xdr:to>
    <xdr:pic>
      <xdr:nvPicPr>
        <xdr:cNvPr id="2581" name="Picture 3805" descr="t-011m">
          <a:hlinkClick xmlns:r="http://schemas.openxmlformats.org/officeDocument/2006/relationships" r:id="rId1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144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323</xdr:row>
      <xdr:rowOff>0</xdr:rowOff>
    </xdr:from>
    <xdr:to>
      <xdr:col>2</xdr:col>
      <xdr:colOff>0</xdr:colOff>
      <xdr:row>324</xdr:row>
      <xdr:rowOff>0</xdr:rowOff>
    </xdr:to>
    <xdr:pic>
      <xdr:nvPicPr>
        <xdr:cNvPr id="2582" name="Picture 3806" descr="14-1600m">
          <a:hlinkClick xmlns:r="http://schemas.openxmlformats.org/officeDocument/2006/relationships" r:id="rId1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2583" name="Picture 3807" descr="14-1601m">
          <a:hlinkClick xmlns:r="http://schemas.openxmlformats.org/officeDocument/2006/relationships" r:id="rId1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325</xdr:row>
      <xdr:rowOff>0</xdr:rowOff>
    </xdr:to>
    <xdr:pic>
      <xdr:nvPicPr>
        <xdr:cNvPr id="2584" name="Picture 3808" descr="14-1602m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585" name="Picture 3809" descr="14-1603m">
          <a:hlinkClick xmlns:r="http://schemas.openxmlformats.org/officeDocument/2006/relationships" r:id="rId1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11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586" name="Picture 3810" descr="14-3580m">
          <a:hlinkClick xmlns:r="http://schemas.openxmlformats.org/officeDocument/2006/relationships" r:id="rId1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68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678</xdr:row>
      <xdr:rowOff>0</xdr:rowOff>
    </xdr:from>
    <xdr:to>
      <xdr:col>2</xdr:col>
      <xdr:colOff>0</xdr:colOff>
      <xdr:row>679</xdr:row>
      <xdr:rowOff>0</xdr:rowOff>
    </xdr:to>
    <xdr:pic>
      <xdr:nvPicPr>
        <xdr:cNvPr id="2587" name="Picture 3811" descr="41-3580m">
          <a:hlinkClick xmlns:r="http://schemas.openxmlformats.org/officeDocument/2006/relationships" r:id="rId1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1747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1124</xdr:row>
      <xdr:rowOff>0</xdr:rowOff>
    </xdr:from>
    <xdr:to>
      <xdr:col>2</xdr:col>
      <xdr:colOff>0</xdr:colOff>
      <xdr:row>1125</xdr:row>
      <xdr:rowOff>0</xdr:rowOff>
    </xdr:to>
    <xdr:pic>
      <xdr:nvPicPr>
        <xdr:cNvPr id="2588" name="Picture 3812" descr="t-011m">
          <a:hlinkClick xmlns:r="http://schemas.openxmlformats.org/officeDocument/2006/relationships" r:id="rId1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287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589</xdr:row>
      <xdr:rowOff>0</xdr:rowOff>
    </xdr:from>
    <xdr:to>
      <xdr:col>2</xdr:col>
      <xdr:colOff>0</xdr:colOff>
      <xdr:row>590</xdr:row>
      <xdr:rowOff>0</xdr:rowOff>
    </xdr:to>
    <xdr:pic>
      <xdr:nvPicPr>
        <xdr:cNvPr id="2589" name="Picture 3813" descr="34-7539m">
          <a:hlinkClick xmlns:r="http://schemas.openxmlformats.org/officeDocument/2006/relationships" r:id="rId1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4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635</xdr:row>
      <xdr:rowOff>0</xdr:rowOff>
    </xdr:from>
    <xdr:to>
      <xdr:col>2</xdr:col>
      <xdr:colOff>0</xdr:colOff>
      <xdr:row>636</xdr:row>
      <xdr:rowOff>0</xdr:rowOff>
    </xdr:to>
    <xdr:pic>
      <xdr:nvPicPr>
        <xdr:cNvPr id="2590" name="Picture 3814" descr="36-1539m">
          <a:hlinkClick xmlns:r="http://schemas.openxmlformats.org/officeDocument/2006/relationships" r:id="rId1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50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pic>
      <xdr:nvPicPr>
        <xdr:cNvPr id="2591" name="Picture 3815" descr="14-1599m">
          <a:hlinkClick xmlns:r="http://schemas.openxmlformats.org/officeDocument/2006/relationships" r:id="rId1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2592" name="Picture 3816" descr="14-1599m">
          <a:hlinkClick xmlns:r="http://schemas.openxmlformats.org/officeDocument/2006/relationships" r:id="rId1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2007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645</xdr:row>
      <xdr:rowOff>0</xdr:rowOff>
    </xdr:from>
    <xdr:to>
      <xdr:col>2</xdr:col>
      <xdr:colOff>0</xdr:colOff>
      <xdr:row>646</xdr:row>
      <xdr:rowOff>0</xdr:rowOff>
    </xdr:to>
    <xdr:pic>
      <xdr:nvPicPr>
        <xdr:cNvPr id="2593" name="Picture 3817" descr="14-1599m">
          <a:hlinkClick xmlns:r="http://schemas.openxmlformats.org/officeDocument/2006/relationships" r:id="rId1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60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1279</xdr:row>
      <xdr:rowOff>0</xdr:rowOff>
    </xdr:from>
    <xdr:to>
      <xdr:col>2</xdr:col>
      <xdr:colOff>0</xdr:colOff>
      <xdr:row>1280</xdr:row>
      <xdr:rowOff>0</xdr:rowOff>
    </xdr:to>
    <xdr:pic>
      <xdr:nvPicPr>
        <xdr:cNvPr id="2594" name="Picture 3818" descr="T-TS-071-Am">
          <a:hlinkClick xmlns:r="http://schemas.openxmlformats.org/officeDocument/2006/relationships" r:id="rId1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745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1280</xdr:row>
      <xdr:rowOff>0</xdr:rowOff>
    </xdr:from>
    <xdr:to>
      <xdr:col>2</xdr:col>
      <xdr:colOff>0</xdr:colOff>
      <xdr:row>1281</xdr:row>
      <xdr:rowOff>0</xdr:rowOff>
    </xdr:to>
    <xdr:pic>
      <xdr:nvPicPr>
        <xdr:cNvPr id="2595" name="Picture 3819" descr="T-TS-071-Bom">
          <a:hlinkClick xmlns:r="http://schemas.openxmlformats.org/officeDocument/2006/relationships" r:id="rId1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821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1281</xdr:row>
      <xdr:rowOff>0</xdr:rowOff>
    </xdr:from>
    <xdr:to>
      <xdr:col>2</xdr:col>
      <xdr:colOff>0</xdr:colOff>
      <xdr:row>1282</xdr:row>
      <xdr:rowOff>0</xdr:rowOff>
    </xdr:to>
    <xdr:pic>
      <xdr:nvPicPr>
        <xdr:cNvPr id="2596" name="Picture 3820" descr="T-TS-072m">
          <a:hlinkClick xmlns:r="http://schemas.openxmlformats.org/officeDocument/2006/relationships" r:id="rId1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897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1299</xdr:row>
      <xdr:rowOff>0</xdr:rowOff>
    </xdr:from>
    <xdr:to>
      <xdr:col>2</xdr:col>
      <xdr:colOff>0</xdr:colOff>
      <xdr:row>1300</xdr:row>
      <xdr:rowOff>0</xdr:rowOff>
    </xdr:to>
    <xdr:pic>
      <xdr:nvPicPr>
        <xdr:cNvPr id="2597" name="Picture 3821" descr="T-WS-002m">
          <a:hlinkClick xmlns:r="http://schemas.openxmlformats.org/officeDocument/2006/relationships" r:id="rId1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69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1300</xdr:row>
      <xdr:rowOff>0</xdr:rowOff>
    </xdr:from>
    <xdr:to>
      <xdr:col>2</xdr:col>
      <xdr:colOff>0</xdr:colOff>
      <xdr:row>1301</xdr:row>
      <xdr:rowOff>0</xdr:rowOff>
    </xdr:to>
    <xdr:pic>
      <xdr:nvPicPr>
        <xdr:cNvPr id="2598" name="Picture 3822" descr="T-WS-071m">
          <a:hlinkClick xmlns:r="http://schemas.openxmlformats.org/officeDocument/2006/relationships" r:id="rId14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345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449</xdr:row>
      <xdr:rowOff>0</xdr:rowOff>
    </xdr:to>
    <xdr:pic>
      <xdr:nvPicPr>
        <xdr:cNvPr id="2599" name="Picture 3826" descr="14-1595m">
          <a:hlinkClick xmlns:r="http://schemas.openxmlformats.org/officeDocument/2006/relationships" r:id="rId1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091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394</xdr:row>
      <xdr:rowOff>0</xdr:rowOff>
    </xdr:to>
    <xdr:pic>
      <xdr:nvPicPr>
        <xdr:cNvPr id="2600" name="Picture 3828" descr="34-7539m">
          <a:hlinkClick xmlns:r="http://schemas.openxmlformats.org/officeDocument/2006/relationships" r:id="rId1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8755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345</xdr:row>
      <xdr:rowOff>0</xdr:rowOff>
    </xdr:from>
    <xdr:to>
      <xdr:col>2</xdr:col>
      <xdr:colOff>0</xdr:colOff>
      <xdr:row>346</xdr:row>
      <xdr:rowOff>0</xdr:rowOff>
    </xdr:to>
    <xdr:pic>
      <xdr:nvPicPr>
        <xdr:cNvPr id="2601" name="Picture 3830" descr="14-2604m">
          <a:hlinkClick xmlns:r="http://schemas.openxmlformats.org/officeDocument/2006/relationships" r:id="rId1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6239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1065</xdr:row>
      <xdr:rowOff>0</xdr:rowOff>
    </xdr:from>
    <xdr:to>
      <xdr:col>2</xdr:col>
      <xdr:colOff>19050</xdr:colOff>
      <xdr:row>1066</xdr:row>
      <xdr:rowOff>0</xdr:rowOff>
    </xdr:to>
    <xdr:pic>
      <xdr:nvPicPr>
        <xdr:cNvPr id="2602" name="Picture 3831" descr="SL-NI-M-8m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28872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1122</xdr:row>
      <xdr:rowOff>0</xdr:rowOff>
    </xdr:from>
    <xdr:to>
      <xdr:col>2</xdr:col>
      <xdr:colOff>0</xdr:colOff>
      <xdr:row>1123</xdr:row>
      <xdr:rowOff>0</xdr:rowOff>
    </xdr:to>
    <xdr:pic>
      <xdr:nvPicPr>
        <xdr:cNvPr id="2603" name="Picture 3833" descr="T-LS-004m">
          <a:hlinkClick xmlns:r="http://schemas.openxmlformats.org/officeDocument/2006/relationships" r:id="rId1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134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1123</xdr:row>
      <xdr:rowOff>0</xdr:rowOff>
    </xdr:from>
    <xdr:to>
      <xdr:col>2</xdr:col>
      <xdr:colOff>0</xdr:colOff>
      <xdr:row>1124</xdr:row>
      <xdr:rowOff>0</xdr:rowOff>
    </xdr:to>
    <xdr:pic>
      <xdr:nvPicPr>
        <xdr:cNvPr id="2604" name="Picture 3835" descr="T-LS-008m">
          <a:hlinkClick xmlns:r="http://schemas.openxmlformats.org/officeDocument/2006/relationships" r:id="rId1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210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1126</xdr:row>
      <xdr:rowOff>0</xdr:rowOff>
    </xdr:from>
    <xdr:to>
      <xdr:col>2</xdr:col>
      <xdr:colOff>0</xdr:colOff>
      <xdr:row>1127</xdr:row>
      <xdr:rowOff>0</xdr:rowOff>
    </xdr:to>
    <xdr:pic>
      <xdr:nvPicPr>
        <xdr:cNvPr id="2605" name="Picture 3837" descr="T-LS-022m">
          <a:hlinkClick xmlns:r="http://schemas.openxmlformats.org/officeDocument/2006/relationships" r:id="rId1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363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1127</xdr:row>
      <xdr:rowOff>0</xdr:rowOff>
    </xdr:from>
    <xdr:to>
      <xdr:col>2</xdr:col>
      <xdr:colOff>0</xdr:colOff>
      <xdr:row>1128</xdr:row>
      <xdr:rowOff>0</xdr:rowOff>
    </xdr:to>
    <xdr:pic>
      <xdr:nvPicPr>
        <xdr:cNvPr id="2606" name="Picture 3839" descr="T-LS-031m">
          <a:hlinkClick xmlns:r="http://schemas.openxmlformats.org/officeDocument/2006/relationships" r:id="rId1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439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1208</xdr:row>
      <xdr:rowOff>0</xdr:rowOff>
    </xdr:from>
    <xdr:to>
      <xdr:col>2</xdr:col>
      <xdr:colOff>0</xdr:colOff>
      <xdr:row>1209</xdr:row>
      <xdr:rowOff>0</xdr:rowOff>
    </xdr:to>
    <xdr:pic>
      <xdr:nvPicPr>
        <xdr:cNvPr id="2607" name="Picture 3843" descr="T-TS-027-Sm">
          <a:hlinkClick xmlns:r="http://schemas.openxmlformats.org/officeDocument/2006/relationships" r:id="rId1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554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567</xdr:row>
      <xdr:rowOff>0</xdr:rowOff>
    </xdr:from>
    <xdr:to>
      <xdr:col>2</xdr:col>
      <xdr:colOff>19050</xdr:colOff>
      <xdr:row>568</xdr:row>
      <xdr:rowOff>0</xdr:rowOff>
    </xdr:to>
    <xdr:pic>
      <xdr:nvPicPr>
        <xdr:cNvPr id="2608" name="Picture 3844" descr="14-5504m">
          <a:hlinkClick xmlns:r="http://schemas.openxmlformats.org/officeDocument/2006/relationships" r:id="rId1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63711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653</xdr:row>
      <xdr:rowOff>0</xdr:rowOff>
    </xdr:from>
    <xdr:to>
      <xdr:col>2</xdr:col>
      <xdr:colOff>19050</xdr:colOff>
      <xdr:row>654</xdr:row>
      <xdr:rowOff>0</xdr:rowOff>
    </xdr:to>
    <xdr:pic>
      <xdr:nvPicPr>
        <xdr:cNvPr id="2609" name="Picture 3845" descr="14-5504m">
          <a:hlinkClick xmlns:r="http://schemas.openxmlformats.org/officeDocument/2006/relationships" r:id="rId1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1110</xdr:row>
      <xdr:rowOff>0</xdr:rowOff>
    </xdr:from>
    <xdr:to>
      <xdr:col>2</xdr:col>
      <xdr:colOff>0</xdr:colOff>
      <xdr:row>1111</xdr:row>
      <xdr:rowOff>0</xdr:rowOff>
    </xdr:to>
    <xdr:pic>
      <xdr:nvPicPr>
        <xdr:cNvPr id="2610" name="Picture 3848" descr="T-JH-022-01m">
          <a:hlinkClick xmlns:r="http://schemas.openxmlformats.org/officeDocument/2006/relationships" r:id="rId1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220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1111</xdr:row>
      <xdr:rowOff>0</xdr:rowOff>
    </xdr:from>
    <xdr:to>
      <xdr:col>2</xdr:col>
      <xdr:colOff>0</xdr:colOff>
      <xdr:row>1112</xdr:row>
      <xdr:rowOff>0</xdr:rowOff>
    </xdr:to>
    <xdr:pic>
      <xdr:nvPicPr>
        <xdr:cNvPr id="2611" name="Picture 3850" descr="T-JH-022-Lm">
          <a:hlinkClick xmlns:r="http://schemas.openxmlformats.org/officeDocument/2006/relationships" r:id="rId1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296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1114</xdr:row>
      <xdr:rowOff>0</xdr:rowOff>
    </xdr:from>
    <xdr:to>
      <xdr:col>2</xdr:col>
      <xdr:colOff>0</xdr:colOff>
      <xdr:row>1115</xdr:row>
      <xdr:rowOff>0</xdr:rowOff>
    </xdr:to>
    <xdr:pic>
      <xdr:nvPicPr>
        <xdr:cNvPr id="2612" name="Picture 3852" descr="T-JH-038-01m">
          <a:hlinkClick xmlns:r="http://schemas.openxmlformats.org/officeDocument/2006/relationships" r:id="rId1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525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1160</xdr:row>
      <xdr:rowOff>0</xdr:rowOff>
    </xdr:from>
    <xdr:to>
      <xdr:col>2</xdr:col>
      <xdr:colOff>0</xdr:colOff>
      <xdr:row>1161</xdr:row>
      <xdr:rowOff>0</xdr:rowOff>
    </xdr:to>
    <xdr:pic>
      <xdr:nvPicPr>
        <xdr:cNvPr id="2613" name="Picture 3854" descr="T-NLS-022m">
          <a:hlinkClick xmlns:r="http://schemas.openxmlformats.org/officeDocument/2006/relationships" r:id="rId1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344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1161</xdr:row>
      <xdr:rowOff>0</xdr:rowOff>
    </xdr:from>
    <xdr:to>
      <xdr:col>2</xdr:col>
      <xdr:colOff>0</xdr:colOff>
      <xdr:row>1162</xdr:row>
      <xdr:rowOff>0</xdr:rowOff>
    </xdr:to>
    <xdr:pic>
      <xdr:nvPicPr>
        <xdr:cNvPr id="2614" name="Picture 3856" descr="T-NLS-022-Lm">
          <a:hlinkClick xmlns:r="http://schemas.openxmlformats.org/officeDocument/2006/relationships" r:id="rId1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4206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1205</xdr:row>
      <xdr:rowOff>0</xdr:rowOff>
    </xdr:from>
    <xdr:to>
      <xdr:col>2</xdr:col>
      <xdr:colOff>0</xdr:colOff>
      <xdr:row>1206</xdr:row>
      <xdr:rowOff>0</xdr:rowOff>
    </xdr:to>
    <xdr:pic>
      <xdr:nvPicPr>
        <xdr:cNvPr id="2615" name="Picture 3858" descr="T-TS-022-LBbm">
          <a:hlinkClick xmlns:r="http://schemas.openxmlformats.org/officeDocument/2006/relationships" r:id="rId1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40186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352</xdr:row>
      <xdr:rowOff>0</xdr:rowOff>
    </xdr:from>
    <xdr:to>
      <xdr:col>2</xdr:col>
      <xdr:colOff>19050</xdr:colOff>
      <xdr:row>353</xdr:row>
      <xdr:rowOff>0</xdr:rowOff>
    </xdr:to>
    <xdr:pic>
      <xdr:nvPicPr>
        <xdr:cNvPr id="2616" name="Picture 3859" descr="14-3508m">
          <a:hlinkClick xmlns:r="http://schemas.openxmlformats.org/officeDocument/2006/relationships" r:id="rId1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92878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326</xdr:row>
      <xdr:rowOff>0</xdr:rowOff>
    </xdr:to>
    <xdr:pic>
      <xdr:nvPicPr>
        <xdr:cNvPr id="2617" name="Picture 3863" descr="14-1607m">
          <a:hlinkClick xmlns:r="http://schemas.openxmlformats.org/officeDocument/2006/relationships" r:id="rId1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326</xdr:row>
      <xdr:rowOff>0</xdr:rowOff>
    </xdr:from>
    <xdr:to>
      <xdr:col>2</xdr:col>
      <xdr:colOff>0</xdr:colOff>
      <xdr:row>326</xdr:row>
      <xdr:rowOff>0</xdr:rowOff>
    </xdr:to>
    <xdr:pic>
      <xdr:nvPicPr>
        <xdr:cNvPr id="2618" name="Picture 3864" descr="14-1608m">
          <a:hlinkClick xmlns:r="http://schemas.openxmlformats.org/officeDocument/2006/relationships" r:id="rId1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2619" name="Picture 3867" descr="14-3508m">
          <a:hlinkClick xmlns:r="http://schemas.openxmlformats.org/officeDocument/2006/relationships" r:id="rId1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96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360</xdr:row>
      <xdr:rowOff>0</xdr:rowOff>
    </xdr:to>
    <xdr:pic>
      <xdr:nvPicPr>
        <xdr:cNvPr id="2620" name="Picture 3871" descr="14-418m">
          <a:hlinkClick xmlns:r="http://schemas.openxmlformats.org/officeDocument/2006/relationships" r:id="rId1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371</xdr:row>
      <xdr:rowOff>0</xdr:rowOff>
    </xdr:to>
    <xdr:pic>
      <xdr:nvPicPr>
        <xdr:cNvPr id="2621" name="Picture 3873" descr="14-5508m">
          <a:hlinkClick xmlns:r="http://schemas.openxmlformats.org/officeDocument/2006/relationships" r:id="rId1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538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457</xdr:row>
      <xdr:rowOff>0</xdr:rowOff>
    </xdr:from>
    <xdr:to>
      <xdr:col>2</xdr:col>
      <xdr:colOff>0</xdr:colOff>
      <xdr:row>458</xdr:row>
      <xdr:rowOff>0</xdr:rowOff>
    </xdr:to>
    <xdr:pic>
      <xdr:nvPicPr>
        <xdr:cNvPr id="2622" name="Picture 3875" descr="28-249m">
          <a:hlinkClick xmlns:r="http://schemas.openxmlformats.org/officeDocument/2006/relationships" r:id="rId14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3625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563</xdr:row>
      <xdr:rowOff>0</xdr:rowOff>
    </xdr:to>
    <xdr:pic>
      <xdr:nvPicPr>
        <xdr:cNvPr id="2623" name="Picture 3879" descr="34-418m">
          <a:hlinkClick xmlns:r="http://schemas.openxmlformats.org/officeDocument/2006/relationships" r:id="rId14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560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563</xdr:row>
      <xdr:rowOff>0</xdr:rowOff>
    </xdr:from>
    <xdr:to>
      <xdr:col>2</xdr:col>
      <xdr:colOff>0</xdr:colOff>
      <xdr:row>564</xdr:row>
      <xdr:rowOff>0</xdr:rowOff>
    </xdr:to>
    <xdr:pic>
      <xdr:nvPicPr>
        <xdr:cNvPr id="2624" name="Picture 3881" descr="34-4524m">
          <a:hlinkClick xmlns:r="http://schemas.openxmlformats.org/officeDocument/2006/relationships" r:id="rId1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5609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471</xdr:row>
      <xdr:rowOff>0</xdr:rowOff>
    </xdr:from>
    <xdr:to>
      <xdr:col>2</xdr:col>
      <xdr:colOff>0</xdr:colOff>
      <xdr:row>472</xdr:row>
      <xdr:rowOff>0</xdr:rowOff>
    </xdr:to>
    <xdr:pic>
      <xdr:nvPicPr>
        <xdr:cNvPr id="2625" name="Picture 3900" descr="28-449m">
          <a:hlinkClick xmlns:r="http://schemas.openxmlformats.org/officeDocument/2006/relationships" r:id="rId15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149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584</xdr:row>
      <xdr:rowOff>0</xdr:rowOff>
    </xdr:from>
    <xdr:to>
      <xdr:col>2</xdr:col>
      <xdr:colOff>0</xdr:colOff>
      <xdr:row>585</xdr:row>
      <xdr:rowOff>0</xdr:rowOff>
    </xdr:to>
    <xdr:pic>
      <xdr:nvPicPr>
        <xdr:cNvPr id="2626" name="Picture 3902" descr="34-6524m">
          <a:hlinkClick xmlns:r="http://schemas.openxmlformats.org/officeDocument/2006/relationships" r:id="rId1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588</xdr:row>
      <xdr:rowOff>0</xdr:rowOff>
    </xdr:from>
    <xdr:to>
      <xdr:col>2</xdr:col>
      <xdr:colOff>0</xdr:colOff>
      <xdr:row>589</xdr:row>
      <xdr:rowOff>0</xdr:rowOff>
    </xdr:to>
    <xdr:pic>
      <xdr:nvPicPr>
        <xdr:cNvPr id="2627" name="Picture 3904" descr="34-7524m">
          <a:hlinkClick xmlns:r="http://schemas.openxmlformats.org/officeDocument/2006/relationships" r:id="rId1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181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666</xdr:row>
      <xdr:rowOff>0</xdr:rowOff>
    </xdr:from>
    <xdr:to>
      <xdr:col>2</xdr:col>
      <xdr:colOff>0</xdr:colOff>
      <xdr:row>667</xdr:row>
      <xdr:rowOff>0</xdr:rowOff>
    </xdr:to>
    <xdr:pic>
      <xdr:nvPicPr>
        <xdr:cNvPr id="2628" name="Picture 3906" descr="38-449m">
          <a:hlinkClick xmlns:r="http://schemas.openxmlformats.org/officeDocument/2006/relationships" r:id="rId15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8699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pic>
      <xdr:nvPicPr>
        <xdr:cNvPr id="2629" name="Picture 3908" descr="14-2605m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2630" name="Picture 3910" descr="11-258m">
          <a:hlinkClick xmlns:r="http://schemas.openxmlformats.org/officeDocument/2006/relationships" r:id="rId1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1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392</xdr:row>
      <xdr:rowOff>0</xdr:rowOff>
    </xdr:from>
    <xdr:to>
      <xdr:col>2</xdr:col>
      <xdr:colOff>0</xdr:colOff>
      <xdr:row>393</xdr:row>
      <xdr:rowOff>0</xdr:rowOff>
    </xdr:to>
    <xdr:pic>
      <xdr:nvPicPr>
        <xdr:cNvPr id="2631" name="Picture 3912" descr="14-7506m">
          <a:hlinkClick xmlns:r="http://schemas.openxmlformats.org/officeDocument/2006/relationships" r:id="rId1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7993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443</xdr:row>
      <xdr:rowOff>0</xdr:rowOff>
    </xdr:from>
    <xdr:to>
      <xdr:col>2</xdr:col>
      <xdr:colOff>0</xdr:colOff>
      <xdr:row>444</xdr:row>
      <xdr:rowOff>0</xdr:rowOff>
    </xdr:to>
    <xdr:pic>
      <xdr:nvPicPr>
        <xdr:cNvPr id="2632" name="Picture 3914" descr="22-140m">
          <a:hlinkClick xmlns:r="http://schemas.openxmlformats.org/officeDocument/2006/relationships" r:id="rId1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7043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2633" name="Picture 3917" descr="14-2606m">
          <a:hlinkClick xmlns:r="http://schemas.openxmlformats.org/officeDocument/2006/relationships" r:id="rId1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196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878</xdr:row>
      <xdr:rowOff>0</xdr:rowOff>
    </xdr:from>
    <xdr:to>
      <xdr:col>2</xdr:col>
      <xdr:colOff>19050</xdr:colOff>
      <xdr:row>879</xdr:row>
      <xdr:rowOff>0</xdr:rowOff>
    </xdr:to>
    <xdr:pic>
      <xdr:nvPicPr>
        <xdr:cNvPr id="2634" name="Picture 3920" descr="14-136-1m">
          <a:hlinkClick xmlns:r="http://schemas.openxmlformats.org/officeDocument/2006/relationships" r:id="rId1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pic>
      <xdr:nvPicPr>
        <xdr:cNvPr id="2635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82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1286</xdr:row>
      <xdr:rowOff>0</xdr:rowOff>
    </xdr:from>
    <xdr:to>
      <xdr:col>2</xdr:col>
      <xdr:colOff>0</xdr:colOff>
      <xdr:row>1287</xdr:row>
      <xdr:rowOff>0</xdr:rowOff>
    </xdr:to>
    <xdr:pic>
      <xdr:nvPicPr>
        <xdr:cNvPr id="2636" name="Picture 3925" descr="T-TS-075m">
          <a:hlinkClick xmlns:r="http://schemas.openxmlformats.org/officeDocument/2006/relationships" r:id="rId1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278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1287</xdr:row>
      <xdr:rowOff>0</xdr:rowOff>
    </xdr:from>
    <xdr:to>
      <xdr:col>2</xdr:col>
      <xdr:colOff>0</xdr:colOff>
      <xdr:row>1288</xdr:row>
      <xdr:rowOff>0</xdr:rowOff>
    </xdr:to>
    <xdr:pic>
      <xdr:nvPicPr>
        <xdr:cNvPr id="2637" name="Picture 3927" descr="T-TS-075-Lm">
          <a:hlinkClick xmlns:r="http://schemas.openxmlformats.org/officeDocument/2006/relationships" r:id="rId1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354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1141</xdr:row>
      <xdr:rowOff>0</xdr:rowOff>
    </xdr:from>
    <xdr:to>
      <xdr:col>2</xdr:col>
      <xdr:colOff>0</xdr:colOff>
      <xdr:row>1142</xdr:row>
      <xdr:rowOff>0</xdr:rowOff>
    </xdr:to>
    <xdr:pic>
      <xdr:nvPicPr>
        <xdr:cNvPr id="2638" name="Picture 3929" descr="T-LS-075m">
          <a:hlinkClick xmlns:r="http://schemas.openxmlformats.org/officeDocument/2006/relationships" r:id="rId15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353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1302</xdr:row>
      <xdr:rowOff>0</xdr:rowOff>
    </xdr:from>
    <xdr:to>
      <xdr:col>2</xdr:col>
      <xdr:colOff>0</xdr:colOff>
      <xdr:row>1303</xdr:row>
      <xdr:rowOff>0</xdr:rowOff>
    </xdr:to>
    <xdr:pic>
      <xdr:nvPicPr>
        <xdr:cNvPr id="2639" name="Picture 3931" descr="T-WS-075m">
          <a:hlinkClick xmlns:r="http://schemas.openxmlformats.org/officeDocument/2006/relationships" r:id="rId15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497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1285</xdr:row>
      <xdr:rowOff>0</xdr:rowOff>
    </xdr:from>
    <xdr:to>
      <xdr:col>2</xdr:col>
      <xdr:colOff>0</xdr:colOff>
      <xdr:row>1286</xdr:row>
      <xdr:rowOff>0</xdr:rowOff>
    </xdr:to>
    <xdr:pic>
      <xdr:nvPicPr>
        <xdr:cNvPr id="2640" name="Picture 3933" descr="T-TS-074m">
          <a:hlinkClick xmlns:r="http://schemas.openxmlformats.org/officeDocument/2006/relationships" r:id="rId1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202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1301</xdr:row>
      <xdr:rowOff>0</xdr:rowOff>
    </xdr:from>
    <xdr:to>
      <xdr:col>2</xdr:col>
      <xdr:colOff>0</xdr:colOff>
      <xdr:row>1302</xdr:row>
      <xdr:rowOff>0</xdr:rowOff>
    </xdr:to>
    <xdr:pic>
      <xdr:nvPicPr>
        <xdr:cNvPr id="2641" name="Picture 3934" descr="T-WS-074m">
          <a:hlinkClick xmlns:r="http://schemas.openxmlformats.org/officeDocument/2006/relationships" r:id="rId1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421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1140</xdr:row>
      <xdr:rowOff>0</xdr:rowOff>
    </xdr:from>
    <xdr:to>
      <xdr:col>2</xdr:col>
      <xdr:colOff>0</xdr:colOff>
      <xdr:row>1141</xdr:row>
      <xdr:rowOff>0</xdr:rowOff>
    </xdr:to>
    <xdr:pic>
      <xdr:nvPicPr>
        <xdr:cNvPr id="2642" name="Picture 3936" descr="T-LS-074m">
          <a:hlinkClick xmlns:r="http://schemas.openxmlformats.org/officeDocument/2006/relationships" r:id="rId1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277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1131</xdr:row>
      <xdr:rowOff>0</xdr:rowOff>
    </xdr:from>
    <xdr:to>
      <xdr:col>2</xdr:col>
      <xdr:colOff>0</xdr:colOff>
      <xdr:row>1132</xdr:row>
      <xdr:rowOff>0</xdr:rowOff>
    </xdr:to>
    <xdr:pic>
      <xdr:nvPicPr>
        <xdr:cNvPr id="2643" name="Picture 3938" descr="T-LS-042m">
          <a:hlinkClick xmlns:r="http://schemas.openxmlformats.org/officeDocument/2006/relationships" r:id="rId1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744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1283</xdr:row>
      <xdr:rowOff>0</xdr:rowOff>
    </xdr:from>
    <xdr:to>
      <xdr:col>2</xdr:col>
      <xdr:colOff>0</xdr:colOff>
      <xdr:row>1284</xdr:row>
      <xdr:rowOff>0</xdr:rowOff>
    </xdr:to>
    <xdr:pic>
      <xdr:nvPicPr>
        <xdr:cNvPr id="2644" name="Picture 3940" descr="T-TS-073m">
          <a:hlinkClick xmlns:r="http://schemas.openxmlformats.org/officeDocument/2006/relationships" r:id="rId1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050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1284</xdr:row>
      <xdr:rowOff>0</xdr:rowOff>
    </xdr:from>
    <xdr:to>
      <xdr:col>2</xdr:col>
      <xdr:colOff>0</xdr:colOff>
      <xdr:row>1285</xdr:row>
      <xdr:rowOff>0</xdr:rowOff>
    </xdr:to>
    <xdr:pic>
      <xdr:nvPicPr>
        <xdr:cNvPr id="2645" name="Picture 3941" descr="T-TS-073m">
          <a:hlinkClick xmlns:r="http://schemas.openxmlformats.org/officeDocument/2006/relationships" r:id="rId1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126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376</xdr:row>
      <xdr:rowOff>0</xdr:rowOff>
    </xdr:from>
    <xdr:to>
      <xdr:col>2</xdr:col>
      <xdr:colOff>0</xdr:colOff>
      <xdr:row>377</xdr:row>
      <xdr:rowOff>0</xdr:rowOff>
    </xdr:to>
    <xdr:pic>
      <xdr:nvPicPr>
        <xdr:cNvPr id="2646" name="Picture 3942" descr="14-5564m">
          <a:hlinkClick xmlns:r="http://schemas.openxmlformats.org/officeDocument/2006/relationships" r:id="rId1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lum bright="-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2647" name="Picture 3925" descr="14-125m">
          <a:hlinkClick xmlns:r="http://schemas.openxmlformats.org/officeDocument/2006/relationships" r:id="rId1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369</xdr:row>
      <xdr:rowOff>0</xdr:rowOff>
    </xdr:from>
    <xdr:to>
      <xdr:col>2</xdr:col>
      <xdr:colOff>0</xdr:colOff>
      <xdr:row>370</xdr:row>
      <xdr:rowOff>0</xdr:rowOff>
    </xdr:to>
    <xdr:pic>
      <xdr:nvPicPr>
        <xdr:cNvPr id="2648" name="Picture 3925" descr="14-125m">
          <a:hlinkClick xmlns:r="http://schemas.openxmlformats.org/officeDocument/2006/relationships" r:id="rId1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538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953</xdr:row>
      <xdr:rowOff>0</xdr:rowOff>
    </xdr:from>
    <xdr:to>
      <xdr:col>2</xdr:col>
      <xdr:colOff>0</xdr:colOff>
      <xdr:row>954</xdr:row>
      <xdr:rowOff>0</xdr:rowOff>
    </xdr:to>
    <xdr:pic>
      <xdr:nvPicPr>
        <xdr:cNvPr id="2649" name="Picture 3946" descr="K01m">
          <a:hlinkClick xmlns:r="http://schemas.openxmlformats.org/officeDocument/2006/relationships" r:id="rId1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9340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954</xdr:row>
      <xdr:rowOff>0</xdr:rowOff>
    </xdr:from>
    <xdr:to>
      <xdr:col>2</xdr:col>
      <xdr:colOff>0</xdr:colOff>
      <xdr:row>955</xdr:row>
      <xdr:rowOff>0</xdr:rowOff>
    </xdr:to>
    <xdr:pic>
      <xdr:nvPicPr>
        <xdr:cNvPr id="2650" name="Picture 3947" descr="K01m">
          <a:hlinkClick xmlns:r="http://schemas.openxmlformats.org/officeDocument/2006/relationships" r:id="rId1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9340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955</xdr:row>
      <xdr:rowOff>0</xdr:rowOff>
    </xdr:from>
    <xdr:to>
      <xdr:col>2</xdr:col>
      <xdr:colOff>0</xdr:colOff>
      <xdr:row>956</xdr:row>
      <xdr:rowOff>0</xdr:rowOff>
    </xdr:to>
    <xdr:pic>
      <xdr:nvPicPr>
        <xdr:cNvPr id="2651" name="Picture 3949" descr="K05m">
          <a:hlinkClick xmlns:r="http://schemas.openxmlformats.org/officeDocument/2006/relationships" r:id="rId1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0102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956</xdr:row>
      <xdr:rowOff>0</xdr:rowOff>
    </xdr:from>
    <xdr:to>
      <xdr:col>2</xdr:col>
      <xdr:colOff>0</xdr:colOff>
      <xdr:row>957</xdr:row>
      <xdr:rowOff>0</xdr:rowOff>
    </xdr:to>
    <xdr:pic>
      <xdr:nvPicPr>
        <xdr:cNvPr id="2652" name="Picture 3950" descr="K05m">
          <a:hlinkClick xmlns:r="http://schemas.openxmlformats.org/officeDocument/2006/relationships" r:id="rId1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0102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557</xdr:row>
      <xdr:rowOff>0</xdr:rowOff>
    </xdr:from>
    <xdr:to>
      <xdr:col>2</xdr:col>
      <xdr:colOff>0</xdr:colOff>
      <xdr:row>558</xdr:row>
      <xdr:rowOff>0</xdr:rowOff>
    </xdr:to>
    <xdr:pic>
      <xdr:nvPicPr>
        <xdr:cNvPr id="2653" name="Picture 3957" descr="34-3611m">
          <a:hlinkClick xmlns:r="http://schemas.openxmlformats.org/officeDocument/2006/relationships" r:id="rId1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578</xdr:row>
      <xdr:rowOff>0</xdr:rowOff>
    </xdr:to>
    <xdr:pic>
      <xdr:nvPicPr>
        <xdr:cNvPr id="2654" name="Picture 3959" descr="34-5611m">
          <a:hlinkClick xmlns:r="http://schemas.openxmlformats.org/officeDocument/2006/relationships" r:id="rId1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895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606</xdr:row>
      <xdr:rowOff>0</xdr:rowOff>
    </xdr:from>
    <xdr:to>
      <xdr:col>2</xdr:col>
      <xdr:colOff>0</xdr:colOff>
      <xdr:row>607</xdr:row>
      <xdr:rowOff>0</xdr:rowOff>
    </xdr:to>
    <xdr:pic>
      <xdr:nvPicPr>
        <xdr:cNvPr id="2655" name="Picture 3963" descr="34-9611m">
          <a:hlinkClick xmlns:r="http://schemas.openxmlformats.org/officeDocument/2006/relationships" r:id="rId15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880</xdr:row>
      <xdr:rowOff>0</xdr:rowOff>
    </xdr:to>
    <xdr:pic>
      <xdr:nvPicPr>
        <xdr:cNvPr id="2656" name="Picture 3965" descr="86-1584m">
          <a:hlinkClick xmlns:r="http://schemas.openxmlformats.org/officeDocument/2006/relationships" r:id="rId15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880</xdr:row>
      <xdr:rowOff>0</xdr:rowOff>
    </xdr:from>
    <xdr:to>
      <xdr:col>2</xdr:col>
      <xdr:colOff>0</xdr:colOff>
      <xdr:row>881</xdr:row>
      <xdr:rowOff>0</xdr:rowOff>
    </xdr:to>
    <xdr:pic>
      <xdr:nvPicPr>
        <xdr:cNvPr id="2657" name="Picture 3967" descr="86-285m">
          <a:hlinkClick xmlns:r="http://schemas.openxmlformats.org/officeDocument/2006/relationships" r:id="rId15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82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592</xdr:row>
      <xdr:rowOff>0</xdr:rowOff>
    </xdr:from>
    <xdr:to>
      <xdr:col>2</xdr:col>
      <xdr:colOff>0</xdr:colOff>
      <xdr:row>593</xdr:row>
      <xdr:rowOff>0</xdr:rowOff>
    </xdr:to>
    <xdr:pic>
      <xdr:nvPicPr>
        <xdr:cNvPr id="2658" name="Picture 3970" descr="34-7611m">
          <a:hlinkClick xmlns:r="http://schemas.openxmlformats.org/officeDocument/2006/relationships" r:id="rId15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43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2659" name="Picture 3972" descr="14-1609m">
          <a:hlinkClick xmlns:r="http://schemas.openxmlformats.org/officeDocument/2006/relationships" r:id="rId1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354</xdr:row>
      <xdr:rowOff>0</xdr:rowOff>
    </xdr:from>
    <xdr:to>
      <xdr:col>2</xdr:col>
      <xdr:colOff>0</xdr:colOff>
      <xdr:row>355</xdr:row>
      <xdr:rowOff>0</xdr:rowOff>
    </xdr:to>
    <xdr:pic>
      <xdr:nvPicPr>
        <xdr:cNvPr id="2660" name="Picture 3974" descr="14-3584m">
          <a:hlinkClick xmlns:r="http://schemas.openxmlformats.org/officeDocument/2006/relationships" r:id="rId15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49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405</xdr:row>
      <xdr:rowOff>0</xdr:rowOff>
    </xdr:from>
    <xdr:to>
      <xdr:col>1</xdr:col>
      <xdr:colOff>742950</xdr:colOff>
      <xdr:row>405</xdr:row>
      <xdr:rowOff>9525</xdr:rowOff>
    </xdr:to>
    <xdr:pic>
      <xdr:nvPicPr>
        <xdr:cNvPr id="2661" name="Picture 3976" descr="14-8584m">
          <a:hlinkClick xmlns:r="http://schemas.openxmlformats.org/officeDocument/2006/relationships" r:id="rId15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089675"/>
          <a:ext cx="7334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596</xdr:row>
      <xdr:rowOff>0</xdr:rowOff>
    </xdr:from>
    <xdr:to>
      <xdr:col>2</xdr:col>
      <xdr:colOff>0</xdr:colOff>
      <xdr:row>597</xdr:row>
      <xdr:rowOff>0</xdr:rowOff>
    </xdr:to>
    <xdr:pic>
      <xdr:nvPicPr>
        <xdr:cNvPr id="2662" name="Picture 3978" descr="34-8584m">
          <a:hlinkClick xmlns:r="http://schemas.openxmlformats.org/officeDocument/2006/relationships" r:id="rId15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6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663" name="Picture 3983" descr="14-1612m">
          <a:hlinkClick xmlns:r="http://schemas.openxmlformats.org/officeDocument/2006/relationships" r:id="rId15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402</xdr:row>
      <xdr:rowOff>0</xdr:rowOff>
    </xdr:from>
    <xdr:to>
      <xdr:col>2</xdr:col>
      <xdr:colOff>0</xdr:colOff>
      <xdr:row>403</xdr:row>
      <xdr:rowOff>0</xdr:rowOff>
    </xdr:to>
    <xdr:pic>
      <xdr:nvPicPr>
        <xdr:cNvPr id="2664" name="Picture 3985" descr="14-3614m">
          <a:hlinkClick xmlns:r="http://schemas.openxmlformats.org/officeDocument/2006/relationships" r:id="rId15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256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355</xdr:row>
      <xdr:rowOff>0</xdr:rowOff>
    </xdr:to>
    <xdr:pic>
      <xdr:nvPicPr>
        <xdr:cNvPr id="2665" name="Picture 3987" descr="14-3615m">
          <a:hlinkClick xmlns:r="http://schemas.openxmlformats.org/officeDocument/2006/relationships" r:id="rId1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11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380</xdr:row>
      <xdr:rowOff>0</xdr:rowOff>
    </xdr:from>
    <xdr:to>
      <xdr:col>2</xdr:col>
      <xdr:colOff>0</xdr:colOff>
      <xdr:row>381</xdr:row>
      <xdr:rowOff>0</xdr:rowOff>
    </xdr:to>
    <xdr:pic>
      <xdr:nvPicPr>
        <xdr:cNvPr id="2666" name="Picture 3989" descr="14-5614m">
          <a:hlinkClick xmlns:r="http://schemas.openxmlformats.org/officeDocument/2006/relationships" r:id="rId15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2667" name="Picture 3991" descr="14-7614m">
          <a:hlinkClick xmlns:r="http://schemas.openxmlformats.org/officeDocument/2006/relationships" r:id="rId15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1041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406</xdr:row>
      <xdr:rowOff>0</xdr:rowOff>
    </xdr:to>
    <xdr:pic>
      <xdr:nvPicPr>
        <xdr:cNvPr id="2668" name="Picture 3993" descr="14-8615m">
          <a:hlinkClick xmlns:r="http://schemas.openxmlformats.org/officeDocument/2006/relationships" r:id="rId15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089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2669" name="Picture 3995" descr="14-9614m">
          <a:hlinkClick xmlns:r="http://schemas.openxmlformats.org/officeDocument/2006/relationships" r:id="rId15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598</xdr:row>
      <xdr:rowOff>0</xdr:rowOff>
    </xdr:to>
    <xdr:pic>
      <xdr:nvPicPr>
        <xdr:cNvPr id="2670" name="Picture 3997" descr="34-8615m">
          <a:hlinkClick xmlns:r="http://schemas.openxmlformats.org/officeDocument/2006/relationships" r:id="rId15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2467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429</xdr:row>
      <xdr:rowOff>0</xdr:rowOff>
    </xdr:from>
    <xdr:to>
      <xdr:col>2</xdr:col>
      <xdr:colOff>0</xdr:colOff>
      <xdr:row>430</xdr:row>
      <xdr:rowOff>0</xdr:rowOff>
    </xdr:to>
    <xdr:pic>
      <xdr:nvPicPr>
        <xdr:cNvPr id="2671" name="Picture 4004" descr="14-1530m">
          <a:hlinkClick xmlns:r="http://schemas.openxmlformats.org/officeDocument/2006/relationships" r:id="rId1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94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19050</xdr:colOff>
      <xdr:row>203</xdr:row>
      <xdr:rowOff>523875</xdr:rowOff>
    </xdr:from>
    <xdr:to>
      <xdr:col>0</xdr:col>
      <xdr:colOff>781050</xdr:colOff>
      <xdr:row>203</xdr:row>
      <xdr:rowOff>619125</xdr:rowOff>
    </xdr:to>
    <xdr:pic>
      <xdr:nvPicPr>
        <xdr:cNvPr id="2672" name="Picture 4007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496800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202</xdr:row>
      <xdr:rowOff>523875</xdr:rowOff>
    </xdr:from>
    <xdr:to>
      <xdr:col>0</xdr:col>
      <xdr:colOff>781050</xdr:colOff>
      <xdr:row>202</xdr:row>
      <xdr:rowOff>619125</xdr:rowOff>
    </xdr:to>
    <xdr:pic>
      <xdr:nvPicPr>
        <xdr:cNvPr id="2673" name="Picture 4008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444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204</xdr:row>
      <xdr:rowOff>523875</xdr:rowOff>
    </xdr:from>
    <xdr:to>
      <xdr:col>0</xdr:col>
      <xdr:colOff>781050</xdr:colOff>
      <xdr:row>204</xdr:row>
      <xdr:rowOff>619125</xdr:rowOff>
    </xdr:to>
    <xdr:pic>
      <xdr:nvPicPr>
        <xdr:cNvPr id="2674" name="Picture 4009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573000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466</xdr:row>
      <xdr:rowOff>523875</xdr:rowOff>
    </xdr:from>
    <xdr:to>
      <xdr:col>0</xdr:col>
      <xdr:colOff>781050</xdr:colOff>
      <xdr:row>466</xdr:row>
      <xdr:rowOff>619125</xdr:rowOff>
    </xdr:to>
    <xdr:pic>
      <xdr:nvPicPr>
        <xdr:cNvPr id="2675" name="Picture 4010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514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552</xdr:row>
      <xdr:rowOff>523875</xdr:rowOff>
    </xdr:from>
    <xdr:to>
      <xdr:col>0</xdr:col>
      <xdr:colOff>781050</xdr:colOff>
      <xdr:row>552</xdr:row>
      <xdr:rowOff>619125</xdr:rowOff>
    </xdr:to>
    <xdr:pic>
      <xdr:nvPicPr>
        <xdr:cNvPr id="2676" name="Picture 4011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2</xdr:col>
      <xdr:colOff>0</xdr:colOff>
      <xdr:row>730</xdr:row>
      <xdr:rowOff>0</xdr:rowOff>
    </xdr:to>
    <xdr:pic>
      <xdr:nvPicPr>
        <xdr:cNvPr id="2677" name="Picture 3920" descr="14-119m">
          <a:hlinkClick xmlns:r="http://schemas.openxmlformats.org/officeDocument/2006/relationships" r:id="rId1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572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729</xdr:row>
      <xdr:rowOff>0</xdr:rowOff>
    </xdr:from>
    <xdr:to>
      <xdr:col>17</xdr:col>
      <xdr:colOff>9525</xdr:colOff>
      <xdr:row>729</xdr:row>
      <xdr:rowOff>161925</xdr:rowOff>
    </xdr:to>
    <xdr:pic>
      <xdr:nvPicPr>
        <xdr:cNvPr id="2678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572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729</xdr:row>
      <xdr:rowOff>0</xdr:rowOff>
    </xdr:from>
    <xdr:to>
      <xdr:col>17</xdr:col>
      <xdr:colOff>409575</xdr:colOff>
      <xdr:row>729</xdr:row>
      <xdr:rowOff>161925</xdr:rowOff>
    </xdr:to>
    <xdr:pic>
      <xdr:nvPicPr>
        <xdr:cNvPr id="2679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572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729</xdr:row>
      <xdr:rowOff>0</xdr:rowOff>
    </xdr:from>
    <xdr:to>
      <xdr:col>19</xdr:col>
      <xdr:colOff>19050</xdr:colOff>
      <xdr:row>729</xdr:row>
      <xdr:rowOff>161925</xdr:rowOff>
    </xdr:to>
    <xdr:pic>
      <xdr:nvPicPr>
        <xdr:cNvPr id="2680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572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729</xdr:row>
      <xdr:rowOff>0</xdr:rowOff>
    </xdr:from>
    <xdr:to>
      <xdr:col>19</xdr:col>
      <xdr:colOff>409575</xdr:colOff>
      <xdr:row>729</xdr:row>
      <xdr:rowOff>161925</xdr:rowOff>
    </xdr:to>
    <xdr:pic>
      <xdr:nvPicPr>
        <xdr:cNvPr id="2681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572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406</xdr:row>
      <xdr:rowOff>523875</xdr:rowOff>
    </xdr:from>
    <xdr:to>
      <xdr:col>0</xdr:col>
      <xdr:colOff>781050</xdr:colOff>
      <xdr:row>406</xdr:row>
      <xdr:rowOff>619125</xdr:rowOff>
    </xdr:to>
    <xdr:pic>
      <xdr:nvPicPr>
        <xdr:cNvPr id="2682" name="Picture 4024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537555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480</xdr:row>
      <xdr:rowOff>523875</xdr:rowOff>
    </xdr:from>
    <xdr:to>
      <xdr:col>0</xdr:col>
      <xdr:colOff>781050</xdr:colOff>
      <xdr:row>480</xdr:row>
      <xdr:rowOff>619125</xdr:rowOff>
    </xdr:to>
    <xdr:pic>
      <xdr:nvPicPr>
        <xdr:cNvPr id="2683" name="Picture 4025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7959325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744</xdr:row>
      <xdr:rowOff>523875</xdr:rowOff>
    </xdr:from>
    <xdr:to>
      <xdr:col>0</xdr:col>
      <xdr:colOff>781050</xdr:colOff>
      <xdr:row>744</xdr:row>
      <xdr:rowOff>619125</xdr:rowOff>
    </xdr:to>
    <xdr:pic>
      <xdr:nvPicPr>
        <xdr:cNvPr id="2684" name="Picture 4026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310205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744</xdr:row>
      <xdr:rowOff>0</xdr:rowOff>
    </xdr:from>
    <xdr:to>
      <xdr:col>17</xdr:col>
      <xdr:colOff>9525</xdr:colOff>
      <xdr:row>744</xdr:row>
      <xdr:rowOff>161925</xdr:rowOff>
    </xdr:to>
    <xdr:pic>
      <xdr:nvPicPr>
        <xdr:cNvPr id="2685" name="Picture 4027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257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744</xdr:row>
      <xdr:rowOff>0</xdr:rowOff>
    </xdr:from>
    <xdr:to>
      <xdr:col>17</xdr:col>
      <xdr:colOff>409575</xdr:colOff>
      <xdr:row>744</xdr:row>
      <xdr:rowOff>161925</xdr:rowOff>
    </xdr:to>
    <xdr:pic>
      <xdr:nvPicPr>
        <xdr:cNvPr id="2686" name="Picture 4028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257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744</xdr:row>
      <xdr:rowOff>0</xdr:rowOff>
    </xdr:from>
    <xdr:to>
      <xdr:col>19</xdr:col>
      <xdr:colOff>19050</xdr:colOff>
      <xdr:row>744</xdr:row>
      <xdr:rowOff>161925</xdr:rowOff>
    </xdr:to>
    <xdr:pic>
      <xdr:nvPicPr>
        <xdr:cNvPr id="2687" name="Picture 4029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257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744</xdr:row>
      <xdr:rowOff>0</xdr:rowOff>
    </xdr:from>
    <xdr:to>
      <xdr:col>19</xdr:col>
      <xdr:colOff>409575</xdr:colOff>
      <xdr:row>744</xdr:row>
      <xdr:rowOff>161925</xdr:rowOff>
    </xdr:to>
    <xdr:pic>
      <xdr:nvPicPr>
        <xdr:cNvPr id="2688" name="Picture 4030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257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743</xdr:row>
      <xdr:rowOff>0</xdr:rowOff>
    </xdr:from>
    <xdr:to>
      <xdr:col>17</xdr:col>
      <xdr:colOff>9525</xdr:colOff>
      <xdr:row>743</xdr:row>
      <xdr:rowOff>161925</xdr:rowOff>
    </xdr:to>
    <xdr:pic>
      <xdr:nvPicPr>
        <xdr:cNvPr id="2689" name="Picture 404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181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743</xdr:row>
      <xdr:rowOff>0</xdr:rowOff>
    </xdr:from>
    <xdr:to>
      <xdr:col>17</xdr:col>
      <xdr:colOff>409575</xdr:colOff>
      <xdr:row>743</xdr:row>
      <xdr:rowOff>161925</xdr:rowOff>
    </xdr:to>
    <xdr:pic>
      <xdr:nvPicPr>
        <xdr:cNvPr id="2690" name="Picture 404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181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743</xdr:row>
      <xdr:rowOff>0</xdr:rowOff>
    </xdr:from>
    <xdr:to>
      <xdr:col>19</xdr:col>
      <xdr:colOff>19050</xdr:colOff>
      <xdr:row>743</xdr:row>
      <xdr:rowOff>161925</xdr:rowOff>
    </xdr:to>
    <xdr:pic>
      <xdr:nvPicPr>
        <xdr:cNvPr id="2691" name="Picture 404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181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743</xdr:row>
      <xdr:rowOff>0</xdr:rowOff>
    </xdr:from>
    <xdr:to>
      <xdr:col>19</xdr:col>
      <xdr:colOff>409575</xdr:colOff>
      <xdr:row>743</xdr:row>
      <xdr:rowOff>161925</xdr:rowOff>
    </xdr:to>
    <xdr:pic>
      <xdr:nvPicPr>
        <xdr:cNvPr id="2692" name="Picture 404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181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693" name="Picture 4049" descr="14-1619m">
          <a:hlinkClick xmlns:r="http://schemas.openxmlformats.org/officeDocument/2006/relationships" r:id="rId1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87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2694" name="Picture 4051" descr="14-296m">
          <a:hlinkClick xmlns:r="http://schemas.openxmlformats.org/officeDocument/2006/relationships" r:id="rId15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44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356</xdr:row>
      <xdr:rowOff>0</xdr:rowOff>
    </xdr:to>
    <xdr:pic>
      <xdr:nvPicPr>
        <xdr:cNvPr id="2695" name="Picture 4053" descr="14-3618m">
          <a:hlinkClick xmlns:r="http://schemas.openxmlformats.org/officeDocument/2006/relationships" r:id="rId15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811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2696" name="Picture 4055" descr="14-496m">
          <a:hlinkClick xmlns:r="http://schemas.openxmlformats.org/officeDocument/2006/relationships" r:id="rId15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44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2</xdr:col>
      <xdr:colOff>0</xdr:colOff>
      <xdr:row>389</xdr:row>
      <xdr:rowOff>0</xdr:rowOff>
    </xdr:to>
    <xdr:pic>
      <xdr:nvPicPr>
        <xdr:cNvPr id="2697" name="Picture 4057" descr="14-6618m">
          <a:hlinkClick xmlns:r="http://schemas.openxmlformats.org/officeDocument/2006/relationships" r:id="rId15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2</xdr:col>
      <xdr:colOff>9525</xdr:colOff>
      <xdr:row>744</xdr:row>
      <xdr:rowOff>9525</xdr:rowOff>
    </xdr:to>
    <xdr:pic>
      <xdr:nvPicPr>
        <xdr:cNvPr id="2698" name="Picture 4059" descr="14-8616m">
          <a:hlinkClick xmlns:r="http://schemas.openxmlformats.org/officeDocument/2006/relationships" r:id="rId1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181617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467</xdr:row>
      <xdr:rowOff>0</xdr:rowOff>
    </xdr:to>
    <xdr:pic>
      <xdr:nvPicPr>
        <xdr:cNvPr id="2699" name="Picture 4061" descr="28-396m">
          <a:hlinkClick xmlns:r="http://schemas.openxmlformats.org/officeDocument/2006/relationships" r:id="rId1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149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2</xdr:col>
      <xdr:colOff>0</xdr:colOff>
      <xdr:row>481</xdr:row>
      <xdr:rowOff>0</xdr:rowOff>
    </xdr:to>
    <xdr:pic>
      <xdr:nvPicPr>
        <xdr:cNvPr id="2700" name="Picture 4063" descr="28-6616m">
          <a:hlinkClick xmlns:r="http://schemas.openxmlformats.org/officeDocument/2006/relationships" r:id="rId1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74354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2</xdr:col>
      <xdr:colOff>0</xdr:colOff>
      <xdr:row>553</xdr:row>
      <xdr:rowOff>0</xdr:rowOff>
    </xdr:to>
    <xdr:pic>
      <xdr:nvPicPr>
        <xdr:cNvPr id="2701" name="Picture 4065" descr="34-296m">
          <a:hlinkClick xmlns:r="http://schemas.openxmlformats.org/officeDocument/2006/relationships" r:id="rId1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560</xdr:row>
      <xdr:rowOff>0</xdr:rowOff>
    </xdr:to>
    <xdr:pic>
      <xdr:nvPicPr>
        <xdr:cNvPr id="2702" name="Picture 4067" descr="34-3618m">
          <a:hlinkClick xmlns:r="http://schemas.openxmlformats.org/officeDocument/2006/relationships" r:id="rId1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2</xdr:col>
      <xdr:colOff>0</xdr:colOff>
      <xdr:row>714</xdr:row>
      <xdr:rowOff>0</xdr:rowOff>
    </xdr:to>
    <xdr:pic>
      <xdr:nvPicPr>
        <xdr:cNvPr id="2703" name="Picture 4069" descr="44-3618m">
          <a:hlinkClick xmlns:r="http://schemas.openxmlformats.org/officeDocument/2006/relationships" r:id="rId1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038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2704" name="Picture 4071" descr="45-896m">
          <a:hlinkClick xmlns:r="http://schemas.openxmlformats.org/officeDocument/2006/relationships" r:id="rId1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20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2</xdr:col>
      <xdr:colOff>0</xdr:colOff>
      <xdr:row>736</xdr:row>
      <xdr:rowOff>0</xdr:rowOff>
    </xdr:to>
    <xdr:pic>
      <xdr:nvPicPr>
        <xdr:cNvPr id="2705" name="Picture 4073" descr="14-1570m">
          <a:hlinkClick xmlns:r="http://schemas.openxmlformats.org/officeDocument/2006/relationships" r:id="rId1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724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735</xdr:row>
      <xdr:rowOff>0</xdr:rowOff>
    </xdr:from>
    <xdr:to>
      <xdr:col>17</xdr:col>
      <xdr:colOff>9525</xdr:colOff>
      <xdr:row>735</xdr:row>
      <xdr:rowOff>161925</xdr:rowOff>
    </xdr:to>
    <xdr:pic>
      <xdr:nvPicPr>
        <xdr:cNvPr id="2706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735</xdr:row>
      <xdr:rowOff>0</xdr:rowOff>
    </xdr:from>
    <xdr:to>
      <xdr:col>17</xdr:col>
      <xdr:colOff>409575</xdr:colOff>
      <xdr:row>735</xdr:row>
      <xdr:rowOff>161925</xdr:rowOff>
    </xdr:to>
    <xdr:pic>
      <xdr:nvPicPr>
        <xdr:cNvPr id="2707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735</xdr:row>
      <xdr:rowOff>0</xdr:rowOff>
    </xdr:from>
    <xdr:to>
      <xdr:col>19</xdr:col>
      <xdr:colOff>19050</xdr:colOff>
      <xdr:row>735</xdr:row>
      <xdr:rowOff>161925</xdr:rowOff>
    </xdr:to>
    <xdr:pic>
      <xdr:nvPicPr>
        <xdr:cNvPr id="2708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735</xdr:row>
      <xdr:rowOff>0</xdr:rowOff>
    </xdr:from>
    <xdr:to>
      <xdr:col>19</xdr:col>
      <xdr:colOff>409575</xdr:colOff>
      <xdr:row>735</xdr:row>
      <xdr:rowOff>161925</xdr:rowOff>
    </xdr:to>
    <xdr:pic>
      <xdr:nvPicPr>
        <xdr:cNvPr id="2709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2</xdr:col>
      <xdr:colOff>9525</xdr:colOff>
      <xdr:row>265</xdr:row>
      <xdr:rowOff>9525</xdr:rowOff>
    </xdr:to>
    <xdr:pic>
      <xdr:nvPicPr>
        <xdr:cNvPr id="2710" name="Picture 4079" descr="14-1572m">
          <a:hlinkClick xmlns:r="http://schemas.openxmlformats.org/officeDocument/2006/relationships" r:id="rId1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599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641</xdr:row>
      <xdr:rowOff>9525</xdr:rowOff>
    </xdr:from>
    <xdr:to>
      <xdr:col>2</xdr:col>
      <xdr:colOff>28575</xdr:colOff>
      <xdr:row>642</xdr:row>
      <xdr:rowOff>0</xdr:rowOff>
    </xdr:to>
    <xdr:pic>
      <xdr:nvPicPr>
        <xdr:cNvPr id="2711" name="Picture 4080" descr="14-1572m">
          <a:hlinkClick xmlns:r="http://schemas.openxmlformats.org/officeDocument/2006/relationships" r:id="rId1615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9564525"/>
          <a:ext cx="781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855</xdr:row>
      <xdr:rowOff>0</xdr:rowOff>
    </xdr:from>
    <xdr:to>
      <xdr:col>2</xdr:col>
      <xdr:colOff>0</xdr:colOff>
      <xdr:row>856</xdr:row>
      <xdr:rowOff>0</xdr:rowOff>
    </xdr:to>
    <xdr:pic>
      <xdr:nvPicPr>
        <xdr:cNvPr id="2712" name="Picture 4081" descr="81-1591m">
          <a:hlinkClick xmlns:r="http://schemas.openxmlformats.org/officeDocument/2006/relationships" r:id="rId1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915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617</xdr:row>
      <xdr:rowOff>0</xdr:rowOff>
    </xdr:from>
    <xdr:to>
      <xdr:col>2</xdr:col>
      <xdr:colOff>0</xdr:colOff>
      <xdr:row>618</xdr:row>
      <xdr:rowOff>0</xdr:rowOff>
    </xdr:to>
    <xdr:pic>
      <xdr:nvPicPr>
        <xdr:cNvPr id="2713" name="Picture 4017" descr="14-289m">
          <a:hlinkClick xmlns:r="http://schemas.openxmlformats.org/officeDocument/2006/relationships" r:id="rId1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736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957</xdr:row>
      <xdr:rowOff>0</xdr:rowOff>
    </xdr:from>
    <xdr:to>
      <xdr:col>2</xdr:col>
      <xdr:colOff>0</xdr:colOff>
      <xdr:row>958</xdr:row>
      <xdr:rowOff>0</xdr:rowOff>
    </xdr:to>
    <xdr:pic>
      <xdr:nvPicPr>
        <xdr:cNvPr id="2714" name="Picture 4084" descr="К-10m">
          <a:hlinkClick xmlns:r="http://schemas.openxmlformats.org/officeDocument/2006/relationships" r:id="rId1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0102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958</xdr:row>
      <xdr:rowOff>0</xdr:rowOff>
    </xdr:from>
    <xdr:to>
      <xdr:col>2</xdr:col>
      <xdr:colOff>0</xdr:colOff>
      <xdr:row>959</xdr:row>
      <xdr:rowOff>0</xdr:rowOff>
    </xdr:to>
    <xdr:pic>
      <xdr:nvPicPr>
        <xdr:cNvPr id="2715" name="Picture 4085" descr="К-10m">
          <a:hlinkClick xmlns:r="http://schemas.openxmlformats.org/officeDocument/2006/relationships" r:id="rId1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0864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959</xdr:row>
      <xdr:rowOff>0</xdr:rowOff>
    </xdr:from>
    <xdr:to>
      <xdr:col>2</xdr:col>
      <xdr:colOff>0</xdr:colOff>
      <xdr:row>960</xdr:row>
      <xdr:rowOff>0</xdr:rowOff>
    </xdr:to>
    <xdr:pic>
      <xdr:nvPicPr>
        <xdr:cNvPr id="2716" name="Picture 4087" descr="K-12m">
          <a:hlinkClick xmlns:r="http://schemas.openxmlformats.org/officeDocument/2006/relationships" r:id="rId1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1626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960</xdr:row>
      <xdr:rowOff>0</xdr:rowOff>
    </xdr:from>
    <xdr:to>
      <xdr:col>2</xdr:col>
      <xdr:colOff>0</xdr:colOff>
      <xdr:row>961</xdr:row>
      <xdr:rowOff>0</xdr:rowOff>
    </xdr:to>
    <xdr:pic>
      <xdr:nvPicPr>
        <xdr:cNvPr id="2717" name="Picture 4089" descr="К-13m">
          <a:hlinkClick xmlns:r="http://schemas.openxmlformats.org/officeDocument/2006/relationships" r:id="rId1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1626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0</xdr:rowOff>
    </xdr:to>
    <xdr:pic>
      <xdr:nvPicPr>
        <xdr:cNvPr id="2718" name="Picture 4091" descr="28-5620m">
          <a:hlinkClick xmlns:r="http://schemas.openxmlformats.org/officeDocument/2006/relationships" r:id="rId1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072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2719" name="Picture 4094" descr="14-1621m">
          <a:hlinkClick xmlns:r="http://schemas.openxmlformats.org/officeDocument/2006/relationships" r:id="rId1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2</xdr:col>
      <xdr:colOff>0</xdr:colOff>
      <xdr:row>676</xdr:row>
      <xdr:rowOff>0</xdr:rowOff>
    </xdr:to>
    <xdr:pic>
      <xdr:nvPicPr>
        <xdr:cNvPr id="2720" name="Picture 3922" descr="34-1610m">
          <a:hlinkClick xmlns:r="http://schemas.openxmlformats.org/officeDocument/2006/relationships" r:id="rId1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98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663</xdr:row>
      <xdr:rowOff>0</xdr:rowOff>
    </xdr:from>
    <xdr:to>
      <xdr:col>2</xdr:col>
      <xdr:colOff>0</xdr:colOff>
      <xdr:row>664</xdr:row>
      <xdr:rowOff>0</xdr:rowOff>
    </xdr:to>
    <xdr:pic>
      <xdr:nvPicPr>
        <xdr:cNvPr id="2721" name="Picture 3446">
          <a:hlinkClick xmlns:r="http://schemas.openxmlformats.org/officeDocument/2006/relationships" r:id="rId1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8699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714</xdr:row>
      <xdr:rowOff>0</xdr:rowOff>
    </xdr:from>
    <xdr:to>
      <xdr:col>2</xdr:col>
      <xdr:colOff>0</xdr:colOff>
      <xdr:row>715</xdr:row>
      <xdr:rowOff>0</xdr:rowOff>
    </xdr:to>
    <xdr:pic>
      <xdr:nvPicPr>
        <xdr:cNvPr id="2722" name="Picture 3360">
          <a:hlinkClick xmlns:r="http://schemas.openxmlformats.org/officeDocument/2006/relationships" r:id="rId1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114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744</xdr:row>
      <xdr:rowOff>0</xdr:rowOff>
    </xdr:from>
    <xdr:to>
      <xdr:col>2</xdr:col>
      <xdr:colOff>0</xdr:colOff>
      <xdr:row>745</xdr:row>
      <xdr:rowOff>0</xdr:rowOff>
    </xdr:to>
    <xdr:pic>
      <xdr:nvPicPr>
        <xdr:cNvPr id="2723" name="Picture 3945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257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744</xdr:row>
      <xdr:rowOff>0</xdr:rowOff>
    </xdr:from>
    <xdr:to>
      <xdr:col>2</xdr:col>
      <xdr:colOff>0</xdr:colOff>
      <xdr:row>745</xdr:row>
      <xdr:rowOff>0</xdr:rowOff>
    </xdr:to>
    <xdr:pic>
      <xdr:nvPicPr>
        <xdr:cNvPr id="2724" name="Picture 4059">
          <a:hlinkClick xmlns:r="http://schemas.openxmlformats.org/officeDocument/2006/relationships" r:id="rId1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257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2</xdr:col>
      <xdr:colOff>0</xdr:colOff>
      <xdr:row>367</xdr:row>
      <xdr:rowOff>0</xdr:rowOff>
    </xdr:to>
    <xdr:pic>
      <xdr:nvPicPr>
        <xdr:cNvPr id="2725" name="Picture 3782">
          <a:hlinkClick xmlns:r="http://schemas.openxmlformats.org/officeDocument/2006/relationships" r:id="rId1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3859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743</xdr:row>
      <xdr:rowOff>0</xdr:rowOff>
    </xdr:from>
    <xdr:to>
      <xdr:col>2</xdr:col>
      <xdr:colOff>0</xdr:colOff>
      <xdr:row>744</xdr:row>
      <xdr:rowOff>0</xdr:rowOff>
    </xdr:to>
    <xdr:pic>
      <xdr:nvPicPr>
        <xdr:cNvPr id="2726" name="Picture 3993" descr="14-8615m">
          <a:hlinkClick xmlns:r="http://schemas.openxmlformats.org/officeDocument/2006/relationships" r:id="rId1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181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346</xdr:row>
      <xdr:rowOff>0</xdr:rowOff>
    </xdr:from>
    <xdr:to>
      <xdr:col>2</xdr:col>
      <xdr:colOff>0</xdr:colOff>
      <xdr:row>347</xdr:row>
      <xdr:rowOff>0</xdr:rowOff>
    </xdr:to>
    <xdr:pic>
      <xdr:nvPicPr>
        <xdr:cNvPr id="2727" name="Picture 8312" descr="14-2615m">
          <a:hlinkClick xmlns:r="http://schemas.openxmlformats.org/officeDocument/2006/relationships" r:id="rId1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6239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366</xdr:row>
      <xdr:rowOff>0</xdr:rowOff>
    </xdr:to>
    <xdr:pic>
      <xdr:nvPicPr>
        <xdr:cNvPr id="2728" name="Picture 8314" descr="14-4615m">
          <a:hlinkClick xmlns:r="http://schemas.openxmlformats.org/officeDocument/2006/relationships" r:id="rId1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3859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2</xdr:col>
      <xdr:colOff>0</xdr:colOff>
      <xdr:row>606</xdr:row>
      <xdr:rowOff>0</xdr:rowOff>
    </xdr:to>
    <xdr:pic>
      <xdr:nvPicPr>
        <xdr:cNvPr id="2729" name="Picture 8316" descr="34-9584m">
          <a:hlinkClick xmlns:r="http://schemas.openxmlformats.org/officeDocument/2006/relationships" r:id="rId1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726</xdr:row>
      <xdr:rowOff>0</xdr:rowOff>
    </xdr:from>
    <xdr:to>
      <xdr:col>17</xdr:col>
      <xdr:colOff>9525</xdr:colOff>
      <xdr:row>726</xdr:row>
      <xdr:rowOff>161925</xdr:rowOff>
    </xdr:to>
    <xdr:pic>
      <xdr:nvPicPr>
        <xdr:cNvPr id="2730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419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726</xdr:row>
      <xdr:rowOff>0</xdr:rowOff>
    </xdr:from>
    <xdr:to>
      <xdr:col>17</xdr:col>
      <xdr:colOff>409575</xdr:colOff>
      <xdr:row>726</xdr:row>
      <xdr:rowOff>161925</xdr:rowOff>
    </xdr:to>
    <xdr:pic>
      <xdr:nvPicPr>
        <xdr:cNvPr id="2731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419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726</xdr:row>
      <xdr:rowOff>0</xdr:rowOff>
    </xdr:from>
    <xdr:to>
      <xdr:col>19</xdr:col>
      <xdr:colOff>19050</xdr:colOff>
      <xdr:row>726</xdr:row>
      <xdr:rowOff>161925</xdr:rowOff>
    </xdr:to>
    <xdr:pic>
      <xdr:nvPicPr>
        <xdr:cNvPr id="2732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419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726</xdr:row>
      <xdr:rowOff>0</xdr:rowOff>
    </xdr:from>
    <xdr:to>
      <xdr:col>19</xdr:col>
      <xdr:colOff>409575</xdr:colOff>
      <xdr:row>726</xdr:row>
      <xdr:rowOff>161925</xdr:rowOff>
    </xdr:to>
    <xdr:pic>
      <xdr:nvPicPr>
        <xdr:cNvPr id="2733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419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2</xdr:col>
      <xdr:colOff>0</xdr:colOff>
      <xdr:row>727</xdr:row>
      <xdr:rowOff>0</xdr:rowOff>
    </xdr:to>
    <xdr:pic>
      <xdr:nvPicPr>
        <xdr:cNvPr id="2734" name="Picture 3320" descr="14-1530m">
          <a:hlinkClick xmlns:r="http://schemas.openxmlformats.org/officeDocument/2006/relationships" r:id="rId1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419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531</xdr:row>
      <xdr:rowOff>514350</xdr:rowOff>
    </xdr:from>
    <xdr:to>
      <xdr:col>0</xdr:col>
      <xdr:colOff>590550</xdr:colOff>
      <xdr:row>531</xdr:row>
      <xdr:rowOff>628650</xdr:rowOff>
    </xdr:to>
    <xdr:pic>
      <xdr:nvPicPr>
        <xdr:cNvPr id="273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84273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541</xdr:row>
      <xdr:rowOff>514350</xdr:rowOff>
    </xdr:from>
    <xdr:to>
      <xdr:col>0</xdr:col>
      <xdr:colOff>590550</xdr:colOff>
      <xdr:row>541</xdr:row>
      <xdr:rowOff>628650</xdr:rowOff>
    </xdr:to>
    <xdr:pic>
      <xdr:nvPicPr>
        <xdr:cNvPr id="273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037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543</xdr:row>
      <xdr:rowOff>514350</xdr:rowOff>
    </xdr:from>
    <xdr:to>
      <xdr:col>0</xdr:col>
      <xdr:colOff>590550</xdr:colOff>
      <xdr:row>543</xdr:row>
      <xdr:rowOff>628650</xdr:rowOff>
    </xdr:to>
    <xdr:pic>
      <xdr:nvPicPr>
        <xdr:cNvPr id="273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037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564</xdr:row>
      <xdr:rowOff>514350</xdr:rowOff>
    </xdr:from>
    <xdr:to>
      <xdr:col>0</xdr:col>
      <xdr:colOff>590550</xdr:colOff>
      <xdr:row>564</xdr:row>
      <xdr:rowOff>628650</xdr:rowOff>
    </xdr:to>
    <xdr:pic>
      <xdr:nvPicPr>
        <xdr:cNvPr id="273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37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209</xdr:row>
      <xdr:rowOff>514350</xdr:rowOff>
    </xdr:from>
    <xdr:to>
      <xdr:col>0</xdr:col>
      <xdr:colOff>590550</xdr:colOff>
      <xdr:row>209</xdr:row>
      <xdr:rowOff>628650</xdr:rowOff>
    </xdr:to>
    <xdr:pic>
      <xdr:nvPicPr>
        <xdr:cNvPr id="273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9016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712</xdr:row>
      <xdr:rowOff>514350</xdr:rowOff>
    </xdr:from>
    <xdr:to>
      <xdr:col>0</xdr:col>
      <xdr:colOff>590550</xdr:colOff>
      <xdr:row>712</xdr:row>
      <xdr:rowOff>628650</xdr:rowOff>
    </xdr:to>
    <xdr:pic>
      <xdr:nvPicPr>
        <xdr:cNvPr id="274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0386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720</xdr:row>
      <xdr:rowOff>514350</xdr:rowOff>
    </xdr:from>
    <xdr:to>
      <xdr:col>0</xdr:col>
      <xdr:colOff>590550</xdr:colOff>
      <xdr:row>720</xdr:row>
      <xdr:rowOff>628650</xdr:rowOff>
    </xdr:to>
    <xdr:pic>
      <xdr:nvPicPr>
        <xdr:cNvPr id="274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114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721</xdr:row>
      <xdr:rowOff>514350</xdr:rowOff>
    </xdr:from>
    <xdr:to>
      <xdr:col>0</xdr:col>
      <xdr:colOff>590550</xdr:colOff>
      <xdr:row>721</xdr:row>
      <xdr:rowOff>628650</xdr:rowOff>
    </xdr:to>
    <xdr:pic>
      <xdr:nvPicPr>
        <xdr:cNvPr id="274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114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785</xdr:row>
      <xdr:rowOff>514350</xdr:rowOff>
    </xdr:from>
    <xdr:to>
      <xdr:col>0</xdr:col>
      <xdr:colOff>590550</xdr:colOff>
      <xdr:row>785</xdr:row>
      <xdr:rowOff>628650</xdr:rowOff>
    </xdr:to>
    <xdr:pic>
      <xdr:nvPicPr>
        <xdr:cNvPr id="274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9342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213</xdr:row>
      <xdr:rowOff>514350</xdr:rowOff>
    </xdr:from>
    <xdr:to>
      <xdr:col>0</xdr:col>
      <xdr:colOff>590550</xdr:colOff>
      <xdr:row>213</xdr:row>
      <xdr:rowOff>628650</xdr:rowOff>
    </xdr:to>
    <xdr:pic>
      <xdr:nvPicPr>
        <xdr:cNvPr id="274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30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842</xdr:row>
      <xdr:rowOff>514350</xdr:rowOff>
    </xdr:from>
    <xdr:to>
      <xdr:col>0</xdr:col>
      <xdr:colOff>590550</xdr:colOff>
      <xdr:row>842</xdr:row>
      <xdr:rowOff>628650</xdr:rowOff>
    </xdr:to>
    <xdr:pic>
      <xdr:nvPicPr>
        <xdr:cNvPr id="274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4582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873</xdr:row>
      <xdr:rowOff>514350</xdr:rowOff>
    </xdr:from>
    <xdr:to>
      <xdr:col>0</xdr:col>
      <xdr:colOff>590550</xdr:colOff>
      <xdr:row>873</xdr:row>
      <xdr:rowOff>628650</xdr:rowOff>
    </xdr:to>
    <xdr:pic>
      <xdr:nvPicPr>
        <xdr:cNvPr id="274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29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886</xdr:row>
      <xdr:rowOff>514350</xdr:rowOff>
    </xdr:from>
    <xdr:to>
      <xdr:col>0</xdr:col>
      <xdr:colOff>590550</xdr:colOff>
      <xdr:row>886</xdr:row>
      <xdr:rowOff>628650</xdr:rowOff>
    </xdr:to>
    <xdr:pic>
      <xdr:nvPicPr>
        <xdr:cNvPr id="274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27558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887</xdr:row>
      <xdr:rowOff>514350</xdr:rowOff>
    </xdr:from>
    <xdr:to>
      <xdr:col>0</xdr:col>
      <xdr:colOff>590550</xdr:colOff>
      <xdr:row>887</xdr:row>
      <xdr:rowOff>628650</xdr:rowOff>
    </xdr:to>
    <xdr:pic>
      <xdr:nvPicPr>
        <xdr:cNvPr id="274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27558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902</xdr:row>
      <xdr:rowOff>514350</xdr:rowOff>
    </xdr:from>
    <xdr:to>
      <xdr:col>0</xdr:col>
      <xdr:colOff>590550</xdr:colOff>
      <xdr:row>902</xdr:row>
      <xdr:rowOff>628650</xdr:rowOff>
    </xdr:to>
    <xdr:pic>
      <xdr:nvPicPr>
        <xdr:cNvPr id="274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55086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742</xdr:row>
      <xdr:rowOff>0</xdr:rowOff>
    </xdr:from>
    <xdr:to>
      <xdr:col>17</xdr:col>
      <xdr:colOff>9525</xdr:colOff>
      <xdr:row>742</xdr:row>
      <xdr:rowOff>161925</xdr:rowOff>
    </xdr:to>
    <xdr:pic>
      <xdr:nvPicPr>
        <xdr:cNvPr id="2750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105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742</xdr:row>
      <xdr:rowOff>0</xdr:rowOff>
    </xdr:from>
    <xdr:to>
      <xdr:col>17</xdr:col>
      <xdr:colOff>409575</xdr:colOff>
      <xdr:row>742</xdr:row>
      <xdr:rowOff>161925</xdr:rowOff>
    </xdr:to>
    <xdr:pic>
      <xdr:nvPicPr>
        <xdr:cNvPr id="2751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105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742</xdr:row>
      <xdr:rowOff>0</xdr:rowOff>
    </xdr:from>
    <xdr:to>
      <xdr:col>19</xdr:col>
      <xdr:colOff>19050</xdr:colOff>
      <xdr:row>742</xdr:row>
      <xdr:rowOff>161925</xdr:rowOff>
    </xdr:to>
    <xdr:pic>
      <xdr:nvPicPr>
        <xdr:cNvPr id="2752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105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742</xdr:row>
      <xdr:rowOff>0</xdr:rowOff>
    </xdr:from>
    <xdr:to>
      <xdr:col>19</xdr:col>
      <xdr:colOff>409575</xdr:colOff>
      <xdr:row>742</xdr:row>
      <xdr:rowOff>161925</xdr:rowOff>
    </xdr:to>
    <xdr:pic>
      <xdr:nvPicPr>
        <xdr:cNvPr id="2753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105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2754" name="Picture 8406" descr="A-14-701m">
          <a:hlinkClick xmlns:r="http://schemas.openxmlformats.org/officeDocument/2006/relationships" r:id="rId1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2</xdr:col>
      <xdr:colOff>0</xdr:colOff>
      <xdr:row>796</xdr:row>
      <xdr:rowOff>0</xdr:rowOff>
    </xdr:to>
    <xdr:pic>
      <xdr:nvPicPr>
        <xdr:cNvPr id="2755" name="Picture 8408" descr="A-36-801m">
          <a:hlinkClick xmlns:r="http://schemas.openxmlformats.org/officeDocument/2006/relationships" r:id="rId1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010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796</xdr:row>
      <xdr:rowOff>0</xdr:rowOff>
    </xdr:from>
    <xdr:to>
      <xdr:col>2</xdr:col>
      <xdr:colOff>904875</xdr:colOff>
      <xdr:row>796</xdr:row>
      <xdr:rowOff>0</xdr:rowOff>
    </xdr:to>
    <xdr:pic>
      <xdr:nvPicPr>
        <xdr:cNvPr id="275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001041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463</xdr:row>
      <xdr:rowOff>0</xdr:rowOff>
    </xdr:from>
    <xdr:to>
      <xdr:col>17</xdr:col>
      <xdr:colOff>9525</xdr:colOff>
      <xdr:row>463</xdr:row>
      <xdr:rowOff>161925</xdr:rowOff>
    </xdr:to>
    <xdr:pic>
      <xdr:nvPicPr>
        <xdr:cNvPr id="2757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04387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463</xdr:row>
      <xdr:rowOff>0</xdr:rowOff>
    </xdr:from>
    <xdr:to>
      <xdr:col>17</xdr:col>
      <xdr:colOff>409575</xdr:colOff>
      <xdr:row>463</xdr:row>
      <xdr:rowOff>161925</xdr:rowOff>
    </xdr:to>
    <xdr:pic>
      <xdr:nvPicPr>
        <xdr:cNvPr id="2758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04387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463</xdr:row>
      <xdr:rowOff>0</xdr:rowOff>
    </xdr:from>
    <xdr:to>
      <xdr:col>19</xdr:col>
      <xdr:colOff>19050</xdr:colOff>
      <xdr:row>463</xdr:row>
      <xdr:rowOff>161925</xdr:rowOff>
    </xdr:to>
    <xdr:pic>
      <xdr:nvPicPr>
        <xdr:cNvPr id="2759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04387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463</xdr:row>
      <xdr:rowOff>0</xdr:rowOff>
    </xdr:from>
    <xdr:to>
      <xdr:col>19</xdr:col>
      <xdr:colOff>409575</xdr:colOff>
      <xdr:row>463</xdr:row>
      <xdr:rowOff>161925</xdr:rowOff>
    </xdr:to>
    <xdr:pic>
      <xdr:nvPicPr>
        <xdr:cNvPr id="2760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043874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761" name="Picture 8421" descr="14-2620m">
          <a:hlinkClick xmlns:r="http://schemas.openxmlformats.org/officeDocument/2006/relationships" r:id="rId1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2</xdr:col>
      <xdr:colOff>0</xdr:colOff>
      <xdr:row>383</xdr:row>
      <xdr:rowOff>0</xdr:rowOff>
    </xdr:to>
    <xdr:pic>
      <xdr:nvPicPr>
        <xdr:cNvPr id="2762" name="Picture 8423" descr="14-5620m">
          <a:hlinkClick xmlns:r="http://schemas.openxmlformats.org/officeDocument/2006/relationships" r:id="rId1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2</xdr:col>
      <xdr:colOff>0</xdr:colOff>
      <xdr:row>437</xdr:row>
      <xdr:rowOff>0</xdr:rowOff>
    </xdr:to>
    <xdr:pic>
      <xdr:nvPicPr>
        <xdr:cNvPr id="2763" name="Picture 8426" descr="20-8615m">
          <a:hlinkClick xmlns:r="http://schemas.openxmlformats.org/officeDocument/2006/relationships" r:id="rId16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3233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903</xdr:row>
      <xdr:rowOff>0</xdr:rowOff>
    </xdr:to>
    <xdr:pic>
      <xdr:nvPicPr>
        <xdr:cNvPr id="2764" name="Picture 8428" descr="G-12-703m">
          <a:hlinkClick xmlns:r="http://schemas.openxmlformats.org/officeDocument/2006/relationships" r:id="rId1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2</xdr:col>
      <xdr:colOff>0</xdr:colOff>
      <xdr:row>904</xdr:row>
      <xdr:rowOff>0</xdr:rowOff>
    </xdr:to>
    <xdr:pic>
      <xdr:nvPicPr>
        <xdr:cNvPr id="2765" name="Picture 8430" descr="G-14-101m">
          <a:hlinkClick xmlns:r="http://schemas.openxmlformats.org/officeDocument/2006/relationships" r:id="rId1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2</xdr:col>
      <xdr:colOff>0</xdr:colOff>
      <xdr:row>905</xdr:row>
      <xdr:rowOff>0</xdr:rowOff>
    </xdr:to>
    <xdr:pic>
      <xdr:nvPicPr>
        <xdr:cNvPr id="2766" name="Picture 8432" descr="G-14-102m">
          <a:hlinkClick xmlns:r="http://schemas.openxmlformats.org/officeDocument/2006/relationships" r:id="rId1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6270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2</xdr:col>
      <xdr:colOff>0</xdr:colOff>
      <xdr:row>906</xdr:row>
      <xdr:rowOff>0</xdr:rowOff>
    </xdr:to>
    <xdr:pic>
      <xdr:nvPicPr>
        <xdr:cNvPr id="2767" name="Picture 8434" descr="G-14-602m">
          <a:hlinkClick xmlns:r="http://schemas.openxmlformats.org/officeDocument/2006/relationships" r:id="rId1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6270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2</xdr:col>
      <xdr:colOff>0</xdr:colOff>
      <xdr:row>907</xdr:row>
      <xdr:rowOff>0</xdr:rowOff>
    </xdr:to>
    <xdr:pic>
      <xdr:nvPicPr>
        <xdr:cNvPr id="2768" name="Picture 8436" descr="G-14-701m">
          <a:hlinkClick xmlns:r="http://schemas.openxmlformats.org/officeDocument/2006/relationships" r:id="rId1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6270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907</xdr:row>
      <xdr:rowOff>0</xdr:rowOff>
    </xdr:from>
    <xdr:to>
      <xdr:col>2</xdr:col>
      <xdr:colOff>0</xdr:colOff>
      <xdr:row>908</xdr:row>
      <xdr:rowOff>0</xdr:rowOff>
    </xdr:to>
    <xdr:pic>
      <xdr:nvPicPr>
        <xdr:cNvPr id="2769" name="Picture 8438" descr="G-34-101m">
          <a:hlinkClick xmlns:r="http://schemas.openxmlformats.org/officeDocument/2006/relationships" r:id="rId1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7032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2</xdr:col>
      <xdr:colOff>0</xdr:colOff>
      <xdr:row>909</xdr:row>
      <xdr:rowOff>0</xdr:rowOff>
    </xdr:to>
    <xdr:pic>
      <xdr:nvPicPr>
        <xdr:cNvPr id="2770" name="Picture 8440" descr="G-34-701m">
          <a:hlinkClick xmlns:r="http://schemas.openxmlformats.org/officeDocument/2006/relationships" r:id="rId16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7794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2</xdr:col>
      <xdr:colOff>0</xdr:colOff>
      <xdr:row>743</xdr:row>
      <xdr:rowOff>0</xdr:rowOff>
    </xdr:to>
    <xdr:pic>
      <xdr:nvPicPr>
        <xdr:cNvPr id="2771" name="Picture 8443" descr="14-7622-Km">
          <a:hlinkClick xmlns:r="http://schemas.openxmlformats.org/officeDocument/2006/relationships" r:id="rId1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105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2</xdr:col>
      <xdr:colOff>0</xdr:colOff>
      <xdr:row>594</xdr:row>
      <xdr:rowOff>0</xdr:rowOff>
    </xdr:to>
    <xdr:pic>
      <xdr:nvPicPr>
        <xdr:cNvPr id="2772" name="Picture 8445" descr="34-7622m">
          <a:hlinkClick xmlns:r="http://schemas.openxmlformats.org/officeDocument/2006/relationships" r:id="rId1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1705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746</xdr:row>
      <xdr:rowOff>0</xdr:rowOff>
    </xdr:from>
    <xdr:to>
      <xdr:col>17</xdr:col>
      <xdr:colOff>9525</xdr:colOff>
      <xdr:row>746</xdr:row>
      <xdr:rowOff>161925</xdr:rowOff>
    </xdr:to>
    <xdr:pic>
      <xdr:nvPicPr>
        <xdr:cNvPr id="2773" name="Picture 4027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410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746</xdr:row>
      <xdr:rowOff>0</xdr:rowOff>
    </xdr:from>
    <xdr:to>
      <xdr:col>17</xdr:col>
      <xdr:colOff>409575</xdr:colOff>
      <xdr:row>746</xdr:row>
      <xdr:rowOff>161925</xdr:rowOff>
    </xdr:to>
    <xdr:pic>
      <xdr:nvPicPr>
        <xdr:cNvPr id="2774" name="Picture 4028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410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746</xdr:row>
      <xdr:rowOff>0</xdr:rowOff>
    </xdr:from>
    <xdr:to>
      <xdr:col>19</xdr:col>
      <xdr:colOff>19050</xdr:colOff>
      <xdr:row>746</xdr:row>
      <xdr:rowOff>161925</xdr:rowOff>
    </xdr:to>
    <xdr:pic>
      <xdr:nvPicPr>
        <xdr:cNvPr id="2775" name="Picture 4029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410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746</xdr:row>
      <xdr:rowOff>0</xdr:rowOff>
    </xdr:from>
    <xdr:to>
      <xdr:col>19</xdr:col>
      <xdr:colOff>409575</xdr:colOff>
      <xdr:row>746</xdr:row>
      <xdr:rowOff>161925</xdr:rowOff>
    </xdr:to>
    <xdr:pic>
      <xdr:nvPicPr>
        <xdr:cNvPr id="2776" name="Picture 4030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410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2</xdr:col>
      <xdr:colOff>0</xdr:colOff>
      <xdr:row>747</xdr:row>
      <xdr:rowOff>0</xdr:rowOff>
    </xdr:to>
    <xdr:pic>
      <xdr:nvPicPr>
        <xdr:cNvPr id="2777" name="Picture 3995" descr="14-9614m">
          <a:hlinkClick xmlns:r="http://schemas.openxmlformats.org/officeDocument/2006/relationships" r:id="rId1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410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741</xdr:row>
      <xdr:rowOff>0</xdr:rowOff>
    </xdr:from>
    <xdr:to>
      <xdr:col>2</xdr:col>
      <xdr:colOff>0</xdr:colOff>
      <xdr:row>742</xdr:row>
      <xdr:rowOff>0</xdr:rowOff>
    </xdr:to>
    <xdr:pic>
      <xdr:nvPicPr>
        <xdr:cNvPr id="2778" name="Picture 3989" descr="14-5614m">
          <a:hlinkClick xmlns:r="http://schemas.openxmlformats.org/officeDocument/2006/relationships" r:id="rId1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105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741</xdr:row>
      <xdr:rowOff>0</xdr:rowOff>
    </xdr:from>
    <xdr:to>
      <xdr:col>17</xdr:col>
      <xdr:colOff>9525</xdr:colOff>
      <xdr:row>741</xdr:row>
      <xdr:rowOff>161925</xdr:rowOff>
    </xdr:to>
    <xdr:pic>
      <xdr:nvPicPr>
        <xdr:cNvPr id="2779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105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741</xdr:row>
      <xdr:rowOff>0</xdr:rowOff>
    </xdr:from>
    <xdr:to>
      <xdr:col>17</xdr:col>
      <xdr:colOff>409575</xdr:colOff>
      <xdr:row>741</xdr:row>
      <xdr:rowOff>161925</xdr:rowOff>
    </xdr:to>
    <xdr:pic>
      <xdr:nvPicPr>
        <xdr:cNvPr id="2780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105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741</xdr:row>
      <xdr:rowOff>0</xdr:rowOff>
    </xdr:from>
    <xdr:to>
      <xdr:col>19</xdr:col>
      <xdr:colOff>19050</xdr:colOff>
      <xdr:row>741</xdr:row>
      <xdr:rowOff>161925</xdr:rowOff>
    </xdr:to>
    <xdr:pic>
      <xdr:nvPicPr>
        <xdr:cNvPr id="2781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105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741</xdr:row>
      <xdr:rowOff>0</xdr:rowOff>
    </xdr:from>
    <xdr:to>
      <xdr:col>19</xdr:col>
      <xdr:colOff>409575</xdr:colOff>
      <xdr:row>741</xdr:row>
      <xdr:rowOff>161925</xdr:rowOff>
    </xdr:to>
    <xdr:pic>
      <xdr:nvPicPr>
        <xdr:cNvPr id="2782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105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2</xdr:col>
      <xdr:colOff>0</xdr:colOff>
      <xdr:row>559</xdr:row>
      <xdr:rowOff>0</xdr:rowOff>
    </xdr:to>
    <xdr:pic>
      <xdr:nvPicPr>
        <xdr:cNvPr id="2783" name="Picture 8457" descr="34-3614m">
          <a:hlinkClick xmlns:r="http://schemas.openxmlformats.org/officeDocument/2006/relationships" r:id="rId16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2784" name="Picture 8460" descr="14-1623m">
          <a:hlinkClick xmlns:r="http://schemas.openxmlformats.org/officeDocument/2006/relationships" r:id="rId1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2</xdr:col>
      <xdr:colOff>0</xdr:colOff>
      <xdr:row>384</xdr:row>
      <xdr:rowOff>0</xdr:rowOff>
    </xdr:to>
    <xdr:pic>
      <xdr:nvPicPr>
        <xdr:cNvPr id="2785" name="Picture 8464" descr="14-5623m">
          <a:hlinkClick xmlns:r="http://schemas.openxmlformats.org/officeDocument/2006/relationships" r:id="rId16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2</xdr:col>
      <xdr:colOff>0</xdr:colOff>
      <xdr:row>648</xdr:row>
      <xdr:rowOff>0</xdr:rowOff>
    </xdr:to>
    <xdr:pic>
      <xdr:nvPicPr>
        <xdr:cNvPr id="2786" name="Picture 8465" descr="14-1623m">
          <a:hlinkClick xmlns:r="http://schemas.openxmlformats.org/officeDocument/2006/relationships" r:id="rId16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36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2</xdr:col>
      <xdr:colOff>0</xdr:colOff>
      <xdr:row>579</xdr:row>
      <xdr:rowOff>0</xdr:rowOff>
    </xdr:to>
    <xdr:pic>
      <xdr:nvPicPr>
        <xdr:cNvPr id="2787" name="Picture 8469" descr="34-5623m">
          <a:hlinkClick xmlns:r="http://schemas.openxmlformats.org/officeDocument/2006/relationships" r:id="rId1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8657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740</xdr:row>
      <xdr:rowOff>0</xdr:rowOff>
    </xdr:from>
    <xdr:to>
      <xdr:col>17</xdr:col>
      <xdr:colOff>9525</xdr:colOff>
      <xdr:row>740</xdr:row>
      <xdr:rowOff>161925</xdr:rowOff>
    </xdr:to>
    <xdr:pic>
      <xdr:nvPicPr>
        <xdr:cNvPr id="2788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029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740</xdr:row>
      <xdr:rowOff>0</xdr:rowOff>
    </xdr:from>
    <xdr:to>
      <xdr:col>17</xdr:col>
      <xdr:colOff>409575</xdr:colOff>
      <xdr:row>740</xdr:row>
      <xdr:rowOff>161925</xdr:rowOff>
    </xdr:to>
    <xdr:pic>
      <xdr:nvPicPr>
        <xdr:cNvPr id="2789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029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740</xdr:row>
      <xdr:rowOff>0</xdr:rowOff>
    </xdr:from>
    <xdr:to>
      <xdr:col>19</xdr:col>
      <xdr:colOff>19050</xdr:colOff>
      <xdr:row>740</xdr:row>
      <xdr:rowOff>161925</xdr:rowOff>
    </xdr:to>
    <xdr:pic>
      <xdr:nvPicPr>
        <xdr:cNvPr id="2790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029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740</xdr:row>
      <xdr:rowOff>0</xdr:rowOff>
    </xdr:from>
    <xdr:to>
      <xdr:col>19</xdr:col>
      <xdr:colOff>409575</xdr:colOff>
      <xdr:row>740</xdr:row>
      <xdr:rowOff>161925</xdr:rowOff>
    </xdr:to>
    <xdr:pic>
      <xdr:nvPicPr>
        <xdr:cNvPr id="2791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0292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2" name="Picture 8475" descr="D-1006л-37m"/>
        <xdr:cNvPicPr>
          <a:picLocks noChangeAspect="1" noChangeArrowheads="1"/>
        </xdr:cNvPicPr>
      </xdr:nvPicPr>
      <xdr:blipFill>
        <a:blip xmlns:r="http://schemas.openxmlformats.org/officeDocument/2006/relationships" r:embed="rId1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3" name="Picture 8477" descr="D-1017л-02m"/>
        <xdr:cNvPicPr>
          <a:picLocks noChangeAspect="1" noChangeArrowheads="1"/>
        </xdr:cNvPicPr>
      </xdr:nvPicPr>
      <xdr:blipFill>
        <a:blip xmlns:r="http://schemas.openxmlformats.org/officeDocument/2006/relationships" r:embed="rId1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4" name="Picture 8479" descr="D-1025л-01m"/>
        <xdr:cNvPicPr>
          <a:picLocks noChangeAspect="1" noChangeArrowheads="1"/>
        </xdr:cNvPicPr>
      </xdr:nvPicPr>
      <xdr:blipFill>
        <a:blip xmlns:r="http://schemas.openxmlformats.org/officeDocument/2006/relationships" r:embed="rId1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5" name="Picture 8481" descr="D-1412л-01m"/>
        <xdr:cNvPicPr>
          <a:picLocks noChangeAspect="1" noChangeArrowheads="1"/>
        </xdr:cNvPicPr>
      </xdr:nvPicPr>
      <xdr:blipFill>
        <a:blip xmlns:r="http://schemas.openxmlformats.org/officeDocument/2006/relationships" r:embed="rId1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6" name="Picture 8483" descr="D-1412л-16m"/>
        <xdr:cNvPicPr>
          <a:picLocks noChangeAspect="1" noChangeArrowheads="1"/>
        </xdr:cNvPicPr>
      </xdr:nvPicPr>
      <xdr:blipFill>
        <a:blip xmlns:r="http://schemas.openxmlformats.org/officeDocument/2006/relationships" r:embed="rId1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7" name="Picture 8485" descr="D-1481-01m"/>
        <xdr:cNvPicPr>
          <a:picLocks noChangeAspect="1" noChangeArrowheads="1"/>
        </xdr:cNvPicPr>
      </xdr:nvPicPr>
      <xdr:blipFill>
        <a:blip xmlns:r="http://schemas.openxmlformats.org/officeDocument/2006/relationships" r:embed="rId1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8" name="Picture 8487" descr="D-1481-02m"/>
        <xdr:cNvPicPr>
          <a:picLocks noChangeAspect="1" noChangeArrowheads="1"/>
        </xdr:cNvPicPr>
      </xdr:nvPicPr>
      <xdr:blipFill>
        <a:blip xmlns:r="http://schemas.openxmlformats.org/officeDocument/2006/relationships" r:embed="rId1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799" name="Picture 8489" descr="D-1482л-91m"/>
        <xdr:cNvPicPr>
          <a:picLocks noChangeAspect="1" noChangeArrowheads="1"/>
        </xdr:cNvPicPr>
      </xdr:nvPicPr>
      <xdr:blipFill>
        <a:blip xmlns:r="http://schemas.openxmlformats.org/officeDocument/2006/relationships" r:embed="rId1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0" name="Picture 8491" descr="D-472л-01m"/>
        <xdr:cNvPicPr>
          <a:picLocks noChangeAspect="1" noChangeArrowheads="1"/>
        </xdr:cNvPicPr>
      </xdr:nvPicPr>
      <xdr:blipFill>
        <a:blip xmlns:r="http://schemas.openxmlformats.org/officeDocument/2006/relationships" r:embed="rId1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1" name="Picture 8493" descr="D-472л-02m"/>
        <xdr:cNvPicPr>
          <a:picLocks noChangeAspect="1" noChangeArrowheads="1"/>
        </xdr:cNvPicPr>
      </xdr:nvPicPr>
      <xdr:blipFill>
        <a:blip xmlns:r="http://schemas.openxmlformats.org/officeDocument/2006/relationships" r:embed="rId1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2" name="Picture 8495" descr="D-602л-01m"/>
        <xdr:cNvPicPr>
          <a:picLocks noChangeAspect="1" noChangeArrowheads="1"/>
        </xdr:cNvPicPr>
      </xdr:nvPicPr>
      <xdr:blipFill>
        <a:blip xmlns:r="http://schemas.openxmlformats.org/officeDocument/2006/relationships" r:embed="rId1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3" name="Picture 8496" descr="D-1010-01m"/>
        <xdr:cNvPicPr>
          <a:picLocks noChangeAspect="1" noChangeArrowheads="1"/>
        </xdr:cNvPicPr>
      </xdr:nvPicPr>
      <xdr:blipFill>
        <a:blip xmlns:r="http://schemas.openxmlformats.org/officeDocument/2006/relationships" r:embed="rId1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4" name="Picture 8497" descr="D-1010-02m"/>
        <xdr:cNvPicPr>
          <a:picLocks noChangeAspect="1" noChangeArrowheads="1"/>
        </xdr:cNvPicPr>
      </xdr:nvPicPr>
      <xdr:blipFill>
        <a:blip xmlns:r="http://schemas.openxmlformats.org/officeDocument/2006/relationships" r:embed="rId1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5" name="Picture 8498" descr="D-1114-95m"/>
        <xdr:cNvPicPr>
          <a:picLocks noChangeAspect="1" noChangeArrowheads="1"/>
        </xdr:cNvPicPr>
      </xdr:nvPicPr>
      <xdr:blipFill>
        <a:blip xmlns:r="http://schemas.openxmlformats.org/officeDocument/2006/relationships" r:embed="rId1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6" name="Picture 8499" descr="D-1120-01m"/>
        <xdr:cNvPicPr>
          <a:picLocks noChangeAspect="1" noChangeArrowheads="1"/>
        </xdr:cNvPicPr>
      </xdr:nvPicPr>
      <xdr:blipFill>
        <a:blip xmlns:r="http://schemas.openxmlformats.org/officeDocument/2006/relationships" r:embed="rId1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7" name="Picture 8500" descr="D-1207-01m"/>
        <xdr:cNvPicPr>
          <a:picLocks noChangeAspect="1" noChangeArrowheads="1"/>
        </xdr:cNvPicPr>
      </xdr:nvPicPr>
      <xdr:blipFill>
        <a:blip xmlns:r="http://schemas.openxmlformats.org/officeDocument/2006/relationships" r:embed="rId1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8" name="Picture 8501" descr="D-1227-37m"/>
        <xdr:cNvPicPr>
          <a:picLocks noChangeAspect="1" noChangeArrowheads="1"/>
        </xdr:cNvPicPr>
      </xdr:nvPicPr>
      <xdr:blipFill>
        <a:blip xmlns:r="http://schemas.openxmlformats.org/officeDocument/2006/relationships" r:embed="rId1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09" name="Picture 8502" descr="D-1228-01m"/>
        <xdr:cNvPicPr>
          <a:picLocks noChangeAspect="1" noChangeArrowheads="1"/>
        </xdr:cNvPicPr>
      </xdr:nvPicPr>
      <xdr:blipFill>
        <a:blip xmlns:r="http://schemas.openxmlformats.org/officeDocument/2006/relationships" r:embed="rId1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0" name="Picture 8503" descr="D-1401-02m"/>
        <xdr:cNvPicPr>
          <a:picLocks noChangeAspect="1" noChangeArrowheads="1"/>
        </xdr:cNvPicPr>
      </xdr:nvPicPr>
      <xdr:blipFill>
        <a:blip xmlns:r="http://schemas.openxmlformats.org/officeDocument/2006/relationships" r:embed="rId1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1" name="Picture 8504" descr="D-1408-01m"/>
        <xdr:cNvPicPr>
          <a:picLocks noChangeAspect="1" noChangeArrowheads="1"/>
        </xdr:cNvPicPr>
      </xdr:nvPicPr>
      <xdr:blipFill>
        <a:blip xmlns:r="http://schemas.openxmlformats.org/officeDocument/2006/relationships" r:embed="rId1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2" name="Picture 8505" descr="D-1413-01m"/>
        <xdr:cNvPicPr>
          <a:picLocks noChangeAspect="1" noChangeArrowheads="1"/>
        </xdr:cNvPicPr>
      </xdr:nvPicPr>
      <xdr:blipFill>
        <a:blip xmlns:r="http://schemas.openxmlformats.org/officeDocument/2006/relationships" r:embed="rId1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3" name="Picture 8507" descr="D-1420-01m"/>
        <xdr:cNvPicPr>
          <a:picLocks noChangeAspect="1" noChangeArrowheads="1"/>
        </xdr:cNvPicPr>
      </xdr:nvPicPr>
      <xdr:blipFill>
        <a:blip xmlns:r="http://schemas.openxmlformats.org/officeDocument/2006/relationships" r:embed="rId1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4" name="Picture 8508" descr="D-1421-01m"/>
        <xdr:cNvPicPr>
          <a:picLocks noChangeAspect="1" noChangeArrowheads="1"/>
        </xdr:cNvPicPr>
      </xdr:nvPicPr>
      <xdr:blipFill>
        <a:blip xmlns:r="http://schemas.openxmlformats.org/officeDocument/2006/relationships" r:embed="rId1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5" name="Picture 8509" descr="D-1425-01m"/>
        <xdr:cNvPicPr>
          <a:picLocks noChangeAspect="1" noChangeArrowheads="1"/>
        </xdr:cNvPicPr>
      </xdr:nvPicPr>
      <xdr:blipFill>
        <a:blip xmlns:r="http://schemas.openxmlformats.org/officeDocument/2006/relationships" r:embed="rId1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6" name="Picture 8510" descr="D-1429-02m"/>
        <xdr:cNvPicPr>
          <a:picLocks noChangeAspect="1" noChangeArrowheads="1"/>
        </xdr:cNvPicPr>
      </xdr:nvPicPr>
      <xdr:blipFill>
        <a:blip xmlns:r="http://schemas.openxmlformats.org/officeDocument/2006/relationships" r:embed="rId1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7" name="Picture 8511" descr="D-1434-01"/>
        <xdr:cNvPicPr>
          <a:picLocks noChangeAspect="1" noChangeArrowheads="1"/>
        </xdr:cNvPicPr>
      </xdr:nvPicPr>
      <xdr:blipFill>
        <a:blip xmlns:r="http://schemas.openxmlformats.org/officeDocument/2006/relationships" r:embed="rId1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8" name="Picture 8513" descr="D-1105-01m"/>
        <xdr:cNvPicPr>
          <a:picLocks noChangeAspect="1" noChangeArrowheads="1"/>
        </xdr:cNvPicPr>
      </xdr:nvPicPr>
      <xdr:blipFill>
        <a:blip xmlns:r="http://schemas.openxmlformats.org/officeDocument/2006/relationships" r:embed="rId1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19" name="Picture 8516" descr="D-1440-01m"/>
        <xdr:cNvPicPr>
          <a:picLocks noChangeAspect="1" noChangeArrowheads="1"/>
        </xdr:cNvPicPr>
      </xdr:nvPicPr>
      <xdr:blipFill>
        <a:blip xmlns:r="http://schemas.openxmlformats.org/officeDocument/2006/relationships" r:embed="rId1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0" name="Picture 8517" descr="D-1442-01m"/>
        <xdr:cNvPicPr>
          <a:picLocks noChangeAspect="1" noChangeArrowheads="1"/>
        </xdr:cNvPicPr>
      </xdr:nvPicPr>
      <xdr:blipFill>
        <a:blip xmlns:r="http://schemas.openxmlformats.org/officeDocument/2006/relationships" r:embed="rId1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1" name="Picture 8519" descr="D-1446-19m"/>
        <xdr:cNvPicPr>
          <a:picLocks noChangeAspect="1" noChangeArrowheads="1"/>
        </xdr:cNvPicPr>
      </xdr:nvPicPr>
      <xdr:blipFill>
        <a:blip xmlns:r="http://schemas.openxmlformats.org/officeDocument/2006/relationships" r:embed="rId1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2" name="Picture 8520" descr="D-1448-0130"/>
        <xdr:cNvPicPr>
          <a:picLocks noChangeAspect="1" noChangeArrowheads="1"/>
        </xdr:cNvPicPr>
      </xdr:nvPicPr>
      <xdr:blipFill>
        <a:blip xmlns:r="http://schemas.openxmlformats.org/officeDocument/2006/relationships" r:embed="rId1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3" name="Picture 8521" descr="D-1449-01m"/>
        <xdr:cNvPicPr>
          <a:picLocks noChangeAspect="1" noChangeArrowheads="1"/>
        </xdr:cNvPicPr>
      </xdr:nvPicPr>
      <xdr:blipFill>
        <a:blip xmlns:r="http://schemas.openxmlformats.org/officeDocument/2006/relationships" r:embed="rId1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4" name="Picture 8522" descr="D-1452-01m"/>
        <xdr:cNvPicPr>
          <a:picLocks noChangeAspect="1" noChangeArrowheads="1"/>
        </xdr:cNvPicPr>
      </xdr:nvPicPr>
      <xdr:blipFill>
        <a:blip xmlns:r="http://schemas.openxmlformats.org/officeDocument/2006/relationships" r:embed="rId1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5" name="Picture 8523" descr="D-1456-01m"/>
        <xdr:cNvPicPr>
          <a:picLocks noChangeAspect="1" noChangeArrowheads="1"/>
        </xdr:cNvPicPr>
      </xdr:nvPicPr>
      <xdr:blipFill>
        <a:blip xmlns:r="http://schemas.openxmlformats.org/officeDocument/2006/relationships" r:embed="rId1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6" name="Picture 8524" descr="D-1459-01m"/>
        <xdr:cNvPicPr>
          <a:picLocks noChangeAspect="1" noChangeArrowheads="1"/>
        </xdr:cNvPicPr>
      </xdr:nvPicPr>
      <xdr:blipFill>
        <a:blip xmlns:r="http://schemas.openxmlformats.org/officeDocument/2006/relationships" r:embed="rId1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7" name="Picture 8525" descr="D-1465-01m"/>
        <xdr:cNvPicPr>
          <a:picLocks noChangeAspect="1" noChangeArrowheads="1"/>
        </xdr:cNvPicPr>
      </xdr:nvPicPr>
      <xdr:blipFill>
        <a:blip xmlns:r="http://schemas.openxmlformats.org/officeDocument/2006/relationships" r:embed="rId1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8" name="Picture 8526" descr="D-1467-02m"/>
        <xdr:cNvPicPr>
          <a:picLocks noChangeAspect="1" noChangeArrowheads="1"/>
        </xdr:cNvPicPr>
      </xdr:nvPicPr>
      <xdr:blipFill>
        <a:blip xmlns:r="http://schemas.openxmlformats.org/officeDocument/2006/relationships" r:embed="rId1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29" name="Picture 8527" descr="D-1470-01m"/>
        <xdr:cNvPicPr>
          <a:picLocks noChangeAspect="1" noChangeArrowheads="1"/>
        </xdr:cNvPicPr>
      </xdr:nvPicPr>
      <xdr:blipFill>
        <a:blip xmlns:r="http://schemas.openxmlformats.org/officeDocument/2006/relationships" r:embed="rId1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0" name="Picture 8528" descr="D-1481л-01m"/>
        <xdr:cNvPicPr>
          <a:picLocks noChangeAspect="1" noChangeArrowheads="1"/>
        </xdr:cNvPicPr>
      </xdr:nvPicPr>
      <xdr:blipFill>
        <a:blip xmlns:r="http://schemas.openxmlformats.org/officeDocument/2006/relationships" r:embed="rId1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1" name="Picture 8529" descr="D-1481л-02m"/>
        <xdr:cNvPicPr>
          <a:picLocks noChangeAspect="1" noChangeArrowheads="1"/>
        </xdr:cNvPicPr>
      </xdr:nvPicPr>
      <xdr:blipFill>
        <a:blip xmlns:r="http://schemas.openxmlformats.org/officeDocument/2006/relationships" r:embed="rId1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2" name="Picture 8530" descr="D-1482-01m"/>
        <xdr:cNvPicPr>
          <a:picLocks noChangeAspect="1" noChangeArrowheads="1"/>
        </xdr:cNvPicPr>
      </xdr:nvPicPr>
      <xdr:blipFill>
        <a:blip xmlns:r="http://schemas.openxmlformats.org/officeDocument/2006/relationships" r:embed="rId17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3" name="Picture 8531" descr="D-1483-01m"/>
        <xdr:cNvPicPr>
          <a:picLocks noChangeAspect="1" noChangeArrowheads="1"/>
        </xdr:cNvPicPr>
      </xdr:nvPicPr>
      <xdr:blipFill>
        <a:blip xmlns:r="http://schemas.openxmlformats.org/officeDocument/2006/relationships" r:embed="rId1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4" name="Picture 8532" descr="D-1483-02m"/>
        <xdr:cNvPicPr>
          <a:picLocks noChangeAspect="1" noChangeArrowheads="1"/>
        </xdr:cNvPicPr>
      </xdr:nvPicPr>
      <xdr:blipFill>
        <a:blip xmlns:r="http://schemas.openxmlformats.org/officeDocument/2006/relationships" r:embed="rId1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5" name="Picture 8533" descr="D-1489-01m"/>
        <xdr:cNvPicPr>
          <a:picLocks noChangeAspect="1" noChangeArrowheads="1"/>
        </xdr:cNvPicPr>
      </xdr:nvPicPr>
      <xdr:blipFill>
        <a:blip xmlns:r="http://schemas.openxmlformats.org/officeDocument/2006/relationships" r:embed="rId1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6" name="Picture 8534" descr="D-1490-95m"/>
        <xdr:cNvPicPr>
          <a:picLocks noChangeAspect="1" noChangeArrowheads="1"/>
        </xdr:cNvPicPr>
      </xdr:nvPicPr>
      <xdr:blipFill>
        <a:blip xmlns:r="http://schemas.openxmlformats.org/officeDocument/2006/relationships" r:embed="rId1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7" name="Picture 8535" descr="D-1497-02m"/>
        <xdr:cNvPicPr>
          <a:picLocks noChangeAspect="1" noChangeArrowheads="1"/>
        </xdr:cNvPicPr>
      </xdr:nvPicPr>
      <xdr:blipFill>
        <a:blip xmlns:r="http://schemas.openxmlformats.org/officeDocument/2006/relationships" r:embed="rId1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8" name="Picture 8536" descr="D-1498-15mjpg"/>
        <xdr:cNvPicPr>
          <a:picLocks noChangeAspect="1" noChangeArrowheads="1"/>
        </xdr:cNvPicPr>
      </xdr:nvPicPr>
      <xdr:blipFill>
        <a:blip xmlns:r="http://schemas.openxmlformats.org/officeDocument/2006/relationships" r:embed="rId1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39" name="Picture 8537" descr="D-1499-01m"/>
        <xdr:cNvPicPr>
          <a:picLocks noChangeAspect="1" noChangeArrowheads="1"/>
        </xdr:cNvPicPr>
      </xdr:nvPicPr>
      <xdr:blipFill>
        <a:blip xmlns:r="http://schemas.openxmlformats.org/officeDocument/2006/relationships" r:embed="rId1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0" name="Picture 8538" descr="D-1906-0130m"/>
        <xdr:cNvPicPr>
          <a:picLocks noChangeAspect="1" noChangeArrowheads="1"/>
        </xdr:cNvPicPr>
      </xdr:nvPicPr>
      <xdr:blipFill>
        <a:blip xmlns:r="http://schemas.openxmlformats.org/officeDocument/2006/relationships" r:embed="rId1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1" name="Picture 8539" descr="D-1906-0903m"/>
        <xdr:cNvPicPr>
          <a:picLocks noChangeAspect="1" noChangeArrowheads="1"/>
        </xdr:cNvPicPr>
      </xdr:nvPicPr>
      <xdr:blipFill>
        <a:blip xmlns:r="http://schemas.openxmlformats.org/officeDocument/2006/relationships" r:embed="rId1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2" name="Picture 8540" descr="D-1906-0930m"/>
        <xdr:cNvPicPr>
          <a:picLocks noChangeAspect="1" noChangeArrowheads="1"/>
        </xdr:cNvPicPr>
      </xdr:nvPicPr>
      <xdr:blipFill>
        <a:blip xmlns:r="http://schemas.openxmlformats.org/officeDocument/2006/relationships" r:embed="rId1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3" name="Picture 8541" descr="D-1906-1632m"/>
        <xdr:cNvPicPr>
          <a:picLocks noChangeAspect="1" noChangeArrowheads="1"/>
        </xdr:cNvPicPr>
      </xdr:nvPicPr>
      <xdr:blipFill>
        <a:blip xmlns:r="http://schemas.openxmlformats.org/officeDocument/2006/relationships" r:embed="rId1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4" name="Picture 8542" descr="D-509-01m"/>
        <xdr:cNvPicPr>
          <a:picLocks noChangeAspect="1" noChangeArrowheads="1"/>
        </xdr:cNvPicPr>
      </xdr:nvPicPr>
      <xdr:blipFill>
        <a:blip xmlns:r="http://schemas.openxmlformats.org/officeDocument/2006/relationships" r:embed="rId1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5" name="Picture 8543" descr="D-510-01m"/>
        <xdr:cNvPicPr>
          <a:picLocks noChangeAspect="1" noChangeArrowheads="1"/>
        </xdr:cNvPicPr>
      </xdr:nvPicPr>
      <xdr:blipFill>
        <a:blip xmlns:r="http://schemas.openxmlformats.org/officeDocument/2006/relationships" r:embed="rId1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6" name="Picture 8544" descr="D-540-01m"/>
        <xdr:cNvPicPr>
          <a:picLocks noChangeAspect="1" noChangeArrowheads="1"/>
        </xdr:cNvPicPr>
      </xdr:nvPicPr>
      <xdr:blipFill>
        <a:blip xmlns:r="http://schemas.openxmlformats.org/officeDocument/2006/relationships" r:embed="rId17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7" name="Picture 8545" descr="D-637-01m"/>
        <xdr:cNvPicPr>
          <a:picLocks noChangeAspect="1" noChangeArrowheads="1"/>
        </xdr:cNvPicPr>
      </xdr:nvPicPr>
      <xdr:blipFill>
        <a:blip xmlns:r="http://schemas.openxmlformats.org/officeDocument/2006/relationships" r:embed="rId1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902</xdr:row>
      <xdr:rowOff>0</xdr:rowOff>
    </xdr:to>
    <xdr:pic>
      <xdr:nvPicPr>
        <xdr:cNvPr id="2848" name="Picture 8546" descr="D-639-01m"/>
        <xdr:cNvPicPr>
          <a:picLocks noChangeAspect="1" noChangeArrowheads="1"/>
        </xdr:cNvPicPr>
      </xdr:nvPicPr>
      <xdr:blipFill>
        <a:blip xmlns:r="http://schemas.openxmlformats.org/officeDocument/2006/relationships" r:embed="rId1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508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2</xdr:col>
      <xdr:colOff>0</xdr:colOff>
      <xdr:row>464</xdr:row>
      <xdr:rowOff>0</xdr:rowOff>
    </xdr:to>
    <xdr:pic>
      <xdr:nvPicPr>
        <xdr:cNvPr id="2849" name="Picture 8548" descr="28-3576m">
          <a:hlinkClick xmlns:r="http://schemas.openxmlformats.org/officeDocument/2006/relationships" r:id="rId1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4387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2</xdr:col>
      <xdr:colOff>0</xdr:colOff>
      <xdr:row>675</xdr:row>
      <xdr:rowOff>0</xdr:rowOff>
    </xdr:to>
    <xdr:pic>
      <xdr:nvPicPr>
        <xdr:cNvPr id="2850" name="Picture 3320" descr="14-1530m">
          <a:hlinkClick xmlns:r="http://schemas.openxmlformats.org/officeDocument/2006/relationships" r:id="rId1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22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447</xdr:row>
      <xdr:rowOff>0</xdr:rowOff>
    </xdr:to>
    <xdr:pic>
      <xdr:nvPicPr>
        <xdr:cNvPr id="2851" name="Picture 4004" descr="14-1530m">
          <a:hlinkClick xmlns:r="http://schemas.openxmlformats.org/officeDocument/2006/relationships" r:id="rId17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856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pic>
      <xdr:nvPicPr>
        <xdr:cNvPr id="2852" name="Picture 3908" descr="14-2605m">
          <a:hlinkClick xmlns:r="http://schemas.openxmlformats.org/officeDocument/2006/relationships" r:id="rId1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737</xdr:row>
      <xdr:rowOff>0</xdr:rowOff>
    </xdr:from>
    <xdr:to>
      <xdr:col>17</xdr:col>
      <xdr:colOff>9525</xdr:colOff>
      <xdr:row>737</xdr:row>
      <xdr:rowOff>161925</xdr:rowOff>
    </xdr:to>
    <xdr:pic>
      <xdr:nvPicPr>
        <xdr:cNvPr id="2853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800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737</xdr:row>
      <xdr:rowOff>0</xdr:rowOff>
    </xdr:from>
    <xdr:to>
      <xdr:col>17</xdr:col>
      <xdr:colOff>409575</xdr:colOff>
      <xdr:row>737</xdr:row>
      <xdr:rowOff>161925</xdr:rowOff>
    </xdr:to>
    <xdr:pic>
      <xdr:nvPicPr>
        <xdr:cNvPr id="2854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800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737</xdr:row>
      <xdr:rowOff>0</xdr:rowOff>
    </xdr:from>
    <xdr:to>
      <xdr:col>19</xdr:col>
      <xdr:colOff>19050</xdr:colOff>
      <xdr:row>737</xdr:row>
      <xdr:rowOff>161925</xdr:rowOff>
    </xdr:to>
    <xdr:pic>
      <xdr:nvPicPr>
        <xdr:cNvPr id="2855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800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737</xdr:row>
      <xdr:rowOff>0</xdr:rowOff>
    </xdr:from>
    <xdr:to>
      <xdr:col>19</xdr:col>
      <xdr:colOff>409575</xdr:colOff>
      <xdr:row>737</xdr:row>
      <xdr:rowOff>161925</xdr:rowOff>
    </xdr:to>
    <xdr:pic>
      <xdr:nvPicPr>
        <xdr:cNvPr id="2856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8006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2</xdr:col>
      <xdr:colOff>9525</xdr:colOff>
      <xdr:row>264</xdr:row>
      <xdr:rowOff>9525</xdr:rowOff>
    </xdr:to>
    <xdr:pic>
      <xdr:nvPicPr>
        <xdr:cNvPr id="2857" name="Picture 4078" descr="14-1572m">
          <a:hlinkClick xmlns:r="http://schemas.openxmlformats.org/officeDocument/2006/relationships" r:id="rId1023"/>
        </xdr:cNvPr>
        <xdr:cNvPicPr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590125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736</xdr:row>
      <xdr:rowOff>9525</xdr:rowOff>
    </xdr:from>
    <xdr:to>
      <xdr:col>2</xdr:col>
      <xdr:colOff>9525</xdr:colOff>
      <xdr:row>737</xdr:row>
      <xdr:rowOff>9525</xdr:rowOff>
    </xdr:to>
    <xdr:pic>
      <xdr:nvPicPr>
        <xdr:cNvPr id="2858" name="Picture 4078" descr="14-1572m">
          <a:hlinkClick xmlns:r="http://schemas.openxmlformats.org/officeDocument/2006/relationships" r:id="rId1023"/>
        </xdr:cNvPr>
        <xdr:cNvPicPr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72537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736</xdr:row>
      <xdr:rowOff>9525</xdr:rowOff>
    </xdr:from>
    <xdr:to>
      <xdr:col>2</xdr:col>
      <xdr:colOff>9525</xdr:colOff>
      <xdr:row>737</xdr:row>
      <xdr:rowOff>9525</xdr:rowOff>
    </xdr:to>
    <xdr:pic>
      <xdr:nvPicPr>
        <xdr:cNvPr id="2859" name="Picture 4078" descr="14-1572m">
          <a:hlinkClick xmlns:r="http://schemas.openxmlformats.org/officeDocument/2006/relationships" r:id="rId1741"/>
        </xdr:cNvPr>
        <xdr:cNvPicPr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72537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736</xdr:row>
      <xdr:rowOff>0</xdr:rowOff>
    </xdr:from>
    <xdr:to>
      <xdr:col>17</xdr:col>
      <xdr:colOff>9525</xdr:colOff>
      <xdr:row>736</xdr:row>
      <xdr:rowOff>161925</xdr:rowOff>
    </xdr:to>
    <xdr:pic>
      <xdr:nvPicPr>
        <xdr:cNvPr id="2860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724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736</xdr:row>
      <xdr:rowOff>0</xdr:rowOff>
    </xdr:from>
    <xdr:to>
      <xdr:col>17</xdr:col>
      <xdr:colOff>409575</xdr:colOff>
      <xdr:row>736</xdr:row>
      <xdr:rowOff>161925</xdr:rowOff>
    </xdr:to>
    <xdr:pic>
      <xdr:nvPicPr>
        <xdr:cNvPr id="2861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724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736</xdr:row>
      <xdr:rowOff>0</xdr:rowOff>
    </xdr:from>
    <xdr:to>
      <xdr:col>19</xdr:col>
      <xdr:colOff>19050</xdr:colOff>
      <xdr:row>736</xdr:row>
      <xdr:rowOff>161925</xdr:rowOff>
    </xdr:to>
    <xdr:pic>
      <xdr:nvPicPr>
        <xdr:cNvPr id="2862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724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736</xdr:row>
      <xdr:rowOff>0</xdr:rowOff>
    </xdr:from>
    <xdr:to>
      <xdr:col>19</xdr:col>
      <xdr:colOff>409575</xdr:colOff>
      <xdr:row>736</xdr:row>
      <xdr:rowOff>161925</xdr:rowOff>
    </xdr:to>
    <xdr:pic>
      <xdr:nvPicPr>
        <xdr:cNvPr id="2863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724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2864" name="Picture 8565" descr="14-1624m">
          <a:hlinkClick xmlns:r="http://schemas.openxmlformats.org/officeDocument/2006/relationships" r:id="rId1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2</xdr:col>
      <xdr:colOff>0</xdr:colOff>
      <xdr:row>738</xdr:row>
      <xdr:rowOff>0</xdr:rowOff>
    </xdr:to>
    <xdr:pic>
      <xdr:nvPicPr>
        <xdr:cNvPr id="2865" name="Picture 8567" descr="14-1624-Km">
          <a:hlinkClick xmlns:r="http://schemas.openxmlformats.org/officeDocument/2006/relationships" r:id="rId1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800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374</xdr:row>
      <xdr:rowOff>0</xdr:rowOff>
    </xdr:to>
    <xdr:pic>
      <xdr:nvPicPr>
        <xdr:cNvPr id="2866" name="Picture 8569" descr="14-5539-Km">
          <a:hlinkClick xmlns:r="http://schemas.openxmlformats.org/officeDocument/2006/relationships" r:id="rId1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2</xdr:col>
      <xdr:colOff>0</xdr:colOff>
      <xdr:row>741</xdr:row>
      <xdr:rowOff>0</xdr:rowOff>
    </xdr:to>
    <xdr:pic>
      <xdr:nvPicPr>
        <xdr:cNvPr id="2867" name="Picture 8570" descr="14-5539-Km">
          <a:hlinkClick xmlns:r="http://schemas.openxmlformats.org/officeDocument/2006/relationships" r:id="rId1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029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2</xdr:col>
      <xdr:colOff>9525</xdr:colOff>
      <xdr:row>433</xdr:row>
      <xdr:rowOff>9525</xdr:rowOff>
    </xdr:to>
    <xdr:pic>
      <xdr:nvPicPr>
        <xdr:cNvPr id="2868" name="Picture 4078" descr="14-1572m">
          <a:hlinkClick xmlns:r="http://schemas.openxmlformats.org/officeDocument/2006/relationships" r:id="rId1749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1709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453</xdr:row>
      <xdr:rowOff>0</xdr:rowOff>
    </xdr:from>
    <xdr:to>
      <xdr:col>2</xdr:col>
      <xdr:colOff>0</xdr:colOff>
      <xdr:row>454</xdr:row>
      <xdr:rowOff>0</xdr:rowOff>
    </xdr:to>
    <xdr:pic>
      <xdr:nvPicPr>
        <xdr:cNvPr id="2869" name="Picture 3946" descr="14-938m">
          <a:hlinkClick xmlns:r="http://schemas.openxmlformats.org/officeDocument/2006/relationships" r:id="rId1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237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648</xdr:row>
      <xdr:rowOff>0</xdr:rowOff>
    </xdr:from>
    <xdr:to>
      <xdr:col>2</xdr:col>
      <xdr:colOff>0</xdr:colOff>
      <xdr:row>649</xdr:row>
      <xdr:rowOff>0</xdr:rowOff>
    </xdr:to>
    <xdr:pic>
      <xdr:nvPicPr>
        <xdr:cNvPr id="2870" name="Picture 8579" descr="14-1624m">
          <a:hlinkClick xmlns:r="http://schemas.openxmlformats.org/officeDocument/2006/relationships" r:id="rId17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412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2</xdr:col>
      <xdr:colOff>0</xdr:colOff>
      <xdr:row>698</xdr:row>
      <xdr:rowOff>0</xdr:rowOff>
    </xdr:to>
    <xdr:pic>
      <xdr:nvPicPr>
        <xdr:cNvPr id="2871" name="Picture 3946" descr="14-938m">
          <a:hlinkClick xmlns:r="http://schemas.openxmlformats.org/officeDocument/2006/relationships" r:id="rId175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784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2872" name="Picture 3946" descr="14-938m">
          <a:hlinkClick xmlns:r="http://schemas.openxmlformats.org/officeDocument/2006/relationships" r:id="rId17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825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734</xdr:row>
      <xdr:rowOff>0</xdr:rowOff>
    </xdr:from>
    <xdr:to>
      <xdr:col>17</xdr:col>
      <xdr:colOff>9525</xdr:colOff>
      <xdr:row>734</xdr:row>
      <xdr:rowOff>161925</xdr:rowOff>
    </xdr:to>
    <xdr:pic>
      <xdr:nvPicPr>
        <xdr:cNvPr id="2873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734</xdr:row>
      <xdr:rowOff>0</xdr:rowOff>
    </xdr:from>
    <xdr:to>
      <xdr:col>17</xdr:col>
      <xdr:colOff>409575</xdr:colOff>
      <xdr:row>734</xdr:row>
      <xdr:rowOff>161925</xdr:rowOff>
    </xdr:to>
    <xdr:pic>
      <xdr:nvPicPr>
        <xdr:cNvPr id="2874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734</xdr:row>
      <xdr:rowOff>0</xdr:rowOff>
    </xdr:from>
    <xdr:to>
      <xdr:col>19</xdr:col>
      <xdr:colOff>19050</xdr:colOff>
      <xdr:row>734</xdr:row>
      <xdr:rowOff>161925</xdr:rowOff>
    </xdr:to>
    <xdr:pic>
      <xdr:nvPicPr>
        <xdr:cNvPr id="2875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734</xdr:row>
      <xdr:rowOff>0</xdr:rowOff>
    </xdr:from>
    <xdr:to>
      <xdr:col>19</xdr:col>
      <xdr:colOff>409575</xdr:colOff>
      <xdr:row>734</xdr:row>
      <xdr:rowOff>161925</xdr:rowOff>
    </xdr:to>
    <xdr:pic>
      <xdr:nvPicPr>
        <xdr:cNvPr id="2876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7244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2</xdr:col>
      <xdr:colOff>0</xdr:colOff>
      <xdr:row>735</xdr:row>
      <xdr:rowOff>0</xdr:rowOff>
    </xdr:to>
    <xdr:pic>
      <xdr:nvPicPr>
        <xdr:cNvPr id="2877" name="Picture 3442" descr="14-1559m">
          <a:hlinkClick xmlns:r="http://schemas.openxmlformats.org/officeDocument/2006/relationships" r:id="rId8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7244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476</xdr:row>
      <xdr:rowOff>0</xdr:rowOff>
    </xdr:to>
    <xdr:pic>
      <xdr:nvPicPr>
        <xdr:cNvPr id="2878" name="Picture 8591" descr="14-2615m">
          <a:hlinkClick xmlns:r="http://schemas.openxmlformats.org/officeDocument/2006/relationships" r:id="rId1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6673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2</xdr:col>
      <xdr:colOff>19050</xdr:colOff>
      <xdr:row>423</xdr:row>
      <xdr:rowOff>0</xdr:rowOff>
    </xdr:to>
    <xdr:pic>
      <xdr:nvPicPr>
        <xdr:cNvPr id="2879" name="Picture 3648" descr="14-1583m">
          <a:hlinkClick xmlns:r="http://schemas.openxmlformats.org/officeDocument/2006/relationships" r:id="rId17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4236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643</xdr:row>
      <xdr:rowOff>0</xdr:rowOff>
    </xdr:from>
    <xdr:to>
      <xdr:col>2</xdr:col>
      <xdr:colOff>19050</xdr:colOff>
      <xdr:row>644</xdr:row>
      <xdr:rowOff>0</xdr:rowOff>
    </xdr:to>
    <xdr:pic>
      <xdr:nvPicPr>
        <xdr:cNvPr id="2880" name="Picture 3648" descr="14-1583m">
          <a:hlinkClick xmlns:r="http://schemas.openxmlformats.org/officeDocument/2006/relationships" r:id="rId1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10790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732</xdr:row>
      <xdr:rowOff>0</xdr:rowOff>
    </xdr:from>
    <xdr:to>
      <xdr:col>2</xdr:col>
      <xdr:colOff>0</xdr:colOff>
      <xdr:row>733</xdr:row>
      <xdr:rowOff>0</xdr:rowOff>
    </xdr:to>
    <xdr:pic>
      <xdr:nvPicPr>
        <xdr:cNvPr id="2881" name="Picture 3927" descr="14-136m">
          <a:hlinkClick xmlns:r="http://schemas.openxmlformats.org/officeDocument/2006/relationships" r:id="rId17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48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732</xdr:row>
      <xdr:rowOff>0</xdr:rowOff>
    </xdr:from>
    <xdr:to>
      <xdr:col>17</xdr:col>
      <xdr:colOff>9525</xdr:colOff>
      <xdr:row>732</xdr:row>
      <xdr:rowOff>161925</xdr:rowOff>
    </xdr:to>
    <xdr:pic>
      <xdr:nvPicPr>
        <xdr:cNvPr id="2882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732</xdr:row>
      <xdr:rowOff>0</xdr:rowOff>
    </xdr:from>
    <xdr:to>
      <xdr:col>17</xdr:col>
      <xdr:colOff>409575</xdr:colOff>
      <xdr:row>732</xdr:row>
      <xdr:rowOff>161925</xdr:rowOff>
    </xdr:to>
    <xdr:pic>
      <xdr:nvPicPr>
        <xdr:cNvPr id="2883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732</xdr:row>
      <xdr:rowOff>0</xdr:rowOff>
    </xdr:from>
    <xdr:to>
      <xdr:col>19</xdr:col>
      <xdr:colOff>19050</xdr:colOff>
      <xdr:row>732</xdr:row>
      <xdr:rowOff>161925</xdr:rowOff>
    </xdr:to>
    <xdr:pic>
      <xdr:nvPicPr>
        <xdr:cNvPr id="2884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732</xdr:row>
      <xdr:rowOff>0</xdr:rowOff>
    </xdr:from>
    <xdr:to>
      <xdr:col>19</xdr:col>
      <xdr:colOff>409575</xdr:colOff>
      <xdr:row>732</xdr:row>
      <xdr:rowOff>161925</xdr:rowOff>
    </xdr:to>
    <xdr:pic>
      <xdr:nvPicPr>
        <xdr:cNvPr id="2885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1288</xdr:row>
      <xdr:rowOff>0</xdr:rowOff>
    </xdr:from>
    <xdr:to>
      <xdr:col>2</xdr:col>
      <xdr:colOff>0</xdr:colOff>
      <xdr:row>1289</xdr:row>
      <xdr:rowOff>0</xdr:rowOff>
    </xdr:to>
    <xdr:pic>
      <xdr:nvPicPr>
        <xdr:cNvPr id="2886" name="Picture 8601" descr="T-TS-076m">
          <a:hlinkClick xmlns:r="http://schemas.openxmlformats.org/officeDocument/2006/relationships" r:id="rId1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431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623</xdr:row>
      <xdr:rowOff>0</xdr:rowOff>
    </xdr:from>
    <xdr:to>
      <xdr:col>2</xdr:col>
      <xdr:colOff>904875</xdr:colOff>
      <xdr:row>623</xdr:row>
      <xdr:rowOff>0</xdr:rowOff>
    </xdr:to>
    <xdr:pic>
      <xdr:nvPicPr>
        <xdr:cNvPr id="288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41935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2888" name="Picture 8606" descr="14-1617m">
          <a:hlinkClick xmlns:r="http://schemas.openxmlformats.org/officeDocument/2006/relationships" r:id="rId1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623</xdr:row>
      <xdr:rowOff>0</xdr:rowOff>
    </xdr:to>
    <xdr:pic>
      <xdr:nvPicPr>
        <xdr:cNvPr id="2889" name="Picture 8608" descr="14-1617m">
          <a:hlinkClick xmlns:r="http://schemas.openxmlformats.org/officeDocument/2006/relationships" r:id="rId1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1935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2</xdr:col>
      <xdr:colOff>0</xdr:colOff>
      <xdr:row>751</xdr:row>
      <xdr:rowOff>0</xdr:rowOff>
    </xdr:to>
    <xdr:pic>
      <xdr:nvPicPr>
        <xdr:cNvPr id="2890" name="Picture 8609" descr="14-1617m">
          <a:hlinkClick xmlns:r="http://schemas.openxmlformats.org/officeDocument/2006/relationships" r:id="rId17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715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2</xdr:col>
      <xdr:colOff>0</xdr:colOff>
      <xdr:row>647</xdr:row>
      <xdr:rowOff>0</xdr:rowOff>
    </xdr:to>
    <xdr:pic>
      <xdr:nvPicPr>
        <xdr:cNvPr id="2891" name="Picture 4094" descr="14-1621m">
          <a:hlinkClick xmlns:r="http://schemas.openxmlformats.org/officeDocument/2006/relationships" r:id="rId1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60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2</xdr:col>
      <xdr:colOff>0</xdr:colOff>
      <xdr:row>434</xdr:row>
      <xdr:rowOff>0</xdr:rowOff>
    </xdr:to>
    <xdr:pic>
      <xdr:nvPicPr>
        <xdr:cNvPr id="2892" name="Picture 4094" descr="14-1621m">
          <a:hlinkClick xmlns:r="http://schemas.openxmlformats.org/officeDocument/2006/relationships" r:id="rId17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709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433</xdr:row>
      <xdr:rowOff>28575</xdr:rowOff>
    </xdr:from>
    <xdr:to>
      <xdr:col>2</xdr:col>
      <xdr:colOff>904875</xdr:colOff>
      <xdr:row>433</xdr:row>
      <xdr:rowOff>142875</xdr:rowOff>
    </xdr:to>
    <xdr:pic>
      <xdr:nvPicPr>
        <xdr:cNvPr id="289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91709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19050</xdr:colOff>
      <xdr:row>200</xdr:row>
      <xdr:rowOff>0</xdr:rowOff>
    </xdr:to>
    <xdr:pic>
      <xdr:nvPicPr>
        <xdr:cNvPr id="2894" name="Picture 3614" descr="28-5578m">
          <a:hlinkClick xmlns:r="http://schemas.openxmlformats.org/officeDocument/2006/relationships" r:id="rId1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2158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655</xdr:row>
      <xdr:rowOff>0</xdr:rowOff>
    </xdr:to>
    <xdr:pic>
      <xdr:nvPicPr>
        <xdr:cNvPr id="2895" name="Picture 3315" descr="14-227m">
          <a:hlinkClick xmlns:r="http://schemas.openxmlformats.org/officeDocument/2006/relationships" r:id="rId17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641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419</xdr:row>
      <xdr:rowOff>0</xdr:rowOff>
    </xdr:to>
    <xdr:pic>
      <xdr:nvPicPr>
        <xdr:cNvPr id="2896" name="Picture 3356" descr="34-1540m">
          <a:hlinkClick xmlns:r="http://schemas.openxmlformats.org/officeDocument/2006/relationships" r:id="rId1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8661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730</xdr:row>
      <xdr:rowOff>0</xdr:rowOff>
    </xdr:from>
    <xdr:to>
      <xdr:col>2</xdr:col>
      <xdr:colOff>0</xdr:colOff>
      <xdr:row>731</xdr:row>
      <xdr:rowOff>0</xdr:rowOff>
    </xdr:to>
    <xdr:pic>
      <xdr:nvPicPr>
        <xdr:cNvPr id="2897" name="Picture 3920" descr="14-119m">
          <a:hlinkClick xmlns:r="http://schemas.openxmlformats.org/officeDocument/2006/relationships" r:id="rId1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48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730</xdr:row>
      <xdr:rowOff>0</xdr:rowOff>
    </xdr:from>
    <xdr:to>
      <xdr:col>17</xdr:col>
      <xdr:colOff>9525</xdr:colOff>
      <xdr:row>730</xdr:row>
      <xdr:rowOff>161925</xdr:rowOff>
    </xdr:to>
    <xdr:pic>
      <xdr:nvPicPr>
        <xdr:cNvPr id="2898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730</xdr:row>
      <xdr:rowOff>0</xdr:rowOff>
    </xdr:from>
    <xdr:to>
      <xdr:col>17</xdr:col>
      <xdr:colOff>409575</xdr:colOff>
      <xdr:row>730</xdr:row>
      <xdr:rowOff>161925</xdr:rowOff>
    </xdr:to>
    <xdr:pic>
      <xdr:nvPicPr>
        <xdr:cNvPr id="2899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730</xdr:row>
      <xdr:rowOff>0</xdr:rowOff>
    </xdr:from>
    <xdr:to>
      <xdr:col>19</xdr:col>
      <xdr:colOff>19050</xdr:colOff>
      <xdr:row>730</xdr:row>
      <xdr:rowOff>161925</xdr:rowOff>
    </xdr:to>
    <xdr:pic>
      <xdr:nvPicPr>
        <xdr:cNvPr id="2900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730</xdr:row>
      <xdr:rowOff>0</xdr:rowOff>
    </xdr:from>
    <xdr:to>
      <xdr:col>19</xdr:col>
      <xdr:colOff>409575</xdr:colOff>
      <xdr:row>730</xdr:row>
      <xdr:rowOff>161925</xdr:rowOff>
    </xdr:to>
    <xdr:pic>
      <xdr:nvPicPr>
        <xdr:cNvPr id="2901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2</xdr:col>
      <xdr:colOff>0</xdr:colOff>
      <xdr:row>653</xdr:row>
      <xdr:rowOff>0</xdr:rowOff>
    </xdr:to>
    <xdr:pic>
      <xdr:nvPicPr>
        <xdr:cNvPr id="2902" name="Picture 3920" descr="14-119m">
          <a:hlinkClick xmlns:r="http://schemas.openxmlformats.org/officeDocument/2006/relationships" r:id="rId17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5651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427</xdr:row>
      <xdr:rowOff>0</xdr:rowOff>
    </xdr:from>
    <xdr:to>
      <xdr:col>2</xdr:col>
      <xdr:colOff>0</xdr:colOff>
      <xdr:row>428</xdr:row>
      <xdr:rowOff>0</xdr:rowOff>
    </xdr:to>
    <xdr:pic>
      <xdr:nvPicPr>
        <xdr:cNvPr id="2903" name="Picture 3920" descr="14-119m">
          <a:hlinkClick xmlns:r="http://schemas.openxmlformats.org/officeDocument/2006/relationships" r:id="rId1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18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432</xdr:row>
      <xdr:rowOff>28575</xdr:rowOff>
    </xdr:from>
    <xdr:to>
      <xdr:col>2</xdr:col>
      <xdr:colOff>904875</xdr:colOff>
      <xdr:row>432</xdr:row>
      <xdr:rowOff>142875</xdr:rowOff>
    </xdr:to>
    <xdr:pic>
      <xdr:nvPicPr>
        <xdr:cNvPr id="290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91709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2</xdr:col>
      <xdr:colOff>0</xdr:colOff>
      <xdr:row>574</xdr:row>
      <xdr:rowOff>28575</xdr:rowOff>
    </xdr:to>
    <xdr:pic>
      <xdr:nvPicPr>
        <xdr:cNvPr id="2905" name="Picture 8627" descr="34-5539m">
          <a:hlinkClick xmlns:r="http://schemas.openxmlformats.org/officeDocument/2006/relationships" r:id="rId1771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713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738</xdr:row>
      <xdr:rowOff>0</xdr:rowOff>
    </xdr:from>
    <xdr:to>
      <xdr:col>17</xdr:col>
      <xdr:colOff>9525</xdr:colOff>
      <xdr:row>738</xdr:row>
      <xdr:rowOff>161925</xdr:rowOff>
    </xdr:to>
    <xdr:pic>
      <xdr:nvPicPr>
        <xdr:cNvPr id="2906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876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738</xdr:row>
      <xdr:rowOff>0</xdr:rowOff>
    </xdr:from>
    <xdr:to>
      <xdr:col>17</xdr:col>
      <xdr:colOff>409575</xdr:colOff>
      <xdr:row>738</xdr:row>
      <xdr:rowOff>161925</xdr:rowOff>
    </xdr:to>
    <xdr:pic>
      <xdr:nvPicPr>
        <xdr:cNvPr id="2907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876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738</xdr:row>
      <xdr:rowOff>0</xdr:rowOff>
    </xdr:from>
    <xdr:to>
      <xdr:col>19</xdr:col>
      <xdr:colOff>19050</xdr:colOff>
      <xdr:row>738</xdr:row>
      <xdr:rowOff>161925</xdr:rowOff>
    </xdr:to>
    <xdr:pic>
      <xdr:nvPicPr>
        <xdr:cNvPr id="2908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876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738</xdr:row>
      <xdr:rowOff>0</xdr:rowOff>
    </xdr:from>
    <xdr:to>
      <xdr:col>19</xdr:col>
      <xdr:colOff>409575</xdr:colOff>
      <xdr:row>738</xdr:row>
      <xdr:rowOff>161925</xdr:rowOff>
    </xdr:to>
    <xdr:pic>
      <xdr:nvPicPr>
        <xdr:cNvPr id="2909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876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1142</xdr:row>
      <xdr:rowOff>0</xdr:rowOff>
    </xdr:from>
    <xdr:to>
      <xdr:col>2</xdr:col>
      <xdr:colOff>0</xdr:colOff>
      <xdr:row>1143</xdr:row>
      <xdr:rowOff>0</xdr:rowOff>
    </xdr:to>
    <xdr:pic>
      <xdr:nvPicPr>
        <xdr:cNvPr id="2910" name="Picture 8632" descr="T-TS-076m">
          <a:hlinkClick xmlns:r="http://schemas.openxmlformats.org/officeDocument/2006/relationships" r:id="rId17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430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2</xdr:col>
      <xdr:colOff>0</xdr:colOff>
      <xdr:row>732</xdr:row>
      <xdr:rowOff>0</xdr:rowOff>
    </xdr:to>
    <xdr:pic>
      <xdr:nvPicPr>
        <xdr:cNvPr id="2911" name="Picture 3921" descr="14-121m">
          <a:hlinkClick xmlns:r="http://schemas.openxmlformats.org/officeDocument/2006/relationships" r:id="rId1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482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731</xdr:row>
      <xdr:rowOff>0</xdr:rowOff>
    </xdr:from>
    <xdr:to>
      <xdr:col>17</xdr:col>
      <xdr:colOff>9525</xdr:colOff>
      <xdr:row>731</xdr:row>
      <xdr:rowOff>161925</xdr:rowOff>
    </xdr:to>
    <xdr:pic>
      <xdr:nvPicPr>
        <xdr:cNvPr id="2912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731</xdr:row>
      <xdr:rowOff>0</xdr:rowOff>
    </xdr:from>
    <xdr:to>
      <xdr:col>17</xdr:col>
      <xdr:colOff>409575</xdr:colOff>
      <xdr:row>731</xdr:row>
      <xdr:rowOff>161925</xdr:rowOff>
    </xdr:to>
    <xdr:pic>
      <xdr:nvPicPr>
        <xdr:cNvPr id="2913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731</xdr:row>
      <xdr:rowOff>0</xdr:rowOff>
    </xdr:from>
    <xdr:to>
      <xdr:col>19</xdr:col>
      <xdr:colOff>19050</xdr:colOff>
      <xdr:row>731</xdr:row>
      <xdr:rowOff>161925</xdr:rowOff>
    </xdr:to>
    <xdr:pic>
      <xdr:nvPicPr>
        <xdr:cNvPr id="2914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731</xdr:row>
      <xdr:rowOff>0</xdr:rowOff>
    </xdr:from>
    <xdr:to>
      <xdr:col>19</xdr:col>
      <xdr:colOff>409575</xdr:colOff>
      <xdr:row>731</xdr:row>
      <xdr:rowOff>161925</xdr:rowOff>
    </xdr:to>
    <xdr:pic>
      <xdr:nvPicPr>
        <xdr:cNvPr id="2915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6482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2</xdr:col>
      <xdr:colOff>0</xdr:colOff>
      <xdr:row>739</xdr:row>
      <xdr:rowOff>0</xdr:rowOff>
    </xdr:to>
    <xdr:pic>
      <xdr:nvPicPr>
        <xdr:cNvPr id="2916" name="Picture 8639" descr="36-9625-km">
          <a:hlinkClick xmlns:r="http://schemas.openxmlformats.org/officeDocument/2006/relationships" r:id="rId17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876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2</xdr:col>
      <xdr:colOff>0</xdr:colOff>
      <xdr:row>615</xdr:row>
      <xdr:rowOff>0</xdr:rowOff>
    </xdr:to>
    <xdr:pic>
      <xdr:nvPicPr>
        <xdr:cNvPr id="2917" name="Picture 8640" descr="36-9625-km">
          <a:hlinkClick xmlns:r="http://schemas.openxmlformats.org/officeDocument/2006/relationships" r:id="rId17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5077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2918" name="Picture 8642" descr="36-9625-km">
          <a:hlinkClick xmlns:r="http://schemas.openxmlformats.org/officeDocument/2006/relationships" r:id="rId1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0985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727</xdr:row>
      <xdr:rowOff>0</xdr:rowOff>
    </xdr:from>
    <xdr:to>
      <xdr:col>17</xdr:col>
      <xdr:colOff>9525</xdr:colOff>
      <xdr:row>727</xdr:row>
      <xdr:rowOff>161925</xdr:rowOff>
    </xdr:to>
    <xdr:pic>
      <xdr:nvPicPr>
        <xdr:cNvPr id="2919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4958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727</xdr:row>
      <xdr:rowOff>0</xdr:rowOff>
    </xdr:from>
    <xdr:to>
      <xdr:col>17</xdr:col>
      <xdr:colOff>409575</xdr:colOff>
      <xdr:row>727</xdr:row>
      <xdr:rowOff>161925</xdr:rowOff>
    </xdr:to>
    <xdr:pic>
      <xdr:nvPicPr>
        <xdr:cNvPr id="2920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4958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727</xdr:row>
      <xdr:rowOff>0</xdr:rowOff>
    </xdr:from>
    <xdr:to>
      <xdr:col>19</xdr:col>
      <xdr:colOff>19050</xdr:colOff>
      <xdr:row>727</xdr:row>
      <xdr:rowOff>161925</xdr:rowOff>
    </xdr:to>
    <xdr:pic>
      <xdr:nvPicPr>
        <xdr:cNvPr id="2921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4958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727</xdr:row>
      <xdr:rowOff>0</xdr:rowOff>
    </xdr:from>
    <xdr:to>
      <xdr:col>19</xdr:col>
      <xdr:colOff>409575</xdr:colOff>
      <xdr:row>727</xdr:row>
      <xdr:rowOff>161925</xdr:rowOff>
    </xdr:to>
    <xdr:pic>
      <xdr:nvPicPr>
        <xdr:cNvPr id="2922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495817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2923" name="Picture 21372" descr="14-1505-1m">
          <a:hlinkClick xmlns:r="http://schemas.openxmlformats.org/officeDocument/2006/relationships" r:id="rId17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947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428</xdr:row>
      <xdr:rowOff>28575</xdr:rowOff>
    </xdr:from>
    <xdr:to>
      <xdr:col>2</xdr:col>
      <xdr:colOff>904875</xdr:colOff>
      <xdr:row>428</xdr:row>
      <xdr:rowOff>142875</xdr:rowOff>
    </xdr:to>
    <xdr:pic>
      <xdr:nvPicPr>
        <xdr:cNvPr id="292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90947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2</xdr:col>
      <xdr:colOff>0</xdr:colOff>
      <xdr:row>729</xdr:row>
      <xdr:rowOff>0</xdr:rowOff>
    </xdr:to>
    <xdr:pic>
      <xdr:nvPicPr>
        <xdr:cNvPr id="2925" name="Picture 21372" descr="14-1505-1m">
          <a:hlinkClick xmlns:r="http://schemas.openxmlformats.org/officeDocument/2006/relationships" r:id="rId1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495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0</xdr:colOff>
      <xdr:row>728</xdr:row>
      <xdr:rowOff>0</xdr:rowOff>
    </xdr:from>
    <xdr:to>
      <xdr:col>17</xdr:col>
      <xdr:colOff>9525</xdr:colOff>
      <xdr:row>728</xdr:row>
      <xdr:rowOff>161925</xdr:rowOff>
    </xdr:to>
    <xdr:pic>
      <xdr:nvPicPr>
        <xdr:cNvPr id="2926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495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728</xdr:row>
      <xdr:rowOff>0</xdr:rowOff>
    </xdr:from>
    <xdr:to>
      <xdr:col>17</xdr:col>
      <xdr:colOff>409575</xdr:colOff>
      <xdr:row>728</xdr:row>
      <xdr:rowOff>161925</xdr:rowOff>
    </xdr:to>
    <xdr:pic>
      <xdr:nvPicPr>
        <xdr:cNvPr id="2927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495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728</xdr:row>
      <xdr:rowOff>0</xdr:rowOff>
    </xdr:from>
    <xdr:to>
      <xdr:col>19</xdr:col>
      <xdr:colOff>19050</xdr:colOff>
      <xdr:row>728</xdr:row>
      <xdr:rowOff>161925</xdr:rowOff>
    </xdr:to>
    <xdr:pic>
      <xdr:nvPicPr>
        <xdr:cNvPr id="2928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495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728</xdr:row>
      <xdr:rowOff>0</xdr:rowOff>
    </xdr:from>
    <xdr:to>
      <xdr:col>19</xdr:col>
      <xdr:colOff>409575</xdr:colOff>
      <xdr:row>728</xdr:row>
      <xdr:rowOff>161925</xdr:rowOff>
    </xdr:to>
    <xdr:pic>
      <xdr:nvPicPr>
        <xdr:cNvPr id="2929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4958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930" name="Picture 8656" descr="14-1626m">
          <a:hlinkClick xmlns:r="http://schemas.openxmlformats.org/officeDocument/2006/relationships" r:id="rId1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16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2</xdr:col>
      <xdr:colOff>0</xdr:colOff>
      <xdr:row>728</xdr:row>
      <xdr:rowOff>0</xdr:rowOff>
    </xdr:to>
    <xdr:pic>
      <xdr:nvPicPr>
        <xdr:cNvPr id="2931" name="Picture 8658" descr="14-5530-Km">
          <a:hlinkClick xmlns:r="http://schemas.openxmlformats.org/officeDocument/2006/relationships" r:id="rId1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4958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2932" name="Picture 8660" descr="14-3625m">
          <a:hlinkClick xmlns:r="http://schemas.openxmlformats.org/officeDocument/2006/relationships" r:id="rId17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673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2</xdr:col>
      <xdr:colOff>0</xdr:colOff>
      <xdr:row>438</xdr:row>
      <xdr:rowOff>0</xdr:rowOff>
    </xdr:to>
    <xdr:pic>
      <xdr:nvPicPr>
        <xdr:cNvPr id="2933" name="Picture 8662" descr="20-9625m">
          <a:hlinkClick xmlns:r="http://schemas.openxmlformats.org/officeDocument/2006/relationships" r:id="rId17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3995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2</xdr:col>
      <xdr:colOff>0</xdr:colOff>
      <xdr:row>580</xdr:row>
      <xdr:rowOff>0</xdr:rowOff>
    </xdr:to>
    <xdr:pic>
      <xdr:nvPicPr>
        <xdr:cNvPr id="2934" name="Picture 8665" descr="34-5625m">
          <a:hlinkClick xmlns:r="http://schemas.openxmlformats.org/officeDocument/2006/relationships" r:id="rId1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9419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2</xdr:col>
      <xdr:colOff>0</xdr:colOff>
      <xdr:row>431</xdr:row>
      <xdr:rowOff>0</xdr:rowOff>
    </xdr:to>
    <xdr:pic>
      <xdr:nvPicPr>
        <xdr:cNvPr id="2935" name="Picture 3486" descr="14-1566m">
          <a:hlinkClick xmlns:r="http://schemas.openxmlformats.org/officeDocument/2006/relationships" r:id="rId1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947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2936" name="Picture 8669" descr="14-2628m">
          <a:hlinkClick xmlns:r="http://schemas.openxmlformats.org/officeDocument/2006/relationships" r:id="rId17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001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2</xdr:col>
      <xdr:colOff>0</xdr:colOff>
      <xdr:row>549</xdr:row>
      <xdr:rowOff>0</xdr:rowOff>
    </xdr:to>
    <xdr:pic>
      <xdr:nvPicPr>
        <xdr:cNvPr id="2937" name="Picture 8675" descr="14-2628m">
          <a:hlinkClick xmlns:r="http://schemas.openxmlformats.org/officeDocument/2006/relationships" r:id="rId1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2561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101</xdr:row>
      <xdr:rowOff>0</xdr:rowOff>
    </xdr:to>
    <xdr:pic>
      <xdr:nvPicPr>
        <xdr:cNvPr id="2938" name="Picture 8677" descr="14-2627m">
          <a:hlinkClick xmlns:r="http://schemas.openxmlformats.org/officeDocument/2006/relationships" r:id="rId1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2</xdr:col>
      <xdr:colOff>0</xdr:colOff>
      <xdr:row>910</xdr:row>
      <xdr:rowOff>0</xdr:rowOff>
    </xdr:to>
    <xdr:pic>
      <xdr:nvPicPr>
        <xdr:cNvPr id="2939" name="Picture 8679" descr="C-136m">
          <a:hlinkClick xmlns:r="http://schemas.openxmlformats.org/officeDocument/2006/relationships" r:id="rId1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8556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2</xdr:col>
      <xdr:colOff>0</xdr:colOff>
      <xdr:row>911</xdr:row>
      <xdr:rowOff>0</xdr:rowOff>
    </xdr:to>
    <xdr:pic>
      <xdr:nvPicPr>
        <xdr:cNvPr id="2940" name="Picture 8680" descr="C-227m">
          <a:hlinkClick xmlns:r="http://schemas.openxmlformats.org/officeDocument/2006/relationships" r:id="rId1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8556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2</xdr:col>
      <xdr:colOff>0</xdr:colOff>
      <xdr:row>912</xdr:row>
      <xdr:rowOff>0</xdr:rowOff>
    </xdr:to>
    <xdr:pic>
      <xdr:nvPicPr>
        <xdr:cNvPr id="2941" name="Picture 8681" descr="C-248m">
          <a:hlinkClick xmlns:r="http://schemas.openxmlformats.org/officeDocument/2006/relationships" r:id="rId1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9318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2</xdr:col>
      <xdr:colOff>0</xdr:colOff>
      <xdr:row>913</xdr:row>
      <xdr:rowOff>0</xdr:rowOff>
    </xdr:to>
    <xdr:pic>
      <xdr:nvPicPr>
        <xdr:cNvPr id="2942" name="Picture 8682" descr="C-2579m">
          <a:hlinkClick xmlns:r="http://schemas.openxmlformats.org/officeDocument/2006/relationships" r:id="rId1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0080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913</xdr:row>
      <xdr:rowOff>0</xdr:rowOff>
    </xdr:from>
    <xdr:to>
      <xdr:col>2</xdr:col>
      <xdr:colOff>0</xdr:colOff>
      <xdr:row>914</xdr:row>
      <xdr:rowOff>0</xdr:rowOff>
    </xdr:to>
    <xdr:pic>
      <xdr:nvPicPr>
        <xdr:cNvPr id="2943" name="Picture 8683" descr="C-2605Hm">
          <a:hlinkClick xmlns:r="http://schemas.openxmlformats.org/officeDocument/2006/relationships" r:id="rId1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0842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915</xdr:row>
      <xdr:rowOff>0</xdr:rowOff>
    </xdr:from>
    <xdr:to>
      <xdr:col>2</xdr:col>
      <xdr:colOff>0</xdr:colOff>
      <xdr:row>916</xdr:row>
      <xdr:rowOff>0</xdr:rowOff>
    </xdr:to>
    <xdr:pic>
      <xdr:nvPicPr>
        <xdr:cNvPr id="2944" name="Picture 8688" descr="C-289Hm">
          <a:hlinkClick xmlns:r="http://schemas.openxmlformats.org/officeDocument/2006/relationships" r:id="rId1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1604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2</xdr:col>
      <xdr:colOff>0</xdr:colOff>
      <xdr:row>915</xdr:row>
      <xdr:rowOff>0</xdr:rowOff>
    </xdr:to>
    <xdr:pic>
      <xdr:nvPicPr>
        <xdr:cNvPr id="2945" name="Picture 8689" descr="C-289m">
          <a:hlinkClick xmlns:r="http://schemas.openxmlformats.org/officeDocument/2006/relationships" r:id="rId1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0842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2</xdr:col>
      <xdr:colOff>0</xdr:colOff>
      <xdr:row>917</xdr:row>
      <xdr:rowOff>0</xdr:rowOff>
    </xdr:to>
    <xdr:pic>
      <xdr:nvPicPr>
        <xdr:cNvPr id="2946" name="Picture 8690" descr="C-4576m">
          <a:hlinkClick xmlns:r="http://schemas.openxmlformats.org/officeDocument/2006/relationships" r:id="rId1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1604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2</xdr:col>
      <xdr:colOff>0</xdr:colOff>
      <xdr:row>918</xdr:row>
      <xdr:rowOff>0</xdr:rowOff>
    </xdr:to>
    <xdr:pic>
      <xdr:nvPicPr>
        <xdr:cNvPr id="2947" name="Picture 8691" descr="C-4576Hm">
          <a:hlinkClick xmlns:r="http://schemas.openxmlformats.org/officeDocument/2006/relationships" r:id="rId1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23666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918</xdr:row>
      <xdr:rowOff>0</xdr:rowOff>
    </xdr:from>
    <xdr:to>
      <xdr:col>2</xdr:col>
      <xdr:colOff>0</xdr:colOff>
      <xdr:row>919</xdr:row>
      <xdr:rowOff>0</xdr:rowOff>
    </xdr:to>
    <xdr:pic>
      <xdr:nvPicPr>
        <xdr:cNvPr id="2948" name="Picture 8692" descr="C-504m">
          <a:hlinkClick xmlns:r="http://schemas.openxmlformats.org/officeDocument/2006/relationships" r:id="rId1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2366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2</xdr:col>
      <xdr:colOff>0</xdr:colOff>
      <xdr:row>920</xdr:row>
      <xdr:rowOff>0</xdr:rowOff>
    </xdr:to>
    <xdr:pic>
      <xdr:nvPicPr>
        <xdr:cNvPr id="2949" name="Picture 8693" descr="C-508m">
          <a:hlinkClick xmlns:r="http://schemas.openxmlformats.org/officeDocument/2006/relationships" r:id="rId1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3128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2</xdr:col>
      <xdr:colOff>0</xdr:colOff>
      <xdr:row>921</xdr:row>
      <xdr:rowOff>0</xdr:rowOff>
    </xdr:to>
    <xdr:pic>
      <xdr:nvPicPr>
        <xdr:cNvPr id="2950" name="Picture 8694" descr="C-528m">
          <a:hlinkClick xmlns:r="http://schemas.openxmlformats.org/officeDocument/2006/relationships" r:id="rId1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3890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2</xdr:col>
      <xdr:colOff>0</xdr:colOff>
      <xdr:row>922</xdr:row>
      <xdr:rowOff>0</xdr:rowOff>
    </xdr:to>
    <xdr:pic>
      <xdr:nvPicPr>
        <xdr:cNvPr id="2951" name="Picture 8695" descr="C-531Hm">
          <a:hlinkClick xmlns:r="http://schemas.openxmlformats.org/officeDocument/2006/relationships" r:id="rId1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4652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2</xdr:col>
      <xdr:colOff>0</xdr:colOff>
      <xdr:row>923</xdr:row>
      <xdr:rowOff>0</xdr:rowOff>
    </xdr:to>
    <xdr:pic>
      <xdr:nvPicPr>
        <xdr:cNvPr id="2952" name="Picture 8696" descr="C-568Hm">
          <a:hlinkClick xmlns:r="http://schemas.openxmlformats.org/officeDocument/2006/relationships" r:id="rId1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5414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923</xdr:row>
      <xdr:rowOff>0</xdr:rowOff>
    </xdr:from>
    <xdr:to>
      <xdr:col>2</xdr:col>
      <xdr:colOff>0</xdr:colOff>
      <xdr:row>924</xdr:row>
      <xdr:rowOff>0</xdr:rowOff>
    </xdr:to>
    <xdr:pic>
      <xdr:nvPicPr>
        <xdr:cNvPr id="2953" name="Picture 8697" descr="C-584m">
          <a:hlinkClick xmlns:r="http://schemas.openxmlformats.org/officeDocument/2006/relationships" r:id="rId1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6176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2</xdr:col>
      <xdr:colOff>0</xdr:colOff>
      <xdr:row>925</xdr:row>
      <xdr:rowOff>0</xdr:rowOff>
    </xdr:to>
    <xdr:pic>
      <xdr:nvPicPr>
        <xdr:cNvPr id="2954" name="Picture 8698" descr="C-614m">
          <a:hlinkClick xmlns:r="http://schemas.openxmlformats.org/officeDocument/2006/relationships" r:id="rId1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6938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925</xdr:row>
      <xdr:rowOff>0</xdr:rowOff>
    </xdr:from>
    <xdr:to>
      <xdr:col>2</xdr:col>
      <xdr:colOff>0</xdr:colOff>
      <xdr:row>926</xdr:row>
      <xdr:rowOff>0</xdr:rowOff>
    </xdr:to>
    <xdr:pic>
      <xdr:nvPicPr>
        <xdr:cNvPr id="2955" name="Picture 8699" descr="C-620m">
          <a:hlinkClick xmlns:r="http://schemas.openxmlformats.org/officeDocument/2006/relationships" r:id="rId1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7700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2</xdr:col>
      <xdr:colOff>0</xdr:colOff>
      <xdr:row>927</xdr:row>
      <xdr:rowOff>0</xdr:rowOff>
    </xdr:to>
    <xdr:pic>
      <xdr:nvPicPr>
        <xdr:cNvPr id="2956" name="Picture 8700" descr="C-938m">
          <a:hlinkClick xmlns:r="http://schemas.openxmlformats.org/officeDocument/2006/relationships" r:id="rId1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8462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326</xdr:row>
      <xdr:rowOff>28575</xdr:rowOff>
    </xdr:from>
    <xdr:to>
      <xdr:col>2</xdr:col>
      <xdr:colOff>904875</xdr:colOff>
      <xdr:row>326</xdr:row>
      <xdr:rowOff>142875</xdr:rowOff>
    </xdr:to>
    <xdr:pic>
      <xdr:nvPicPr>
        <xdr:cNvPr id="295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628679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327</xdr:row>
      <xdr:rowOff>28575</xdr:rowOff>
    </xdr:from>
    <xdr:to>
      <xdr:col>2</xdr:col>
      <xdr:colOff>904875</xdr:colOff>
      <xdr:row>327</xdr:row>
      <xdr:rowOff>142875</xdr:rowOff>
    </xdr:to>
    <xdr:pic>
      <xdr:nvPicPr>
        <xdr:cNvPr id="295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628679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2</xdr:col>
      <xdr:colOff>0</xdr:colOff>
      <xdr:row>327</xdr:row>
      <xdr:rowOff>0</xdr:rowOff>
    </xdr:to>
    <xdr:pic>
      <xdr:nvPicPr>
        <xdr:cNvPr id="2959" name="Picture 8704" descr="14-1629m">
          <a:hlinkClick xmlns:r="http://schemas.openxmlformats.org/officeDocument/2006/relationships" r:id="rId18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2</xdr:col>
      <xdr:colOff>0</xdr:colOff>
      <xdr:row>328</xdr:row>
      <xdr:rowOff>0</xdr:rowOff>
    </xdr:to>
    <xdr:pic>
      <xdr:nvPicPr>
        <xdr:cNvPr id="2960" name="Picture 8706" descr="14-1630m">
          <a:hlinkClick xmlns:r="http://schemas.openxmlformats.org/officeDocument/2006/relationships" r:id="rId18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2</xdr:col>
      <xdr:colOff>19050</xdr:colOff>
      <xdr:row>642</xdr:row>
      <xdr:rowOff>0</xdr:rowOff>
    </xdr:to>
    <xdr:pic>
      <xdr:nvPicPr>
        <xdr:cNvPr id="2961" name="Picture 3585" descr="14-1577m">
          <a:hlinkClick xmlns:r="http://schemas.openxmlformats.org/officeDocument/2006/relationships" r:id="rId1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03170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641</xdr:row>
      <xdr:rowOff>0</xdr:rowOff>
    </xdr:to>
    <xdr:pic>
      <xdr:nvPicPr>
        <xdr:cNvPr id="2962" name="Picture 3502" descr="14-1569m">
          <a:hlinkClick xmlns:r="http://schemas.openxmlformats.org/officeDocument/2006/relationships" r:id="rId18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87930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431</xdr:row>
      <xdr:rowOff>0</xdr:rowOff>
    </xdr:from>
    <xdr:to>
      <xdr:col>2</xdr:col>
      <xdr:colOff>0</xdr:colOff>
      <xdr:row>432</xdr:row>
      <xdr:rowOff>0</xdr:rowOff>
    </xdr:to>
    <xdr:pic>
      <xdr:nvPicPr>
        <xdr:cNvPr id="2963" name="Picture 3502" descr="14-1569m">
          <a:hlinkClick xmlns:r="http://schemas.openxmlformats.org/officeDocument/2006/relationships" r:id="rId1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709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646</xdr:row>
      <xdr:rowOff>0</xdr:rowOff>
    </xdr:from>
    <xdr:to>
      <xdr:col>2</xdr:col>
      <xdr:colOff>0</xdr:colOff>
      <xdr:row>646</xdr:row>
      <xdr:rowOff>0</xdr:rowOff>
    </xdr:to>
    <xdr:pic>
      <xdr:nvPicPr>
        <xdr:cNvPr id="2964" name="Picture 3983" descr="14-1612m">
          <a:hlinkClick xmlns:r="http://schemas.openxmlformats.org/officeDocument/2006/relationships" r:id="rId18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603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927</xdr:row>
      <xdr:rowOff>0</xdr:rowOff>
    </xdr:from>
    <xdr:to>
      <xdr:col>2</xdr:col>
      <xdr:colOff>0</xdr:colOff>
      <xdr:row>928</xdr:row>
      <xdr:rowOff>0</xdr:rowOff>
    </xdr:to>
    <xdr:pic>
      <xdr:nvPicPr>
        <xdr:cNvPr id="2965" name="Picture 11296" descr="MK-001m">
          <a:hlinkClick xmlns:r="http://schemas.openxmlformats.org/officeDocument/2006/relationships" r:id="rId1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9224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2</xdr:col>
      <xdr:colOff>0</xdr:colOff>
      <xdr:row>929</xdr:row>
      <xdr:rowOff>0</xdr:rowOff>
    </xdr:to>
    <xdr:pic>
      <xdr:nvPicPr>
        <xdr:cNvPr id="2966" name="Picture 11299" descr="MK-002m">
          <a:hlinkClick xmlns:r="http://schemas.openxmlformats.org/officeDocument/2006/relationships" r:id="rId1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9986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929</xdr:row>
      <xdr:rowOff>0</xdr:rowOff>
    </xdr:from>
    <xdr:to>
      <xdr:col>2</xdr:col>
      <xdr:colOff>0</xdr:colOff>
      <xdr:row>930</xdr:row>
      <xdr:rowOff>0</xdr:rowOff>
    </xdr:to>
    <xdr:pic>
      <xdr:nvPicPr>
        <xdr:cNvPr id="2967" name="Picture 11301" descr="MK-003m">
          <a:hlinkClick xmlns:r="http://schemas.openxmlformats.org/officeDocument/2006/relationships" r:id="rId1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0748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930</xdr:row>
      <xdr:rowOff>0</xdr:rowOff>
    </xdr:from>
    <xdr:to>
      <xdr:col>2</xdr:col>
      <xdr:colOff>0</xdr:colOff>
      <xdr:row>931</xdr:row>
      <xdr:rowOff>0</xdr:rowOff>
    </xdr:to>
    <xdr:pic>
      <xdr:nvPicPr>
        <xdr:cNvPr id="2968" name="Picture 11303" descr="MK-004m">
          <a:hlinkClick xmlns:r="http://schemas.openxmlformats.org/officeDocument/2006/relationships" r:id="rId1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15106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238</xdr:row>
      <xdr:rowOff>0</xdr:rowOff>
    </xdr:from>
    <xdr:to>
      <xdr:col>2</xdr:col>
      <xdr:colOff>904875</xdr:colOff>
      <xdr:row>238</xdr:row>
      <xdr:rowOff>0</xdr:rowOff>
    </xdr:to>
    <xdr:pic>
      <xdr:nvPicPr>
        <xdr:cNvPr id="296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3892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2970" name="Picture 12602" descr="14-1632m">
          <a:hlinkClick xmlns:r="http://schemas.openxmlformats.org/officeDocument/2006/relationships" r:id="rId1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971" name="Picture 19094" descr="14-2631m">
          <a:hlinkClick xmlns:r="http://schemas.openxmlformats.org/officeDocument/2006/relationships" r:id="rId1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15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962</xdr:row>
      <xdr:rowOff>0</xdr:rowOff>
    </xdr:from>
    <xdr:to>
      <xdr:col>2</xdr:col>
      <xdr:colOff>0</xdr:colOff>
      <xdr:row>963</xdr:row>
      <xdr:rowOff>0</xdr:rowOff>
    </xdr:to>
    <xdr:pic>
      <xdr:nvPicPr>
        <xdr:cNvPr id="2972" name="Рисунок 1305">
          <a:hlinkClick xmlns:r="http://schemas.openxmlformats.org/officeDocument/2006/relationships" r:id="rId1852"/>
        </xdr:cNvPr>
        <xdr:cNvPicPr>
          <a:picLocks noChangeAspect="1"/>
        </xdr:cNvPicPr>
      </xdr:nvPicPr>
      <xdr:blipFill>
        <a:blip xmlns:r="http://schemas.openxmlformats.org/officeDocument/2006/relationships" r:embed="rId1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1626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961</xdr:row>
      <xdr:rowOff>0</xdr:rowOff>
    </xdr:from>
    <xdr:to>
      <xdr:col>2</xdr:col>
      <xdr:colOff>0</xdr:colOff>
      <xdr:row>962</xdr:row>
      <xdr:rowOff>0</xdr:rowOff>
    </xdr:to>
    <xdr:pic>
      <xdr:nvPicPr>
        <xdr:cNvPr id="2973" name="Рисунок 1307">
          <a:hlinkClick xmlns:r="http://schemas.openxmlformats.org/officeDocument/2006/relationships" r:id="rId1854"/>
        </xdr:cNvPr>
        <xdr:cNvPicPr>
          <a:picLocks noChangeAspect="1"/>
        </xdr:cNvPicPr>
      </xdr:nvPicPr>
      <xdr:blipFill>
        <a:blip xmlns:r="http://schemas.openxmlformats.org/officeDocument/2006/relationships" r:embed="rId1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1626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2</xdr:col>
      <xdr:colOff>0</xdr:colOff>
      <xdr:row>349</xdr:row>
      <xdr:rowOff>0</xdr:rowOff>
    </xdr:to>
    <xdr:pic>
      <xdr:nvPicPr>
        <xdr:cNvPr id="2974" name="Рисунок 1306">
          <a:hlinkClick xmlns:r="http://schemas.openxmlformats.org/officeDocument/2006/relationships" r:id="rId1856"/>
        </xdr:cNvPr>
        <xdr:cNvPicPr>
          <a:picLocks noChangeAspect="1"/>
        </xdr:cNvPicPr>
      </xdr:nvPicPr>
      <xdr:blipFill>
        <a:blip xmlns:r="http://schemas.openxmlformats.org/officeDocument/2006/relationships" r:embed="rId1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763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2</xdr:col>
      <xdr:colOff>0</xdr:colOff>
      <xdr:row>550</xdr:row>
      <xdr:rowOff>0</xdr:rowOff>
    </xdr:to>
    <xdr:pic>
      <xdr:nvPicPr>
        <xdr:cNvPr id="2975" name="Рисунок 1307">
          <a:hlinkClick xmlns:r="http://schemas.openxmlformats.org/officeDocument/2006/relationships" r:id="rId1858"/>
        </xdr:cNvPr>
        <xdr:cNvPicPr>
          <a:picLocks noChangeAspect="1"/>
        </xdr:cNvPicPr>
      </xdr:nvPicPr>
      <xdr:blipFill>
        <a:blip xmlns:r="http://schemas.openxmlformats.org/officeDocument/2006/relationships" r:embed="rId1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332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473</xdr:row>
      <xdr:rowOff>0</xdr:rowOff>
    </xdr:to>
    <xdr:pic>
      <xdr:nvPicPr>
        <xdr:cNvPr id="2976" name="Рисунок 1311">
          <a:hlinkClick xmlns:r="http://schemas.openxmlformats.org/officeDocument/2006/relationships" r:id="rId1859"/>
        </xdr:cNvPr>
        <xdr:cNvPicPr>
          <a:picLocks noChangeAspect="1"/>
        </xdr:cNvPicPr>
      </xdr:nvPicPr>
      <xdr:blipFill>
        <a:blip xmlns:r="http://schemas.openxmlformats.org/officeDocument/2006/relationships" r:embed="rId1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91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2977" name="Рисунок 1313">
          <a:hlinkClick xmlns:r="http://schemas.openxmlformats.org/officeDocument/2006/relationships" r:id="rId1861"/>
        </xdr:cNvPr>
        <xdr:cNvPicPr>
          <a:picLocks noChangeAspect="1"/>
        </xdr:cNvPicPr>
      </xdr:nvPicPr>
      <xdr:blipFill>
        <a:blip xmlns:r="http://schemas.openxmlformats.org/officeDocument/2006/relationships" r:embed="rId1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263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9525</xdr:rowOff>
    </xdr:from>
    <xdr:to>
      <xdr:col>2</xdr:col>
      <xdr:colOff>0</xdr:colOff>
      <xdr:row>329</xdr:row>
      <xdr:rowOff>0</xdr:rowOff>
    </xdr:to>
    <xdr:pic>
      <xdr:nvPicPr>
        <xdr:cNvPr id="2978" name="Picture 26904" descr="14-1633m">
          <a:hlinkClick xmlns:r="http://schemas.openxmlformats.org/officeDocument/2006/relationships" r:id="rId1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328</xdr:row>
      <xdr:rowOff>28575</xdr:rowOff>
    </xdr:from>
    <xdr:to>
      <xdr:col>2</xdr:col>
      <xdr:colOff>904875</xdr:colOff>
      <xdr:row>328</xdr:row>
      <xdr:rowOff>142875</xdr:rowOff>
    </xdr:to>
    <xdr:pic>
      <xdr:nvPicPr>
        <xdr:cNvPr id="297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628679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2</xdr:col>
      <xdr:colOff>0</xdr:colOff>
      <xdr:row>350</xdr:row>
      <xdr:rowOff>0</xdr:rowOff>
    </xdr:to>
    <xdr:pic>
      <xdr:nvPicPr>
        <xdr:cNvPr id="2980" name="Picture 34749" descr="14-2634m">
          <a:hlinkClick xmlns:r="http://schemas.openxmlformats.org/officeDocument/2006/relationships" r:id="rId1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85258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2981" name="Picture 34750" descr="14-2634m">
          <a:hlinkClick xmlns:r="http://schemas.openxmlformats.org/officeDocument/2006/relationships" r:id="rId1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332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329</xdr:row>
      <xdr:rowOff>0</xdr:rowOff>
    </xdr:to>
    <xdr:pic>
      <xdr:nvPicPr>
        <xdr:cNvPr id="2982" name="Picture 132928" descr="14-1635m">
          <a:hlinkClick xmlns:r="http://schemas.openxmlformats.org/officeDocument/2006/relationships" r:id="rId18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2</xdr:col>
      <xdr:colOff>0</xdr:colOff>
      <xdr:row>530</xdr:row>
      <xdr:rowOff>0</xdr:rowOff>
    </xdr:to>
    <xdr:pic>
      <xdr:nvPicPr>
        <xdr:cNvPr id="2983" name="Picture 132930" descr="14-1635m">
          <a:hlinkClick xmlns:r="http://schemas.openxmlformats.org/officeDocument/2006/relationships" r:id="rId18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8427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963</xdr:row>
      <xdr:rowOff>0</xdr:rowOff>
    </xdr:from>
    <xdr:to>
      <xdr:col>2</xdr:col>
      <xdr:colOff>0</xdr:colOff>
      <xdr:row>964</xdr:row>
      <xdr:rowOff>0</xdr:rowOff>
    </xdr:to>
    <xdr:pic>
      <xdr:nvPicPr>
        <xdr:cNvPr id="2984" name="Picture 168383" descr="K-18m">
          <a:hlinkClick xmlns:r="http://schemas.openxmlformats.org/officeDocument/2006/relationships" r:id="rId1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1626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1289</xdr:row>
      <xdr:rowOff>0</xdr:rowOff>
    </xdr:from>
    <xdr:to>
      <xdr:col>2</xdr:col>
      <xdr:colOff>0</xdr:colOff>
      <xdr:row>1290</xdr:row>
      <xdr:rowOff>0</xdr:rowOff>
    </xdr:to>
    <xdr:pic>
      <xdr:nvPicPr>
        <xdr:cNvPr id="2985" name="Picture 168385" descr="T-TS-077m">
          <a:hlinkClick xmlns:r="http://schemas.openxmlformats.org/officeDocument/2006/relationships" r:id="rId1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507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619</xdr:row>
      <xdr:rowOff>0</xdr:rowOff>
    </xdr:to>
    <xdr:pic>
      <xdr:nvPicPr>
        <xdr:cNvPr id="2986" name="Picture 4191" descr="14-197m">
          <a:hlinkClick xmlns:r="http://schemas.openxmlformats.org/officeDocument/2006/relationships" r:id="rId1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8870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2987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2</xdr:col>
      <xdr:colOff>0</xdr:colOff>
      <xdr:row>734</xdr:row>
      <xdr:rowOff>0</xdr:rowOff>
    </xdr:to>
    <xdr:pic>
      <xdr:nvPicPr>
        <xdr:cNvPr id="2988" name="Picture 3927" descr="14-136m">
          <a:hlinkClick xmlns:r="http://schemas.openxmlformats.org/officeDocument/2006/relationships" r:id="rId18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48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1282</xdr:row>
      <xdr:rowOff>0</xdr:rowOff>
    </xdr:from>
    <xdr:to>
      <xdr:col>2</xdr:col>
      <xdr:colOff>0</xdr:colOff>
      <xdr:row>1283</xdr:row>
      <xdr:rowOff>0</xdr:rowOff>
    </xdr:to>
    <xdr:pic>
      <xdr:nvPicPr>
        <xdr:cNvPr id="2989" name="Picture 222966" descr="T-TS-072-Bm">
          <a:hlinkClick xmlns:r="http://schemas.openxmlformats.org/officeDocument/2006/relationships" r:id="rId1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973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19050</xdr:colOff>
      <xdr:row>333</xdr:row>
      <xdr:rowOff>0</xdr:rowOff>
    </xdr:to>
    <xdr:pic>
      <xdr:nvPicPr>
        <xdr:cNvPr id="2990" name="Picture 3717" descr="T-TS-067m">
          <a:hlinkClick xmlns:r="http://schemas.openxmlformats.org/officeDocument/2006/relationships" r:id="rId1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0</xdr:rowOff>
    </xdr:to>
    <xdr:pic>
      <xdr:nvPicPr>
        <xdr:cNvPr id="2991" name="Picture 3967" descr="34-136m">
          <a:hlinkClick xmlns:r="http://schemas.openxmlformats.org/officeDocument/2006/relationships" r:id="rId18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246</xdr:row>
      <xdr:rowOff>0</xdr:rowOff>
    </xdr:from>
    <xdr:to>
      <xdr:col>2</xdr:col>
      <xdr:colOff>19050</xdr:colOff>
      <xdr:row>246</xdr:row>
      <xdr:rowOff>0</xdr:rowOff>
    </xdr:to>
    <xdr:pic>
      <xdr:nvPicPr>
        <xdr:cNvPr id="2992" name="Picture 3740" descr="28-4576m">
          <a:hlinkClick xmlns:r="http://schemas.openxmlformats.org/officeDocument/2006/relationships" r:id="rId1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349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269</xdr:row>
      <xdr:rowOff>0</xdr:rowOff>
    </xdr:to>
    <xdr:pic>
      <xdr:nvPicPr>
        <xdr:cNvPr id="2993" name="Picture 8460" descr="14-1623m">
          <a:hlinkClick xmlns:r="http://schemas.openxmlformats.org/officeDocument/2006/relationships" r:id="rId18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1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269</xdr:row>
      <xdr:rowOff>0</xdr:rowOff>
    </xdr:from>
    <xdr:to>
      <xdr:col>2</xdr:col>
      <xdr:colOff>933450</xdr:colOff>
      <xdr:row>269</xdr:row>
      <xdr:rowOff>0</xdr:rowOff>
    </xdr:to>
    <xdr:pic>
      <xdr:nvPicPr>
        <xdr:cNvPr id="299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51114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2</xdr:col>
      <xdr:colOff>0</xdr:colOff>
      <xdr:row>357</xdr:row>
      <xdr:rowOff>0</xdr:rowOff>
    </xdr:to>
    <xdr:pic>
      <xdr:nvPicPr>
        <xdr:cNvPr id="2995" name="Рисунок 1291">
          <a:hlinkClick xmlns:r="http://schemas.openxmlformats.org/officeDocument/2006/relationships" r:id="rId1884"/>
        </xdr:cNvPr>
        <xdr:cNvPicPr>
          <a:picLocks noChangeAspect="1"/>
        </xdr:cNvPicPr>
      </xdr:nvPicPr>
      <xdr:blipFill>
        <a:blip xmlns:r="http://schemas.openxmlformats.org/officeDocument/2006/relationships" r:embed="rId1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2</xdr:col>
      <xdr:colOff>0</xdr:colOff>
      <xdr:row>385</xdr:row>
      <xdr:rowOff>0</xdr:rowOff>
    </xdr:to>
    <xdr:pic>
      <xdr:nvPicPr>
        <xdr:cNvPr id="2996" name="Рисунок 1293">
          <a:hlinkClick xmlns:r="http://schemas.openxmlformats.org/officeDocument/2006/relationships" r:id="rId1886"/>
        </xdr:cNvPr>
        <xdr:cNvPicPr>
          <a:picLocks noChangeAspect="1"/>
        </xdr:cNvPicPr>
      </xdr:nvPicPr>
      <xdr:blipFill>
        <a:blip xmlns:r="http://schemas.openxmlformats.org/officeDocument/2006/relationships" r:embed="rId18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997" name="Picture 3964" descr="34-121m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2998" name="Рисунок 1">
          <a:hlinkClick xmlns:r="http://schemas.openxmlformats.org/officeDocument/2006/relationships" r:id="rId1888"/>
        </xdr:cNvPr>
        <xdr:cNvPicPr>
          <a:picLocks noChangeAspect="1"/>
        </xdr:cNvPicPr>
      </xdr:nvPicPr>
      <xdr:blipFill>
        <a:blip xmlns:r="http://schemas.openxmlformats.org/officeDocument/2006/relationships" r:embed="rId18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11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2999" name="Рисунок 1295">
          <a:hlinkClick xmlns:r="http://schemas.openxmlformats.org/officeDocument/2006/relationships" r:id="rId1890"/>
        </xdr:cNvPr>
        <xdr:cNvPicPr>
          <a:picLocks noChangeAspect="1"/>
        </xdr:cNvPicPr>
      </xdr:nvPicPr>
      <xdr:blipFill>
        <a:blip xmlns:r="http://schemas.openxmlformats.org/officeDocument/2006/relationships" r:embed="rId18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187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2</xdr:col>
      <xdr:colOff>0</xdr:colOff>
      <xdr:row>610</xdr:row>
      <xdr:rowOff>0</xdr:rowOff>
    </xdr:to>
    <xdr:pic>
      <xdr:nvPicPr>
        <xdr:cNvPr id="3000" name="Picture 4027" descr="14-374m">
          <a:hlinkClick xmlns:r="http://schemas.openxmlformats.org/officeDocument/2006/relationships" r:id="rId18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991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3001" name="Рисунок 1298">
          <a:hlinkClick xmlns:r="http://schemas.openxmlformats.org/officeDocument/2006/relationships" r:id="rId1892"/>
        </xdr:cNvPr>
        <xdr:cNvPicPr>
          <a:picLocks noChangeAspect="1"/>
        </xdr:cNvPicPr>
      </xdr:nvPicPr>
      <xdr:blipFill>
        <a:blip xmlns:r="http://schemas.openxmlformats.org/officeDocument/2006/relationships" r:embed="rId1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054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2</xdr:col>
      <xdr:colOff>0</xdr:colOff>
      <xdr:row>609</xdr:row>
      <xdr:rowOff>0</xdr:rowOff>
    </xdr:to>
    <xdr:pic>
      <xdr:nvPicPr>
        <xdr:cNvPr id="3002" name="Рисунок 1299">
          <a:hlinkClick xmlns:r="http://schemas.openxmlformats.org/officeDocument/2006/relationships" r:id="rId1894"/>
        </xdr:cNvPr>
        <xdr:cNvPicPr>
          <a:picLocks noChangeAspect="1"/>
        </xdr:cNvPicPr>
      </xdr:nvPicPr>
      <xdr:blipFill>
        <a:blip xmlns:r="http://schemas.openxmlformats.org/officeDocument/2006/relationships" r:embed="rId1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3229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3003" name="Picture 4027" descr="14-374m">
          <a:hlinkClick xmlns:r="http://schemas.openxmlformats.org/officeDocument/2006/relationships" r:id="rId18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977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3004" name="Рисунок 1302">
          <a:hlinkClick xmlns:r="http://schemas.openxmlformats.org/officeDocument/2006/relationships" r:id="rId1896"/>
        </xdr:cNvPr>
        <xdr:cNvPicPr>
          <a:picLocks noChangeAspect="1"/>
        </xdr:cNvPicPr>
      </xdr:nvPicPr>
      <xdr:blipFill>
        <a:blip xmlns:r="http://schemas.openxmlformats.org/officeDocument/2006/relationships" r:embed="rId18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82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255</xdr:row>
      <xdr:rowOff>0</xdr:rowOff>
    </xdr:to>
    <xdr:pic>
      <xdr:nvPicPr>
        <xdr:cNvPr id="3005" name="Рисунок 1304">
          <a:hlinkClick xmlns:r="http://schemas.openxmlformats.org/officeDocument/2006/relationships" r:id="rId1898"/>
        </xdr:cNvPr>
        <xdr:cNvPicPr>
          <a:picLocks noChangeAspect="1"/>
        </xdr:cNvPicPr>
      </xdr:nvPicPr>
      <xdr:blipFill>
        <a:blip xmlns:r="http://schemas.openxmlformats.org/officeDocument/2006/relationships" r:embed="rId18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3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3006" name="Рисунок 1306">
          <a:hlinkClick xmlns:r="http://schemas.openxmlformats.org/officeDocument/2006/relationships" r:id="rId1900"/>
        </xdr:cNvPr>
        <xdr:cNvPicPr>
          <a:picLocks noChangeAspect="1"/>
        </xdr:cNvPicPr>
      </xdr:nvPicPr>
      <xdr:blipFill>
        <a:blip xmlns:r="http://schemas.openxmlformats.org/officeDocument/2006/relationships" r:embed="rId19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1041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3007" name="Picture 3968" descr="34-141m">
          <a:hlinkClick xmlns:r="http://schemas.openxmlformats.org/officeDocument/2006/relationships" r:id="rId1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3008" name="Picture 3321" descr="34-1530m">
          <a:hlinkClick xmlns:r="http://schemas.openxmlformats.org/officeDocument/2006/relationships" r:id="rId19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3009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784</xdr:row>
      <xdr:rowOff>0</xdr:rowOff>
    </xdr:from>
    <xdr:to>
      <xdr:col>2</xdr:col>
      <xdr:colOff>0</xdr:colOff>
      <xdr:row>784</xdr:row>
      <xdr:rowOff>0</xdr:rowOff>
    </xdr:to>
    <xdr:pic>
      <xdr:nvPicPr>
        <xdr:cNvPr id="3010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85801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pic>
      <xdr:nvPicPr>
        <xdr:cNvPr id="3011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82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3012" name="Picture 543389" descr="14-3641m">
          <a:hlinkClick xmlns:r="http://schemas.openxmlformats.org/officeDocument/2006/relationships" r:id="rId1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044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2</xdr:col>
      <xdr:colOff>9525</xdr:colOff>
      <xdr:row>245</xdr:row>
      <xdr:rowOff>9525</xdr:rowOff>
    </xdr:to>
    <xdr:pic>
      <xdr:nvPicPr>
        <xdr:cNvPr id="3013" name="Picture 543390" descr="14-7641m">
          <a:hlinkClick xmlns:r="http://schemas.openxmlformats.org/officeDocument/2006/relationships" r:id="rId1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1979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245</xdr:row>
      <xdr:rowOff>9525</xdr:rowOff>
    </xdr:from>
    <xdr:to>
      <xdr:col>2</xdr:col>
      <xdr:colOff>9525</xdr:colOff>
      <xdr:row>246</xdr:row>
      <xdr:rowOff>0</xdr:rowOff>
    </xdr:to>
    <xdr:pic>
      <xdr:nvPicPr>
        <xdr:cNvPr id="3014" name="Picture 543391" descr="14-7641-1m">
          <a:hlinkClick xmlns:r="http://schemas.openxmlformats.org/officeDocument/2006/relationships" r:id="rId1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2741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3015" name="Picture 543394" descr="34-3508-1m">
          <a:hlinkClick xmlns:r="http://schemas.openxmlformats.org/officeDocument/2006/relationships" r:id="rId1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340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3016" name="Picture 543395" descr="35-2640m">
          <a:hlinkClick xmlns:r="http://schemas.openxmlformats.org/officeDocument/2006/relationships" r:id="rId1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2</xdr:col>
      <xdr:colOff>0</xdr:colOff>
      <xdr:row>612</xdr:row>
      <xdr:rowOff>0</xdr:rowOff>
    </xdr:to>
    <xdr:pic>
      <xdr:nvPicPr>
        <xdr:cNvPr id="3017" name="Picture 543396" descr="35-5641m">
          <a:hlinkClick xmlns:r="http://schemas.openxmlformats.org/officeDocument/2006/relationships" r:id="rId1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475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2</xdr:col>
      <xdr:colOff>0</xdr:colOff>
      <xdr:row>613</xdr:row>
      <xdr:rowOff>0</xdr:rowOff>
    </xdr:to>
    <xdr:pic>
      <xdr:nvPicPr>
        <xdr:cNvPr id="3018" name="Picture 543397" descr="35-6538m">
          <a:hlinkClick xmlns:r="http://schemas.openxmlformats.org/officeDocument/2006/relationships" r:id="rId1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475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3019" name="Picture 543399" descr="28-549m">
          <a:hlinkClick xmlns:r="http://schemas.openxmlformats.org/officeDocument/2006/relationships" r:id="rId1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578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2</xdr:col>
      <xdr:colOff>0</xdr:colOff>
      <xdr:row>556</xdr:row>
      <xdr:rowOff>0</xdr:rowOff>
    </xdr:to>
    <xdr:pic>
      <xdr:nvPicPr>
        <xdr:cNvPr id="3020" name="Picture 543400" descr="14-3508-1">
          <a:hlinkClick xmlns:r="http://schemas.openxmlformats.org/officeDocument/2006/relationships" r:id="rId1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4085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3021" name="Picture 4065" descr="34-296m">
          <a:hlinkClick xmlns:r="http://schemas.openxmlformats.org/officeDocument/2006/relationships" r:id="rId1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59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263</xdr:row>
      <xdr:rowOff>523875</xdr:rowOff>
    </xdr:from>
    <xdr:to>
      <xdr:col>0</xdr:col>
      <xdr:colOff>781050</xdr:colOff>
      <xdr:row>263</xdr:row>
      <xdr:rowOff>619125</xdr:rowOff>
    </xdr:to>
    <xdr:pic>
      <xdr:nvPicPr>
        <xdr:cNvPr id="3022" name="Picture 4011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959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747</xdr:row>
      <xdr:rowOff>523875</xdr:rowOff>
    </xdr:from>
    <xdr:to>
      <xdr:col>0</xdr:col>
      <xdr:colOff>781050</xdr:colOff>
      <xdr:row>747</xdr:row>
      <xdr:rowOff>619125</xdr:rowOff>
    </xdr:to>
    <xdr:pic>
      <xdr:nvPicPr>
        <xdr:cNvPr id="3023" name="Picture 4010" descr="Меняет-цвет-good"/>
        <xdr:cNvPicPr>
          <a:picLocks noChangeAspect="1" noChangeArrowheads="1"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388050"/>
          <a:ext cx="7620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747</xdr:row>
      <xdr:rowOff>0</xdr:rowOff>
    </xdr:from>
    <xdr:to>
      <xdr:col>2</xdr:col>
      <xdr:colOff>0</xdr:colOff>
      <xdr:row>748</xdr:row>
      <xdr:rowOff>0</xdr:rowOff>
    </xdr:to>
    <xdr:pic>
      <xdr:nvPicPr>
        <xdr:cNvPr id="3024" name="Picture 4061" descr="28-396m"/>
        <xdr:cNvPicPr>
          <a:picLocks noChangeAspect="1" noChangeArrowheads="1"/>
        </xdr:cNvPicPr>
      </xdr:nvPicPr>
      <xdr:blipFill>
        <a:blip xmlns:r="http://schemas.openxmlformats.org/officeDocument/2006/relationships" r:embed="rId1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486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3025" name="Picture 543408" descr="14-1642m">
          <a:hlinkClick xmlns:r="http://schemas.openxmlformats.org/officeDocument/2006/relationships" r:id="rId1922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412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3026" name="Picture 543409" descr="14-1642m">
          <a:hlinkClick xmlns:r="http://schemas.openxmlformats.org/officeDocument/2006/relationships" r:id="rId1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3027" name="Picture 543411" descr="14-7641m">
          <a:hlinkClick xmlns:r="http://schemas.openxmlformats.org/officeDocument/2006/relationships" r:id="rId19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120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1020</xdr:row>
      <xdr:rowOff>0</xdr:rowOff>
    </xdr:from>
    <xdr:to>
      <xdr:col>2</xdr:col>
      <xdr:colOff>19050</xdr:colOff>
      <xdr:row>1020</xdr:row>
      <xdr:rowOff>0</xdr:rowOff>
    </xdr:to>
    <xdr:pic>
      <xdr:nvPicPr>
        <xdr:cNvPr id="3028" name="Picture 3644" descr="SL-K-Wm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24859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1290</xdr:row>
      <xdr:rowOff>0</xdr:rowOff>
    </xdr:from>
    <xdr:to>
      <xdr:col>2</xdr:col>
      <xdr:colOff>0</xdr:colOff>
      <xdr:row>1291</xdr:row>
      <xdr:rowOff>0</xdr:rowOff>
    </xdr:to>
    <xdr:pic>
      <xdr:nvPicPr>
        <xdr:cNvPr id="3029" name="Picture 543414" descr="T-TS-078m">
          <a:hlinkClick xmlns:r="http://schemas.openxmlformats.org/officeDocument/2006/relationships" r:id="rId1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583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1291</xdr:row>
      <xdr:rowOff>0</xdr:rowOff>
    </xdr:from>
    <xdr:to>
      <xdr:col>2</xdr:col>
      <xdr:colOff>0</xdr:colOff>
      <xdr:row>1292</xdr:row>
      <xdr:rowOff>0</xdr:rowOff>
    </xdr:to>
    <xdr:pic>
      <xdr:nvPicPr>
        <xdr:cNvPr id="3030" name="Picture 543415" descr="T-TS-079m">
          <a:hlinkClick xmlns:r="http://schemas.openxmlformats.org/officeDocument/2006/relationships" r:id="rId1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659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1292</xdr:row>
      <xdr:rowOff>0</xdr:rowOff>
    </xdr:from>
    <xdr:to>
      <xdr:col>2</xdr:col>
      <xdr:colOff>0</xdr:colOff>
      <xdr:row>1293</xdr:row>
      <xdr:rowOff>0</xdr:rowOff>
    </xdr:to>
    <xdr:pic>
      <xdr:nvPicPr>
        <xdr:cNvPr id="3031" name="Picture 543416" descr="T-TS-079-L m">
          <a:hlinkClick xmlns:r="http://schemas.openxmlformats.org/officeDocument/2006/relationships" r:id="rId1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735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3032" name="Picture 3226" descr="14-116m">
          <a:hlinkClick xmlns:r="http://schemas.openxmlformats.org/officeDocument/2006/relationships" r:id="rId1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401</xdr:row>
      <xdr:rowOff>0</xdr:rowOff>
    </xdr:from>
    <xdr:to>
      <xdr:col>2</xdr:col>
      <xdr:colOff>0</xdr:colOff>
      <xdr:row>402</xdr:row>
      <xdr:rowOff>0</xdr:rowOff>
    </xdr:to>
    <xdr:pic>
      <xdr:nvPicPr>
        <xdr:cNvPr id="3033" name="Picture 8443" descr="14-7622-Km">
          <a:hlinkClick xmlns:r="http://schemas.openxmlformats.org/officeDocument/2006/relationships" r:id="rId19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25656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3034" name="Picture 543419" descr="14-1637m">
          <a:hlinkClick xmlns:r="http://schemas.openxmlformats.org/officeDocument/2006/relationships" r:id="rId1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82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3035" name="Picture 543420" descr="14-1639m">
          <a:hlinkClick xmlns:r="http://schemas.openxmlformats.org/officeDocument/2006/relationships" r:id="rId1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358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3036" name="Picture 543421" descr="14-5643m">
          <a:hlinkClick xmlns:r="http://schemas.openxmlformats.org/officeDocument/2006/relationships" r:id="rId1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3037" name="Picture 543422" descr="14-3643m">
          <a:hlinkClick xmlns:r="http://schemas.openxmlformats.org/officeDocument/2006/relationships" r:id="rId1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3038" name="Picture 543423" descr="14-3643-1m">
          <a:hlinkClick xmlns:r="http://schemas.openxmlformats.org/officeDocument/2006/relationships" r:id="rId1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3039" name="Picture 543424" descr="35-6643m">
          <a:hlinkClick xmlns:r="http://schemas.openxmlformats.org/officeDocument/2006/relationships" r:id="rId1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0</xdr:rowOff>
    </xdr:to>
    <xdr:pic>
      <xdr:nvPicPr>
        <xdr:cNvPr id="3040" name="Picture 543425" descr="35-2644m">
          <a:hlinkClick xmlns:r="http://schemas.openxmlformats.org/officeDocument/2006/relationships" r:id="rId1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35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1293</xdr:row>
      <xdr:rowOff>0</xdr:rowOff>
    </xdr:from>
    <xdr:to>
      <xdr:col>2</xdr:col>
      <xdr:colOff>0</xdr:colOff>
      <xdr:row>1294</xdr:row>
      <xdr:rowOff>0</xdr:rowOff>
    </xdr:to>
    <xdr:pic>
      <xdr:nvPicPr>
        <xdr:cNvPr id="3041" name="Picture 543427" descr="T-TS-080m">
          <a:hlinkClick xmlns:r="http://schemas.openxmlformats.org/officeDocument/2006/relationships" r:id="rId1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812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1294</xdr:row>
      <xdr:rowOff>0</xdr:rowOff>
    </xdr:from>
    <xdr:to>
      <xdr:col>2</xdr:col>
      <xdr:colOff>0</xdr:colOff>
      <xdr:row>1295</xdr:row>
      <xdr:rowOff>0</xdr:rowOff>
    </xdr:to>
    <xdr:pic>
      <xdr:nvPicPr>
        <xdr:cNvPr id="3042" name="Picture 543429" descr="T-TS-080m">
          <a:hlinkClick xmlns:r="http://schemas.openxmlformats.org/officeDocument/2006/relationships" r:id="rId1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888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964</xdr:row>
      <xdr:rowOff>0</xdr:rowOff>
    </xdr:from>
    <xdr:to>
      <xdr:col>2</xdr:col>
      <xdr:colOff>0</xdr:colOff>
      <xdr:row>965</xdr:row>
      <xdr:rowOff>0</xdr:rowOff>
    </xdr:to>
    <xdr:pic>
      <xdr:nvPicPr>
        <xdr:cNvPr id="3043" name="Picture 543430" descr="1">
          <a:hlinkClick xmlns:r="http://schemas.openxmlformats.org/officeDocument/2006/relationships" r:id="rId19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1626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965</xdr:row>
      <xdr:rowOff>0</xdr:rowOff>
    </xdr:from>
    <xdr:to>
      <xdr:col>2</xdr:col>
      <xdr:colOff>0</xdr:colOff>
      <xdr:row>966</xdr:row>
      <xdr:rowOff>0</xdr:rowOff>
    </xdr:to>
    <xdr:pic>
      <xdr:nvPicPr>
        <xdr:cNvPr id="3044" name="Picture 543431" descr="1">
          <a:hlinkClick xmlns:r="http://schemas.openxmlformats.org/officeDocument/2006/relationships" r:id="rId19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2388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3045" name="Picture 543432" descr="14-116-1m">
          <a:hlinkClick xmlns:r="http://schemas.openxmlformats.org/officeDocument/2006/relationships" r:id="rId1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600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382</xdr:row>
      <xdr:rowOff>0</xdr:rowOff>
    </xdr:to>
    <xdr:pic>
      <xdr:nvPicPr>
        <xdr:cNvPr id="3046" name="Picture 543433" descr="14-5615m">
          <a:hlinkClick xmlns:r="http://schemas.openxmlformats.org/officeDocument/2006/relationships" r:id="rId1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45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2</xdr:col>
      <xdr:colOff>0</xdr:colOff>
      <xdr:row>474</xdr:row>
      <xdr:rowOff>0</xdr:rowOff>
    </xdr:to>
    <xdr:pic>
      <xdr:nvPicPr>
        <xdr:cNvPr id="3047" name="Picture 543434" descr="28-527m">
          <a:hlinkClick xmlns:r="http://schemas.openxmlformats.org/officeDocument/2006/relationships" r:id="rId19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9114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0</xdr:rowOff>
    </xdr:to>
    <xdr:pic>
      <xdr:nvPicPr>
        <xdr:cNvPr id="3048" name="Picture 543436" descr="14-3620m">
          <a:hlinkClick xmlns:r="http://schemas.openxmlformats.org/officeDocument/2006/relationships" r:id="rId1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072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263</xdr:row>
      <xdr:rowOff>0</xdr:rowOff>
    </xdr:to>
    <xdr:pic>
      <xdr:nvPicPr>
        <xdr:cNvPr id="3049" name="Picture 543437" descr="35-717m">
          <a:hlinkClick xmlns:r="http://schemas.openxmlformats.org/officeDocument/2006/relationships" r:id="rId1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59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3050" name="Picture 543438" descr="35-7506m">
          <a:hlinkClick xmlns:r="http://schemas.openxmlformats.org/officeDocument/2006/relationships" r:id="rId19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3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3051" name="Picture 543439" descr="35-2640m">
          <a:hlinkClick xmlns:r="http://schemas.openxmlformats.org/officeDocument/2006/relationships" r:id="rId1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216</xdr:row>
      <xdr:rowOff>0</xdr:rowOff>
    </xdr:from>
    <xdr:to>
      <xdr:col>2</xdr:col>
      <xdr:colOff>9525</xdr:colOff>
      <xdr:row>216</xdr:row>
      <xdr:rowOff>0</xdr:rowOff>
    </xdr:to>
    <xdr:pic>
      <xdr:nvPicPr>
        <xdr:cNvPr id="3052" name="Picture 4079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3053" name="Picture 543445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3054" name="Picture 543447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3055" name="Picture 543448" descr="35-1645m">
          <a:hlinkClick xmlns:r="http://schemas.openxmlformats.org/officeDocument/2006/relationships" r:id="rId19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948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3056" name="Picture 543450" descr="14-1649m">
          <a:hlinkClick xmlns:r="http://schemas.openxmlformats.org/officeDocument/2006/relationships" r:id="rId19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3057" name="Picture 543451" descr="14-1649m">
          <a:hlinkClick xmlns:r="http://schemas.openxmlformats.org/officeDocument/2006/relationships" r:id="rId19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01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3058" name="Picture 543452" descr="14-1652m">
          <a:hlinkClick xmlns:r="http://schemas.openxmlformats.org/officeDocument/2006/relationships" r:id="rId19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77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3059" name="Picture 543453" descr="14-1652m">
          <a:hlinkClick xmlns:r="http://schemas.openxmlformats.org/officeDocument/2006/relationships" r:id="rId19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77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3060" name="Picture 543454" descr="14-1651m">
          <a:hlinkClick xmlns:r="http://schemas.openxmlformats.org/officeDocument/2006/relationships" r:id="rId19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177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3061" name="Picture 543456" descr="14-1650m">
          <a:hlinkClick xmlns:r="http://schemas.openxmlformats.org/officeDocument/2006/relationships" r:id="rId19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329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3062" name="Picture 543458" descr="14-1650m">
          <a:hlinkClick xmlns:r="http://schemas.openxmlformats.org/officeDocument/2006/relationships" r:id="rId19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329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3063" name="Picture 543459" descr="28-7648m">
          <a:hlinkClick xmlns:r="http://schemas.openxmlformats.org/officeDocument/2006/relationships" r:id="rId1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3064" name="Picture 543460" descr="35-3648m">
          <a:hlinkClick xmlns:r="http://schemas.openxmlformats.org/officeDocument/2006/relationships" r:id="rId19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3065" name="Picture 543461" descr="35-8648m">
          <a:hlinkClick xmlns:r="http://schemas.openxmlformats.org/officeDocument/2006/relationships" r:id="rId19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44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pic>
      <xdr:nvPicPr>
        <xdr:cNvPr id="3066" name="Picture 3068" descr="34-1501m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3067" name="Picture 21383" descr="34-1505m">
          <a:hlinkClick xmlns:r="http://schemas.openxmlformats.org/officeDocument/2006/relationships" r:id="rId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82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3068" name="Picture 21384" descr="34-1505-1m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59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pic>
      <xdr:nvPicPr>
        <xdr:cNvPr id="3069" name="Picture 543466" descr="14-1646">
          <a:hlinkClick xmlns:r="http://schemas.openxmlformats.org/officeDocument/2006/relationships" r:id="rId1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226</xdr:row>
      <xdr:rowOff>0</xdr:rowOff>
    </xdr:to>
    <xdr:pic>
      <xdr:nvPicPr>
        <xdr:cNvPr id="3070" name="Picture 3444" descr="14-1559m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11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435</xdr:row>
      <xdr:rowOff>0</xdr:rowOff>
    </xdr:to>
    <xdr:pic>
      <xdr:nvPicPr>
        <xdr:cNvPr id="3071" name="Picture 4094" descr="14-1621m">
          <a:hlinkClick xmlns:r="http://schemas.openxmlformats.org/officeDocument/2006/relationships" r:id="rId19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1709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127</xdr:row>
      <xdr:rowOff>28575</xdr:rowOff>
    </xdr:from>
    <xdr:to>
      <xdr:col>2</xdr:col>
      <xdr:colOff>904875</xdr:colOff>
      <xdr:row>127</xdr:row>
      <xdr:rowOff>142875</xdr:rowOff>
    </xdr:to>
    <xdr:pic>
      <xdr:nvPicPr>
        <xdr:cNvPr id="307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875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113</xdr:row>
      <xdr:rowOff>0</xdr:rowOff>
    </xdr:from>
    <xdr:to>
      <xdr:col>2</xdr:col>
      <xdr:colOff>904875</xdr:colOff>
      <xdr:row>113</xdr:row>
      <xdr:rowOff>0</xdr:rowOff>
    </xdr:to>
    <xdr:pic>
      <xdr:nvPicPr>
        <xdr:cNvPr id="307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034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pic>
      <xdr:nvPicPr>
        <xdr:cNvPr id="3074" name="Picture 4094" descr="14-1621m">
          <a:hlinkClick xmlns:r="http://schemas.openxmlformats.org/officeDocument/2006/relationships" r:id="rId1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2</xdr:col>
      <xdr:colOff>0</xdr:colOff>
      <xdr:row>406</xdr:row>
      <xdr:rowOff>752475</xdr:rowOff>
    </xdr:to>
    <xdr:pic>
      <xdr:nvPicPr>
        <xdr:cNvPr id="3075" name="Picture 4059">
          <a:hlinkClick xmlns:r="http://schemas.openxmlformats.org/officeDocument/2006/relationships" r:id="rId1601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851675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359</xdr:row>
      <xdr:rowOff>0</xdr:rowOff>
    </xdr:to>
    <xdr:pic>
      <xdr:nvPicPr>
        <xdr:cNvPr id="3076" name="Picture 4004" descr="41-392m">
          <a:hlinkClick xmlns:r="http://schemas.openxmlformats.org/officeDocument/2006/relationships" r:id="rId1992"/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157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101</xdr:row>
      <xdr:rowOff>0</xdr:rowOff>
    </xdr:from>
    <xdr:to>
      <xdr:col>2</xdr:col>
      <xdr:colOff>19050</xdr:colOff>
      <xdr:row>102</xdr:row>
      <xdr:rowOff>0</xdr:rowOff>
    </xdr:to>
    <xdr:pic>
      <xdr:nvPicPr>
        <xdr:cNvPr id="3077" name="Picture 3746" descr="14-1593m">
          <a:hlinkClick xmlns:r="http://schemas.openxmlformats.org/officeDocument/2006/relationships" r:id="rId1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72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3078" name="Picture 3538" descr="14-1570m">
          <a:hlinkClick xmlns:r="http://schemas.openxmlformats.org/officeDocument/2006/relationships" r:id="rId9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34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079" name="Picture 3440" descr="14-1544m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3080" name="Picture 4094" descr="14-1621m">
          <a:hlinkClick xmlns:r="http://schemas.openxmlformats.org/officeDocument/2006/relationships" r:id="rId1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0</xdr:rowOff>
    </xdr:to>
    <xdr:pic>
      <xdr:nvPicPr>
        <xdr:cNvPr id="3081" name="Picture 4094" descr="14-1621m">
          <a:hlinkClick xmlns:r="http://schemas.openxmlformats.org/officeDocument/2006/relationships" r:id="rId1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082" name="Picture 3496" descr="14-5564m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083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084" name="Picture 3666" descr="14-5564m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3085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131</xdr:row>
      <xdr:rowOff>0</xdr:rowOff>
    </xdr:to>
    <xdr:pic>
      <xdr:nvPicPr>
        <xdr:cNvPr id="3086" name="Picture 543503" descr="35-1638m">
          <a:hlinkClick xmlns:r="http://schemas.openxmlformats.org/officeDocument/2006/relationships" r:id="rId1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3087" name="Picture 543504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3088" name="Picture 543505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3089" name="Picture 543506" descr="28-7503m">
          <a:hlinkClick xmlns:r="http://schemas.openxmlformats.org/officeDocument/2006/relationships" r:id="rId1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0</xdr:rowOff>
    </xdr:to>
    <xdr:pic>
      <xdr:nvPicPr>
        <xdr:cNvPr id="3090" name="Picture 543507" descr="14-2653m">
          <a:hlinkClick xmlns:r="http://schemas.openxmlformats.org/officeDocument/2006/relationships" r:id="rId2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0</xdr:rowOff>
    </xdr:to>
    <xdr:pic>
      <xdr:nvPicPr>
        <xdr:cNvPr id="3091" name="Picture 543508" descr="14-3177m">
          <a:hlinkClick xmlns:r="http://schemas.openxmlformats.org/officeDocument/2006/relationships" r:id="rId2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072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968</xdr:row>
      <xdr:rowOff>0</xdr:rowOff>
    </xdr:from>
    <xdr:to>
      <xdr:col>2</xdr:col>
      <xdr:colOff>0</xdr:colOff>
      <xdr:row>969</xdr:row>
      <xdr:rowOff>0</xdr:rowOff>
    </xdr:to>
    <xdr:pic>
      <xdr:nvPicPr>
        <xdr:cNvPr id="3092" name="Рисунок 1307">
          <a:hlinkClick xmlns:r="http://schemas.openxmlformats.org/officeDocument/2006/relationships" r:id="rId2004"/>
        </xdr:cNvPr>
        <xdr:cNvPicPr>
          <a:picLocks noChangeAspect="1"/>
        </xdr:cNvPicPr>
      </xdr:nvPicPr>
      <xdr:blipFill>
        <a:blip xmlns:r="http://schemas.openxmlformats.org/officeDocument/2006/relationships" r:embed="rId1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3912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966</xdr:row>
      <xdr:rowOff>0</xdr:rowOff>
    </xdr:from>
    <xdr:to>
      <xdr:col>2</xdr:col>
      <xdr:colOff>0</xdr:colOff>
      <xdr:row>967</xdr:row>
      <xdr:rowOff>0</xdr:rowOff>
    </xdr:to>
    <xdr:pic>
      <xdr:nvPicPr>
        <xdr:cNvPr id="3093" name="Picture 543510" descr="K-06m">
          <a:hlinkClick xmlns:r="http://schemas.openxmlformats.org/officeDocument/2006/relationships" r:id="rId20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3150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967</xdr:row>
      <xdr:rowOff>0</xdr:rowOff>
    </xdr:from>
    <xdr:to>
      <xdr:col>2</xdr:col>
      <xdr:colOff>0</xdr:colOff>
      <xdr:row>968</xdr:row>
      <xdr:rowOff>0</xdr:rowOff>
    </xdr:to>
    <xdr:pic>
      <xdr:nvPicPr>
        <xdr:cNvPr id="3094" name="Picture 543511" descr="K-06m">
          <a:hlinkClick xmlns:r="http://schemas.openxmlformats.org/officeDocument/2006/relationships" r:id="rId20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31501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3095" name="Picture 543512" descr="14-788m">
          <a:hlinkClick xmlns:r="http://schemas.openxmlformats.org/officeDocument/2006/relationships" r:id="rId2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329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3096" name="Picture 543513" descr="14-488m">
          <a:hlinkClick xmlns:r="http://schemas.openxmlformats.org/officeDocument/2006/relationships" r:id="rId2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405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2</xdr:col>
      <xdr:colOff>0</xdr:colOff>
      <xdr:row>611</xdr:row>
      <xdr:rowOff>0</xdr:rowOff>
    </xdr:to>
    <xdr:pic>
      <xdr:nvPicPr>
        <xdr:cNvPr id="3097" name="Picture 543514" descr="35-5538m">
          <a:hlinkClick xmlns:r="http://schemas.openxmlformats.org/officeDocument/2006/relationships" r:id="rId20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47531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756</xdr:row>
      <xdr:rowOff>0</xdr:rowOff>
    </xdr:from>
    <xdr:to>
      <xdr:col>2</xdr:col>
      <xdr:colOff>0</xdr:colOff>
      <xdr:row>756</xdr:row>
      <xdr:rowOff>9525</xdr:rowOff>
    </xdr:to>
    <xdr:pic>
      <xdr:nvPicPr>
        <xdr:cNvPr id="3098" name="Picture 543516" descr="14-1642m">
          <a:hlinkClick xmlns:r="http://schemas.openxmlformats.org/officeDocument/2006/relationships" r:id="rId2014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943617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338</xdr:row>
      <xdr:rowOff>0</xdr:rowOff>
    </xdr:to>
    <xdr:pic>
      <xdr:nvPicPr>
        <xdr:cNvPr id="3099" name="Picture 543517" descr="35-518m">
          <a:hlinkClick xmlns:r="http://schemas.openxmlformats.org/officeDocument/2006/relationships" r:id="rId20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39538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3100" name="Picture 543518" descr="14-1651m">
          <a:hlinkClick xmlns:r="http://schemas.openxmlformats.org/officeDocument/2006/relationships" r:id="rId20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253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101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3102" name="Picture 3503" descr="14-1569m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8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3103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3104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3105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9</xdr:row>
      <xdr:rowOff>0</xdr:rowOff>
    </xdr:to>
    <xdr:pic>
      <xdr:nvPicPr>
        <xdr:cNvPr id="3106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3107" name="Picture 8606" descr="14-1617m">
          <a:hlinkClick xmlns:r="http://schemas.openxmlformats.org/officeDocument/2006/relationships" r:id="rId1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05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3108" name="Picture 8608" descr="14-1617m">
          <a:hlinkClick xmlns:r="http://schemas.openxmlformats.org/officeDocument/2006/relationships" r:id="rId1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81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3109" name="Picture 4191" descr="14-197m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662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3110" name="Picture 4191" descr="14-197m">
          <a:hlinkClick xmlns:r="http://schemas.openxmlformats.org/officeDocument/2006/relationships" r:id="rId1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738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3111" name="Picture 3972" descr="14-1609m">
          <a:hlinkClick xmlns:r="http://schemas.openxmlformats.org/officeDocument/2006/relationships" r:id="rId1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9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112" name="Picture 3496" descr="14-5564m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653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3113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729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3114" name="Picture 3666" descr="14-5564m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805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3115" name="Picture 3540" descr="34-5564m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729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116" name="Picture 3320" descr="14-1530m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3117" name="Picture 3321" descr="34-1530m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77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3118" name="Picture 3321" descr="34-1530m">
          <a:hlinkClick xmlns:r="http://schemas.openxmlformats.org/officeDocument/2006/relationships" r:id="rId19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77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3119" name="Picture 4166" descr="14-1501m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110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3120" name="Picture 3068" descr="34-1501m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186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121</xdr:row>
      <xdr:rowOff>0</xdr:rowOff>
    </xdr:from>
    <xdr:to>
      <xdr:col>2</xdr:col>
      <xdr:colOff>19050</xdr:colOff>
      <xdr:row>122</xdr:row>
      <xdr:rowOff>0</xdr:rowOff>
    </xdr:to>
    <xdr:pic>
      <xdr:nvPicPr>
        <xdr:cNvPr id="3121" name="Picture 3617" descr="14-1581m">
          <a:hlinkClick xmlns:r="http://schemas.openxmlformats.org/officeDocument/2006/relationships" r:id="rId1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3122" name="Picture 4094" descr="14-1621m">
          <a:hlinkClick xmlns:r="http://schemas.openxmlformats.org/officeDocument/2006/relationships" r:id="rId1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91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3123" name="Picture 4094" descr="14-1621m">
          <a:hlinkClick xmlns:r="http://schemas.openxmlformats.org/officeDocument/2006/relationships" r:id="rId1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567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2</xdr:col>
      <xdr:colOff>0</xdr:colOff>
      <xdr:row>125</xdr:row>
      <xdr:rowOff>9525</xdr:rowOff>
    </xdr:to>
    <xdr:pic>
      <xdr:nvPicPr>
        <xdr:cNvPr id="3124" name="Picture 543546" descr="14-1642m">
          <a:hlinkClick xmlns:r="http://schemas.openxmlformats.org/officeDocument/2006/relationships" r:id="rId1922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6447650"/>
          <a:ext cx="752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3125" name="Picture 543547" descr="14-1642m">
          <a:hlinkClick xmlns:r="http://schemas.openxmlformats.org/officeDocument/2006/relationships" r:id="rId1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20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126</xdr:row>
      <xdr:rowOff>0</xdr:rowOff>
    </xdr:from>
    <xdr:to>
      <xdr:col>2</xdr:col>
      <xdr:colOff>9525</xdr:colOff>
      <xdr:row>126</xdr:row>
      <xdr:rowOff>0</xdr:rowOff>
    </xdr:to>
    <xdr:pic>
      <xdr:nvPicPr>
        <xdr:cNvPr id="3126" name="Picture 4079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96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3127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128" name="Picture 543550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0</xdr:rowOff>
    </xdr:to>
    <xdr:pic>
      <xdr:nvPicPr>
        <xdr:cNvPr id="3129" name="Picture 543551" descr="28-5647m">
          <a:hlinkClick xmlns:r="http://schemas.openxmlformats.org/officeDocument/2006/relationships" r:id="rId2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3130" name="Picture 543554" descr="28-7503m">
          <a:hlinkClick xmlns:r="http://schemas.openxmlformats.org/officeDocument/2006/relationships" r:id="rId1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768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3131" name="Picture 543555" descr="14-2653m">
          <a:hlinkClick xmlns:r="http://schemas.openxmlformats.org/officeDocument/2006/relationships" r:id="rId2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72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3132" name="Picture 543557" descr="35-2640m">
          <a:hlinkClick xmlns:r="http://schemas.openxmlformats.org/officeDocument/2006/relationships" r:id="rId1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3133" name="Picture 543558" descr="35-2640m">
          <a:hlinkClick xmlns:r="http://schemas.openxmlformats.org/officeDocument/2006/relationships" r:id="rId1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100</xdr:row>
      <xdr:rowOff>0</xdr:rowOff>
    </xdr:to>
    <xdr:pic>
      <xdr:nvPicPr>
        <xdr:cNvPr id="3134" name="Picture 4017" descr="14-289m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196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3135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132</xdr:row>
      <xdr:rowOff>0</xdr:rowOff>
    </xdr:to>
    <xdr:pic>
      <xdr:nvPicPr>
        <xdr:cNvPr id="3136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137" name="Picture 3661" descr="14-1530m">
          <a:hlinkClick xmlns:r="http://schemas.openxmlformats.org/officeDocument/2006/relationships" r:id="rId1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424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3138" name="Picture 21372" descr="14-1505-1m">
          <a:hlinkClick xmlns:r="http://schemas.openxmlformats.org/officeDocument/2006/relationships" r:id="rId1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5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3139" name="Picture 21373" descr="14-1505m">
          <a:hlinkClick xmlns:r="http://schemas.openxmlformats.org/officeDocument/2006/relationships" r:id="rId1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19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3140" name="Picture 3458" descr="36-1530m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500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3141" name="Picture 3908" descr="14-2605m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9</xdr:row>
      <xdr:rowOff>9525</xdr:rowOff>
    </xdr:from>
    <xdr:to>
      <xdr:col>2</xdr:col>
      <xdr:colOff>0</xdr:colOff>
      <xdr:row>10</xdr:row>
      <xdr:rowOff>0</xdr:rowOff>
    </xdr:to>
    <xdr:pic>
      <xdr:nvPicPr>
        <xdr:cNvPr id="3142" name="Picture 543568" descr="14-1642m">
          <a:hlinkClick xmlns:r="http://schemas.openxmlformats.org/officeDocument/2006/relationships" r:id="rId2014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180</xdr:row>
      <xdr:rowOff>0</xdr:rowOff>
    </xdr:to>
    <xdr:pic>
      <xdr:nvPicPr>
        <xdr:cNvPr id="3143" name="Picture 543569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2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180</xdr:row>
      <xdr:rowOff>0</xdr:rowOff>
    </xdr:to>
    <xdr:pic>
      <xdr:nvPicPr>
        <xdr:cNvPr id="3144" name="Picture 543570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2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3145" name="Picture 543571" descr="35-2640m">
          <a:hlinkClick xmlns:r="http://schemas.openxmlformats.org/officeDocument/2006/relationships" r:id="rId1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96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3146" name="Picture 543572" descr="35-2640m">
          <a:hlinkClick xmlns:r="http://schemas.openxmlformats.org/officeDocument/2006/relationships" r:id="rId1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20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97</xdr:row>
      <xdr:rowOff>0</xdr:rowOff>
    </xdr:to>
    <xdr:pic>
      <xdr:nvPicPr>
        <xdr:cNvPr id="3147" name="Picture 3930" descr="14-167m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67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3148" name="Picture 543574" descr="14-3177m">
          <a:hlinkClick xmlns:r="http://schemas.openxmlformats.org/officeDocument/2006/relationships" r:id="rId2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357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19050</xdr:colOff>
      <xdr:row>127</xdr:row>
      <xdr:rowOff>0</xdr:rowOff>
    </xdr:to>
    <xdr:pic>
      <xdr:nvPicPr>
        <xdr:cNvPr id="3149" name="Picture 3648" descr="14-1583m">
          <a:hlinkClick xmlns:r="http://schemas.openxmlformats.org/officeDocument/2006/relationships" r:id="rId1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796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111</xdr:row>
      <xdr:rowOff>0</xdr:rowOff>
    </xdr:to>
    <xdr:pic>
      <xdr:nvPicPr>
        <xdr:cNvPr id="3150" name="Picture 3502" descr="14-1569m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88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3151" name="Picture 3503" descr="14-1569m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881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3152" name="Picture 3440" descr="14-1544m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948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3153" name="Picture 3566" descr="14-1575m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558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146</xdr:row>
      <xdr:rowOff>0</xdr:rowOff>
    </xdr:from>
    <xdr:to>
      <xdr:col>2</xdr:col>
      <xdr:colOff>9525</xdr:colOff>
      <xdr:row>147</xdr:row>
      <xdr:rowOff>0</xdr:rowOff>
    </xdr:to>
    <xdr:pic>
      <xdr:nvPicPr>
        <xdr:cNvPr id="3154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34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147</xdr:row>
      <xdr:rowOff>0</xdr:rowOff>
    </xdr:from>
    <xdr:to>
      <xdr:col>2</xdr:col>
      <xdr:colOff>9525</xdr:colOff>
      <xdr:row>148</xdr:row>
      <xdr:rowOff>0</xdr:rowOff>
    </xdr:to>
    <xdr:pic>
      <xdr:nvPicPr>
        <xdr:cNvPr id="3155" name="Picture 3569" descr="14-1575m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710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3156" name="Picture 3253" descr="14-1526-2m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8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3157" name="Picture 21372" descr="14-1505-1m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863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3158" name="Picture 21373" descr="14-1505m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786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3159" name="Picture 3968" descr="34-141m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463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3160" name="Picture 3968" descr="34-141m">
          <a:hlinkClick xmlns:r="http://schemas.openxmlformats.org/officeDocument/2006/relationships" r:id="rId1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87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3161" name="Picture 543588" descr="35-2644m">
          <a:hlinkClick xmlns:r="http://schemas.openxmlformats.org/officeDocument/2006/relationships" r:id="rId1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310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3162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539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3163" name="Picture 3356" descr="34-1540m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463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3164" name="Picture 3927" descr="14-136m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15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3165" name="Picture 3967" descr="34-136m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3166" name="Picture 3967" descr="34-136m">
          <a:hlinkClick xmlns:r="http://schemas.openxmlformats.org/officeDocument/2006/relationships" r:id="rId18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167" name="Picture 3442" descr="14-1559m">
          <a:hlinkClick xmlns:r="http://schemas.openxmlformats.org/officeDocument/2006/relationships" r:id="rId8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67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98</xdr:row>
      <xdr:rowOff>0</xdr:rowOff>
    </xdr:to>
    <xdr:pic>
      <xdr:nvPicPr>
        <xdr:cNvPr id="3168" name="Picture 3815" descr="14-1599m">
          <a:hlinkClick xmlns:r="http://schemas.openxmlformats.org/officeDocument/2006/relationships" r:id="rId1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3169" name="Picture 3766" descr="14-6539m">
          <a:hlinkClick xmlns:r="http://schemas.openxmlformats.org/officeDocument/2006/relationships" r:id="rId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482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3170" name="Picture 3767" descr="14-6539m">
          <a:hlinkClick xmlns:r="http://schemas.openxmlformats.org/officeDocument/2006/relationships" r:id="rId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558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3171" name="Picture 8565" descr="14-1624m">
          <a:hlinkClick xmlns:r="http://schemas.openxmlformats.org/officeDocument/2006/relationships" r:id="rId1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110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3172" name="Picture 3933" descr="14-172m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3173" name="Picture 3908" descr="14-2605m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49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3174" name="Picture 3908" descr="14-2605m">
          <a:hlinkClick xmlns:r="http://schemas.openxmlformats.org/officeDocument/2006/relationships" r:id="rId1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072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3175" name="Picture 8460" descr="14-1623m">
          <a:hlinkClick xmlns:r="http://schemas.openxmlformats.org/officeDocument/2006/relationships" r:id="rId1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48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3176" name="Picture 8460" descr="14-1623m">
          <a:hlinkClick xmlns:r="http://schemas.openxmlformats.org/officeDocument/2006/relationships" r:id="rId18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625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3177" name="Picture 4058" descr="14-218m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06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3178" name="Picture 543608" descr="35-518m">
          <a:hlinkClick xmlns:r="http://schemas.openxmlformats.org/officeDocument/2006/relationships" r:id="rId20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82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3179" name="Picture 3987" descr="14-3615m">
          <a:hlinkClick xmlns:r="http://schemas.openxmlformats.org/officeDocument/2006/relationships" r:id="rId1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58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3180" name="Picture 4004" descr="41-392m">
          <a:hlinkClick xmlns:r="http://schemas.openxmlformats.org/officeDocument/2006/relationships" r:id="rId1992"/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758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3181" name="Picture 4164" descr="14-130m">
          <a:hlinkClick xmlns:r="http://schemas.openxmlformats.org/officeDocument/2006/relationships" r:id="rId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262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1295</xdr:row>
      <xdr:rowOff>0</xdr:rowOff>
    </xdr:from>
    <xdr:to>
      <xdr:col>2</xdr:col>
      <xdr:colOff>0</xdr:colOff>
      <xdr:row>1296</xdr:row>
      <xdr:rowOff>0</xdr:rowOff>
    </xdr:to>
    <xdr:pic>
      <xdr:nvPicPr>
        <xdr:cNvPr id="3182" name="Picture 543612" descr="T-TS-081m">
          <a:hlinkClick xmlns:r="http://schemas.openxmlformats.org/officeDocument/2006/relationships" r:id="rId20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9644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3183" name="Picture 543613" descr="14-1656m">
          <a:hlinkClick xmlns:r="http://schemas.openxmlformats.org/officeDocument/2006/relationships" r:id="rId20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53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3184" name="Picture 543614" descr="35-1656m">
          <a:hlinkClick xmlns:r="http://schemas.openxmlformats.org/officeDocument/2006/relationships" r:id="rId2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2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3185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3186" name="Picture 3647" descr="14-1582m">
          <a:hlinkClick xmlns:r="http://schemas.openxmlformats.org/officeDocument/2006/relationships" r:id="rId20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219</xdr:row>
      <xdr:rowOff>0</xdr:rowOff>
    </xdr:from>
    <xdr:to>
      <xdr:col>2</xdr:col>
      <xdr:colOff>9525</xdr:colOff>
      <xdr:row>219</xdr:row>
      <xdr:rowOff>0</xdr:rowOff>
    </xdr:to>
    <xdr:pic>
      <xdr:nvPicPr>
        <xdr:cNvPr id="3187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219</xdr:row>
      <xdr:rowOff>0</xdr:rowOff>
    </xdr:to>
    <xdr:pic>
      <xdr:nvPicPr>
        <xdr:cNvPr id="3188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0</xdr:rowOff>
    </xdr:to>
    <xdr:pic>
      <xdr:nvPicPr>
        <xdr:cNvPr id="3189" name="Picture 3932" descr="14-170m">
          <a:hlinkClick xmlns:r="http://schemas.openxmlformats.org/officeDocument/2006/relationships" r:id="rId2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92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91</xdr:row>
      <xdr:rowOff>0</xdr:rowOff>
    </xdr:from>
    <xdr:to>
      <xdr:col>2</xdr:col>
      <xdr:colOff>19050</xdr:colOff>
      <xdr:row>92</xdr:row>
      <xdr:rowOff>0</xdr:rowOff>
    </xdr:to>
    <xdr:pic>
      <xdr:nvPicPr>
        <xdr:cNvPr id="3190" name="Picture 3585" descr="14-1577m">
          <a:hlinkClick xmlns:r="http://schemas.openxmlformats.org/officeDocument/2006/relationships" r:id="rId1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10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92</xdr:row>
      <xdr:rowOff>0</xdr:rowOff>
    </xdr:from>
    <xdr:to>
      <xdr:col>2</xdr:col>
      <xdr:colOff>19050</xdr:colOff>
      <xdr:row>93</xdr:row>
      <xdr:rowOff>0</xdr:rowOff>
    </xdr:to>
    <xdr:pic>
      <xdr:nvPicPr>
        <xdr:cNvPr id="3191" name="Picture 3585" descr="14-1577m">
          <a:hlinkClick xmlns:r="http://schemas.openxmlformats.org/officeDocument/2006/relationships" r:id="rId1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86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79</xdr:row>
      <xdr:rowOff>0</xdr:rowOff>
    </xdr:to>
    <xdr:pic>
      <xdr:nvPicPr>
        <xdr:cNvPr id="3192" name="Picture 543626" descr="14-1657m">
          <a:hlinkClick xmlns:r="http://schemas.openxmlformats.org/officeDocument/2006/relationships" r:id="rId20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8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3193" name="Picture 543627" descr="14-2658m">
          <a:hlinkClick xmlns:r="http://schemas.openxmlformats.org/officeDocument/2006/relationships" r:id="rId20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8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3194" name="Picture 543628" descr="14-2659m">
          <a:hlinkClick xmlns:r="http://schemas.openxmlformats.org/officeDocument/2006/relationships" r:id="rId2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24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3195" name="Picture 543629" descr="14-2659m">
          <a:hlinkClick xmlns:r="http://schemas.openxmlformats.org/officeDocument/2006/relationships" r:id="rId20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00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3196" name="Picture 543630" descr="14-2659m">
          <a:hlinkClick xmlns:r="http://schemas.openxmlformats.org/officeDocument/2006/relationships" r:id="rId20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976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3197" name="Picture 543631" descr="14-1657m">
          <a:hlinkClick xmlns:r="http://schemas.openxmlformats.org/officeDocument/2006/relationships" r:id="rId20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48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198" name="Picture 3920" descr="14-119m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043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199" name="Picture 3920" descr="14-119m">
          <a:hlinkClick xmlns:r="http://schemas.openxmlformats.org/officeDocument/2006/relationships" r:id="rId1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119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513</xdr:row>
      <xdr:rowOff>0</xdr:rowOff>
    </xdr:to>
    <xdr:pic>
      <xdr:nvPicPr>
        <xdr:cNvPr id="3200" name="Picture 3965" descr="34-123m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37930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695</xdr:row>
      <xdr:rowOff>0</xdr:rowOff>
    </xdr:from>
    <xdr:to>
      <xdr:col>2</xdr:col>
      <xdr:colOff>9525</xdr:colOff>
      <xdr:row>696</xdr:row>
      <xdr:rowOff>0</xdr:rowOff>
    </xdr:to>
    <xdr:pic>
      <xdr:nvPicPr>
        <xdr:cNvPr id="3201" name="Picture 543636" descr="42-923m">
          <a:hlinkClick xmlns:r="http://schemas.openxmlformats.org/officeDocument/2006/relationships" r:id="rId20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7081000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79</xdr:row>
      <xdr:rowOff>0</xdr:rowOff>
    </xdr:from>
    <xdr:to>
      <xdr:col>2</xdr:col>
      <xdr:colOff>904875</xdr:colOff>
      <xdr:row>79</xdr:row>
      <xdr:rowOff>0</xdr:rowOff>
    </xdr:to>
    <xdr:pic>
      <xdr:nvPicPr>
        <xdr:cNvPr id="320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748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79</xdr:row>
      <xdr:rowOff>28575</xdr:rowOff>
    </xdr:from>
    <xdr:to>
      <xdr:col>2</xdr:col>
      <xdr:colOff>904875</xdr:colOff>
      <xdr:row>79</xdr:row>
      <xdr:rowOff>142875</xdr:rowOff>
    </xdr:to>
    <xdr:pic>
      <xdr:nvPicPr>
        <xdr:cNvPr id="320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748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304</xdr:row>
      <xdr:rowOff>0</xdr:rowOff>
    </xdr:to>
    <xdr:pic>
      <xdr:nvPicPr>
        <xdr:cNvPr id="3204" name="Picture 3209" descr="14-1519m">
          <a:hlinkClick xmlns:r="http://schemas.openxmlformats.org/officeDocument/2006/relationships" r:id="rId20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3205" name="Picture 3965" descr="34-123m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53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118</xdr:row>
      <xdr:rowOff>9525</xdr:rowOff>
    </xdr:from>
    <xdr:to>
      <xdr:col>2</xdr:col>
      <xdr:colOff>9525</xdr:colOff>
      <xdr:row>119</xdr:row>
      <xdr:rowOff>0</xdr:rowOff>
    </xdr:to>
    <xdr:pic>
      <xdr:nvPicPr>
        <xdr:cNvPr id="3206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3399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118</xdr:row>
      <xdr:rowOff>0</xdr:rowOff>
    </xdr:from>
    <xdr:to>
      <xdr:col>2</xdr:col>
      <xdr:colOff>19050</xdr:colOff>
      <xdr:row>119</xdr:row>
      <xdr:rowOff>0</xdr:rowOff>
    </xdr:to>
    <xdr:pic>
      <xdr:nvPicPr>
        <xdr:cNvPr id="3207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339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119</xdr:row>
      <xdr:rowOff>0</xdr:rowOff>
    </xdr:from>
    <xdr:to>
      <xdr:col>2</xdr:col>
      <xdr:colOff>0</xdr:colOff>
      <xdr:row>119</xdr:row>
      <xdr:rowOff>0</xdr:rowOff>
    </xdr:to>
    <xdr:pic>
      <xdr:nvPicPr>
        <xdr:cNvPr id="3208" name="Picture 543654" descr="14-1642m">
          <a:hlinkClick xmlns:r="http://schemas.openxmlformats.org/officeDocument/2006/relationships" r:id="rId1922"/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15212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pic>
      <xdr:nvPicPr>
        <xdr:cNvPr id="3209" name="Picture 543655" descr="14-1642m">
          <a:hlinkClick xmlns:r="http://schemas.openxmlformats.org/officeDocument/2006/relationships" r:id="rId1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119</xdr:row>
      <xdr:rowOff>9525</xdr:rowOff>
    </xdr:from>
    <xdr:to>
      <xdr:col>2</xdr:col>
      <xdr:colOff>9525</xdr:colOff>
      <xdr:row>120</xdr:row>
      <xdr:rowOff>0</xdr:rowOff>
    </xdr:to>
    <xdr:pic>
      <xdr:nvPicPr>
        <xdr:cNvPr id="3210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</xdr:row>
      <xdr:rowOff>0</xdr:rowOff>
    </xdr:from>
    <xdr:to>
      <xdr:col>2</xdr:col>
      <xdr:colOff>19050</xdr:colOff>
      <xdr:row>120</xdr:row>
      <xdr:rowOff>0</xdr:rowOff>
    </xdr:to>
    <xdr:pic>
      <xdr:nvPicPr>
        <xdr:cNvPr id="3211" name="Picture 3647" descr="14-1582m">
          <a:hlinkClick xmlns:r="http://schemas.openxmlformats.org/officeDocument/2006/relationships" r:id="rId20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119</xdr:row>
      <xdr:rowOff>9525</xdr:rowOff>
    </xdr:from>
    <xdr:to>
      <xdr:col>2</xdr:col>
      <xdr:colOff>9525</xdr:colOff>
      <xdr:row>120</xdr:row>
      <xdr:rowOff>0</xdr:rowOff>
    </xdr:to>
    <xdr:pic>
      <xdr:nvPicPr>
        <xdr:cNvPr id="3212" name="Picture 3565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15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119</xdr:row>
      <xdr:rowOff>0</xdr:rowOff>
    </xdr:from>
    <xdr:to>
      <xdr:col>2</xdr:col>
      <xdr:colOff>19050</xdr:colOff>
      <xdr:row>120</xdr:row>
      <xdr:rowOff>0</xdr:rowOff>
    </xdr:to>
    <xdr:pic>
      <xdr:nvPicPr>
        <xdr:cNvPr id="3213" name="Picture 3647" descr="14-1582m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3214" name="Picture 3444" descr="14-1559m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234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3215" name="Picture 3932" descr="14-170m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20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156</xdr:row>
      <xdr:rowOff>0</xdr:rowOff>
    </xdr:to>
    <xdr:pic>
      <xdr:nvPicPr>
        <xdr:cNvPr id="3216" name="Picture 3937" descr="14-186m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3217" name="Picture 3969" descr="34-170m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472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3218" name="Picture 3932" descr="14-170m">
          <a:hlinkClick xmlns:r="http://schemas.openxmlformats.org/officeDocument/2006/relationships" r:id="rId2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96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68</xdr:row>
      <xdr:rowOff>0</xdr:rowOff>
    </xdr:to>
    <xdr:pic>
      <xdr:nvPicPr>
        <xdr:cNvPr id="3219" name="Picture 543665" descr="14-1519m">
          <a:hlinkClick xmlns:r="http://schemas.openxmlformats.org/officeDocument/2006/relationships" r:id="rId20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62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3220" name="Picture 543666" descr="14-1519m">
          <a:hlinkClick xmlns:r="http://schemas.openxmlformats.org/officeDocument/2006/relationships" r:id="rId20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62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3221" name="Picture 543667" descr="14-1519m">
          <a:hlinkClick xmlns:r="http://schemas.openxmlformats.org/officeDocument/2006/relationships" r:id="rId20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62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66</xdr:row>
      <xdr:rowOff>28575</xdr:rowOff>
    </xdr:from>
    <xdr:to>
      <xdr:col>2</xdr:col>
      <xdr:colOff>904875</xdr:colOff>
      <xdr:row>66</xdr:row>
      <xdr:rowOff>142875</xdr:rowOff>
    </xdr:to>
    <xdr:pic>
      <xdr:nvPicPr>
        <xdr:cNvPr id="322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9128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68</xdr:row>
      <xdr:rowOff>28575</xdr:rowOff>
    </xdr:from>
    <xdr:to>
      <xdr:col>2</xdr:col>
      <xdr:colOff>904875</xdr:colOff>
      <xdr:row>68</xdr:row>
      <xdr:rowOff>142875</xdr:rowOff>
    </xdr:to>
    <xdr:pic>
      <xdr:nvPicPr>
        <xdr:cNvPr id="322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0624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84</xdr:row>
      <xdr:rowOff>28575</xdr:rowOff>
    </xdr:from>
    <xdr:to>
      <xdr:col>2</xdr:col>
      <xdr:colOff>904875</xdr:colOff>
      <xdr:row>84</xdr:row>
      <xdr:rowOff>142875</xdr:rowOff>
    </xdr:to>
    <xdr:pic>
      <xdr:nvPicPr>
        <xdr:cNvPr id="322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053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3225" name="Picture 3922" descr="34-1610m">
          <a:hlinkClick xmlns:r="http://schemas.openxmlformats.org/officeDocument/2006/relationships" r:id="rId20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2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3226" name="Picture 543932" descr="14-1660m">
          <a:hlinkClick xmlns:r="http://schemas.openxmlformats.org/officeDocument/2006/relationships" r:id="rId2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3227" name="Picture 543933" descr="14-1660m">
          <a:hlinkClick xmlns:r="http://schemas.openxmlformats.org/officeDocument/2006/relationships" r:id="rId2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3228" name="Picture 543934" descr="14-1660m">
          <a:hlinkClick xmlns:r="http://schemas.openxmlformats.org/officeDocument/2006/relationships" r:id="rId2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0</xdr:rowOff>
    </xdr:to>
    <xdr:pic>
      <xdr:nvPicPr>
        <xdr:cNvPr id="3229" name="Picture 543935" descr="14-1660m">
          <a:hlinkClick xmlns:r="http://schemas.openxmlformats.org/officeDocument/2006/relationships" r:id="rId20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4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3230" name="Picture 543937" descr="14-1660m">
          <a:hlinkClick xmlns:r="http://schemas.openxmlformats.org/officeDocument/2006/relationships" r:id="rId2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14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3231" name="Picture 543938" descr="14-1660m">
          <a:hlinkClick xmlns:r="http://schemas.openxmlformats.org/officeDocument/2006/relationships" r:id="rId2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3232" name="Picture 543939" descr="14-1660m">
          <a:hlinkClick xmlns:r="http://schemas.openxmlformats.org/officeDocument/2006/relationships" r:id="rId20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3233" name="Picture 543940" descr="14-1660m">
          <a:hlinkClick xmlns:r="http://schemas.openxmlformats.org/officeDocument/2006/relationships" r:id="rId2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3234" name="Picture 543941" descr="14-1660m">
          <a:hlinkClick xmlns:r="http://schemas.openxmlformats.org/officeDocument/2006/relationships" r:id="rId20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3235" name="Picture 543942" descr="14-1660m">
          <a:hlinkClick xmlns:r="http://schemas.openxmlformats.org/officeDocument/2006/relationships" r:id="rId2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pic>
      <xdr:nvPicPr>
        <xdr:cNvPr id="3236" name="Picture 543943" descr="14-1660m">
          <a:hlinkClick xmlns:r="http://schemas.openxmlformats.org/officeDocument/2006/relationships" r:id="rId20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3237" name="Picture 543944" descr="14-1655m">
          <a:hlinkClick xmlns:r="http://schemas.openxmlformats.org/officeDocument/2006/relationships" r:id="rId20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10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3238" name="Picture 543945" descr="14-1655m">
          <a:hlinkClick xmlns:r="http://schemas.openxmlformats.org/officeDocument/2006/relationships" r:id="rId20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86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3239" name="Picture 543947" descr="36-1661m">
          <a:hlinkClick xmlns:r="http://schemas.openxmlformats.org/officeDocument/2006/relationships" r:id="rId20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67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3240" name="Picture 543951" descr="14-1660m">
          <a:hlinkClick xmlns:r="http://schemas.openxmlformats.org/officeDocument/2006/relationships" r:id="rId20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93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3241" name="Picture 543952" descr="14-1660m">
          <a:hlinkClick xmlns:r="http://schemas.openxmlformats.org/officeDocument/2006/relationships" r:id="rId2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015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3242" name="Picture 543953" descr="14-1660m">
          <a:hlinkClick xmlns:r="http://schemas.openxmlformats.org/officeDocument/2006/relationships" r:id="rId20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091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1296</xdr:row>
      <xdr:rowOff>0</xdr:rowOff>
    </xdr:from>
    <xdr:to>
      <xdr:col>2</xdr:col>
      <xdr:colOff>0</xdr:colOff>
      <xdr:row>1297</xdr:row>
      <xdr:rowOff>0</xdr:rowOff>
    </xdr:to>
    <xdr:pic>
      <xdr:nvPicPr>
        <xdr:cNvPr id="3243" name="Picture 543954" descr="T-TS-082m">
          <a:hlinkClick xmlns:r="http://schemas.openxmlformats.org/officeDocument/2006/relationships" r:id="rId20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0406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70</xdr:row>
      <xdr:rowOff>0</xdr:rowOff>
    </xdr:to>
    <xdr:pic>
      <xdr:nvPicPr>
        <xdr:cNvPr id="3244" name="Picture 3486" descr="14-1566m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38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3245" name="Picture 3488" descr="34-1566m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38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74</xdr:row>
      <xdr:rowOff>28575</xdr:rowOff>
    </xdr:from>
    <xdr:to>
      <xdr:col>2</xdr:col>
      <xdr:colOff>904875</xdr:colOff>
      <xdr:row>74</xdr:row>
      <xdr:rowOff>142875</xdr:rowOff>
    </xdr:to>
    <xdr:pic>
      <xdr:nvPicPr>
        <xdr:cNvPr id="324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370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28575</xdr:rowOff>
    </xdr:from>
    <xdr:to>
      <xdr:col>2</xdr:col>
      <xdr:colOff>904875</xdr:colOff>
      <xdr:row>73</xdr:row>
      <xdr:rowOff>142875</xdr:rowOff>
    </xdr:to>
    <xdr:pic>
      <xdr:nvPicPr>
        <xdr:cNvPr id="324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938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0</xdr:rowOff>
    </xdr:from>
    <xdr:to>
      <xdr:col>2</xdr:col>
      <xdr:colOff>904875</xdr:colOff>
      <xdr:row>73</xdr:row>
      <xdr:rowOff>0</xdr:rowOff>
    </xdr:to>
    <xdr:pic>
      <xdr:nvPicPr>
        <xdr:cNvPr id="324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91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0</xdr:rowOff>
    </xdr:from>
    <xdr:to>
      <xdr:col>2</xdr:col>
      <xdr:colOff>904875</xdr:colOff>
      <xdr:row>73</xdr:row>
      <xdr:rowOff>0</xdr:rowOff>
    </xdr:to>
    <xdr:pic>
      <xdr:nvPicPr>
        <xdr:cNvPr id="324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91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</xdr:row>
      <xdr:rowOff>0</xdr:rowOff>
    </xdr:from>
    <xdr:to>
      <xdr:col>2</xdr:col>
      <xdr:colOff>904875</xdr:colOff>
      <xdr:row>73</xdr:row>
      <xdr:rowOff>0</xdr:rowOff>
    </xdr:to>
    <xdr:pic>
      <xdr:nvPicPr>
        <xdr:cNvPr id="3250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910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325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48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325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48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325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48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72</xdr:row>
      <xdr:rowOff>0</xdr:rowOff>
    </xdr:from>
    <xdr:to>
      <xdr:col>2</xdr:col>
      <xdr:colOff>904875</xdr:colOff>
      <xdr:row>72</xdr:row>
      <xdr:rowOff>0</xdr:rowOff>
    </xdr:to>
    <xdr:pic>
      <xdr:nvPicPr>
        <xdr:cNvPr id="325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48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3255" name="Picture 543970" descr="14-5643m">
          <a:hlinkClick xmlns:r="http://schemas.openxmlformats.org/officeDocument/2006/relationships" r:id="rId1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453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3256" name="Picture 543971" descr="14-3643m">
          <a:hlinkClick xmlns:r="http://schemas.openxmlformats.org/officeDocument/2006/relationships" r:id="rId1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1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3257" name="Picture 543972" descr="14-3643-1m">
          <a:hlinkClick xmlns:r="http://schemas.openxmlformats.org/officeDocument/2006/relationships" r:id="rId1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77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3258" name="Picture 543973" descr="35-6643m">
          <a:hlinkClick xmlns:r="http://schemas.openxmlformats.org/officeDocument/2006/relationships" r:id="rId1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30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0</xdr:rowOff>
    </xdr:to>
    <xdr:pic>
      <xdr:nvPicPr>
        <xdr:cNvPr id="3259" name="Picture 543975" descr="14-1662m">
          <a:hlinkClick xmlns:r="http://schemas.openxmlformats.org/officeDocument/2006/relationships" r:id="rId20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3260" name="Picture 543976" descr="14-3662m">
          <a:hlinkClick xmlns:r="http://schemas.openxmlformats.org/officeDocument/2006/relationships" r:id="rId20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3261" name="Picture 543977" descr="14-4662m">
          <a:hlinkClick xmlns:r="http://schemas.openxmlformats.org/officeDocument/2006/relationships" r:id="rId20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3262" name="Picture 543978" descr="14-7662m">
          <a:hlinkClick xmlns:r="http://schemas.openxmlformats.org/officeDocument/2006/relationships" r:id="rId20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3263" name="Picture 543979" descr="14-3662-1m">
          <a:hlinkClick xmlns:r="http://schemas.openxmlformats.org/officeDocument/2006/relationships" r:id="rId20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3264" name="Picture 543980" descr="36-3662m">
          <a:hlinkClick xmlns:r="http://schemas.openxmlformats.org/officeDocument/2006/relationships" r:id="rId20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33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66</xdr:row>
      <xdr:rowOff>0</xdr:rowOff>
    </xdr:to>
    <xdr:pic>
      <xdr:nvPicPr>
        <xdr:cNvPr id="3265" name="Picture 543981" descr="14-8662m">
          <a:hlinkClick xmlns:r="http://schemas.openxmlformats.org/officeDocument/2006/relationships" r:id="rId2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910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214</xdr:row>
      <xdr:rowOff>514350</xdr:rowOff>
    </xdr:from>
    <xdr:to>
      <xdr:col>0</xdr:col>
      <xdr:colOff>590550</xdr:colOff>
      <xdr:row>214</xdr:row>
      <xdr:rowOff>628650</xdr:rowOff>
    </xdr:to>
    <xdr:pic>
      <xdr:nvPicPr>
        <xdr:cNvPr id="326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30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442</xdr:row>
      <xdr:rowOff>0</xdr:rowOff>
    </xdr:from>
    <xdr:to>
      <xdr:col>2</xdr:col>
      <xdr:colOff>0</xdr:colOff>
      <xdr:row>443</xdr:row>
      <xdr:rowOff>0</xdr:rowOff>
    </xdr:to>
    <xdr:pic>
      <xdr:nvPicPr>
        <xdr:cNvPr id="3267" name="Picture 3946" descr="14-938m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6281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581</xdr:row>
      <xdr:rowOff>514350</xdr:rowOff>
    </xdr:from>
    <xdr:to>
      <xdr:col>0</xdr:col>
      <xdr:colOff>590550</xdr:colOff>
      <xdr:row>581</xdr:row>
      <xdr:rowOff>628650</xdr:rowOff>
    </xdr:to>
    <xdr:pic>
      <xdr:nvPicPr>
        <xdr:cNvPr id="326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18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584</xdr:row>
      <xdr:rowOff>514350</xdr:rowOff>
    </xdr:from>
    <xdr:to>
      <xdr:col>0</xdr:col>
      <xdr:colOff>590550</xdr:colOff>
      <xdr:row>584</xdr:row>
      <xdr:rowOff>628650</xdr:rowOff>
    </xdr:to>
    <xdr:pic>
      <xdr:nvPicPr>
        <xdr:cNvPr id="326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18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604</xdr:row>
      <xdr:rowOff>514350</xdr:rowOff>
    </xdr:from>
    <xdr:to>
      <xdr:col>0</xdr:col>
      <xdr:colOff>590550</xdr:colOff>
      <xdr:row>604</xdr:row>
      <xdr:rowOff>628650</xdr:rowOff>
    </xdr:to>
    <xdr:pic>
      <xdr:nvPicPr>
        <xdr:cNvPr id="327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3229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304</xdr:row>
      <xdr:rowOff>514350</xdr:rowOff>
    </xdr:from>
    <xdr:to>
      <xdr:col>0</xdr:col>
      <xdr:colOff>590550</xdr:colOff>
      <xdr:row>304</xdr:row>
      <xdr:rowOff>628650</xdr:rowOff>
    </xdr:to>
    <xdr:pic>
      <xdr:nvPicPr>
        <xdr:cNvPr id="327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53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3272" name="Picture 3983" descr="14-1612m">
          <a:hlinkClick xmlns:r="http://schemas.openxmlformats.org/officeDocument/2006/relationships" r:id="rId18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39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120</xdr:row>
      <xdr:rowOff>0</xdr:rowOff>
    </xdr:from>
    <xdr:to>
      <xdr:col>2</xdr:col>
      <xdr:colOff>19050</xdr:colOff>
      <xdr:row>121</xdr:row>
      <xdr:rowOff>0</xdr:rowOff>
    </xdr:to>
    <xdr:pic>
      <xdr:nvPicPr>
        <xdr:cNvPr id="3273" name="Picture 3750" descr="14-1582m">
          <a:hlinkClick xmlns:r="http://schemas.openxmlformats.org/officeDocument/2006/relationships" r:id="rId1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415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3274" name="Picture 3498" descr="36-1566m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138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0</xdr:rowOff>
    </xdr:to>
    <xdr:pic>
      <xdr:nvPicPr>
        <xdr:cNvPr id="3275" name="Picture 3760" descr="36-1595m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48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3276" name="Picture 8677" descr="14-2627m">
          <a:hlinkClick xmlns:r="http://schemas.openxmlformats.org/officeDocument/2006/relationships" r:id="rId1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00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3277" name="Picture 543999" descr="14-2662m">
          <a:hlinkClick xmlns:r="http://schemas.openxmlformats.org/officeDocument/2006/relationships" r:id="rId2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0</xdr:rowOff>
    </xdr:to>
    <xdr:pic>
      <xdr:nvPicPr>
        <xdr:cNvPr id="3278" name="Picture 544000" descr="14-2662m">
          <a:hlinkClick xmlns:r="http://schemas.openxmlformats.org/officeDocument/2006/relationships" r:id="rId2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220</xdr:row>
      <xdr:rowOff>0</xdr:rowOff>
    </xdr:to>
    <xdr:pic>
      <xdr:nvPicPr>
        <xdr:cNvPr id="3279" name="Picture 3707" descr="14-1587m">
          <a:hlinkClick xmlns:r="http://schemas.openxmlformats.org/officeDocument/2006/relationships" r:id="rId1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219</xdr:row>
      <xdr:rowOff>0</xdr:rowOff>
    </xdr:from>
    <xdr:to>
      <xdr:col>2</xdr:col>
      <xdr:colOff>19050</xdr:colOff>
      <xdr:row>220</xdr:row>
      <xdr:rowOff>0</xdr:rowOff>
    </xdr:to>
    <xdr:pic>
      <xdr:nvPicPr>
        <xdr:cNvPr id="3280" name="Picture 3706" descr="14-1587m">
          <a:hlinkClick xmlns:r="http://schemas.openxmlformats.org/officeDocument/2006/relationships" r:id="rId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3281" name="Picture 544004" descr="22-9662m">
          <a:hlinkClick xmlns:r="http://schemas.openxmlformats.org/officeDocument/2006/relationships" r:id="rId20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167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19050</xdr:colOff>
      <xdr:row>57</xdr:row>
      <xdr:rowOff>0</xdr:rowOff>
    </xdr:to>
    <xdr:pic>
      <xdr:nvPicPr>
        <xdr:cNvPr id="3282" name="Picture 3706" descr="14-1587m">
          <a:hlinkClick xmlns:r="http://schemas.openxmlformats.org/officeDocument/2006/relationships" r:id="rId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4528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3283" name="Picture 3921" descr="14-121m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434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0</xdr:rowOff>
    </xdr:to>
    <xdr:pic>
      <xdr:nvPicPr>
        <xdr:cNvPr id="3284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3285" name="Picture 3760" descr="36-1595m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81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pic>
      <xdr:nvPicPr>
        <xdr:cNvPr id="3286" name="Picture 544009" descr="35-1663m">
          <a:hlinkClick xmlns:r="http://schemas.openxmlformats.org/officeDocument/2006/relationships" r:id="rId20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pic>
      <xdr:nvPicPr>
        <xdr:cNvPr id="3287" name="Picture 544010" descr="35-1663m">
          <a:hlinkClick xmlns:r="http://schemas.openxmlformats.org/officeDocument/2006/relationships" r:id="rId2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50</xdr:row>
      <xdr:rowOff>0</xdr:rowOff>
    </xdr:from>
    <xdr:to>
      <xdr:col>2</xdr:col>
      <xdr:colOff>904875</xdr:colOff>
      <xdr:row>50</xdr:row>
      <xdr:rowOff>0</xdr:rowOff>
    </xdr:to>
    <xdr:pic>
      <xdr:nvPicPr>
        <xdr:cNvPr id="328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224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50</xdr:row>
      <xdr:rowOff>0</xdr:rowOff>
    </xdr:from>
    <xdr:to>
      <xdr:col>2</xdr:col>
      <xdr:colOff>904875</xdr:colOff>
      <xdr:row>50</xdr:row>
      <xdr:rowOff>0</xdr:rowOff>
    </xdr:to>
    <xdr:pic>
      <xdr:nvPicPr>
        <xdr:cNvPr id="328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2242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19050</xdr:colOff>
      <xdr:row>62</xdr:row>
      <xdr:rowOff>0</xdr:rowOff>
    </xdr:to>
    <xdr:pic>
      <xdr:nvPicPr>
        <xdr:cNvPr id="3290" name="Picture 3740" descr="28-4576m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7576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725</xdr:row>
      <xdr:rowOff>28575</xdr:rowOff>
    </xdr:from>
    <xdr:to>
      <xdr:col>2</xdr:col>
      <xdr:colOff>904875</xdr:colOff>
      <xdr:row>725</xdr:row>
      <xdr:rowOff>142875</xdr:rowOff>
    </xdr:to>
    <xdr:pic>
      <xdr:nvPicPr>
        <xdr:cNvPr id="329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7346275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2</xdr:col>
      <xdr:colOff>0</xdr:colOff>
      <xdr:row>726</xdr:row>
      <xdr:rowOff>0</xdr:rowOff>
    </xdr:to>
    <xdr:pic>
      <xdr:nvPicPr>
        <xdr:cNvPr id="3292" name="Picture 544018" descr="35-1663m">
          <a:hlinkClick xmlns:r="http://schemas.openxmlformats.org/officeDocument/2006/relationships" r:id="rId20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343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725</xdr:row>
      <xdr:rowOff>0</xdr:rowOff>
    </xdr:from>
    <xdr:to>
      <xdr:col>17</xdr:col>
      <xdr:colOff>9525</xdr:colOff>
      <xdr:row>725</xdr:row>
      <xdr:rowOff>161925</xdr:rowOff>
    </xdr:to>
    <xdr:pic>
      <xdr:nvPicPr>
        <xdr:cNvPr id="3293" name="Picture 4020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343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725</xdr:row>
      <xdr:rowOff>0</xdr:rowOff>
    </xdr:from>
    <xdr:to>
      <xdr:col>17</xdr:col>
      <xdr:colOff>409575</xdr:colOff>
      <xdr:row>725</xdr:row>
      <xdr:rowOff>161925</xdr:rowOff>
    </xdr:to>
    <xdr:pic>
      <xdr:nvPicPr>
        <xdr:cNvPr id="3294" name="Picture 4021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343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725</xdr:row>
      <xdr:rowOff>0</xdr:rowOff>
    </xdr:from>
    <xdr:to>
      <xdr:col>19</xdr:col>
      <xdr:colOff>19050</xdr:colOff>
      <xdr:row>725</xdr:row>
      <xdr:rowOff>161925</xdr:rowOff>
    </xdr:to>
    <xdr:pic>
      <xdr:nvPicPr>
        <xdr:cNvPr id="3295" name="Picture 4022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343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725</xdr:row>
      <xdr:rowOff>0</xdr:rowOff>
    </xdr:from>
    <xdr:to>
      <xdr:col>19</xdr:col>
      <xdr:colOff>409575</xdr:colOff>
      <xdr:row>725</xdr:row>
      <xdr:rowOff>161925</xdr:rowOff>
    </xdr:to>
    <xdr:pic>
      <xdr:nvPicPr>
        <xdr:cNvPr id="3296" name="Picture 4023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3434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0</xdr:rowOff>
    </xdr:to>
    <xdr:pic>
      <xdr:nvPicPr>
        <xdr:cNvPr id="3297" name="Picture 544028" descr="14-2664m">
          <a:hlinkClick xmlns:r="http://schemas.openxmlformats.org/officeDocument/2006/relationships" r:id="rId2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5290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752475</xdr:colOff>
      <xdr:row>58</xdr:row>
      <xdr:rowOff>0</xdr:rowOff>
    </xdr:to>
    <xdr:pic>
      <xdr:nvPicPr>
        <xdr:cNvPr id="3298" name="Picture 3976" descr="14-8584m">
          <a:hlinkClick xmlns:r="http://schemas.openxmlformats.org/officeDocument/2006/relationships" r:id="rId15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299650"/>
          <a:ext cx="74295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2</xdr:col>
      <xdr:colOff>0</xdr:colOff>
      <xdr:row>779</xdr:row>
      <xdr:rowOff>0</xdr:rowOff>
    </xdr:to>
    <xdr:pic>
      <xdr:nvPicPr>
        <xdr:cNvPr id="3299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400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779</xdr:row>
      <xdr:rowOff>0</xdr:rowOff>
    </xdr:from>
    <xdr:to>
      <xdr:col>2</xdr:col>
      <xdr:colOff>0</xdr:colOff>
      <xdr:row>780</xdr:row>
      <xdr:rowOff>0</xdr:rowOff>
    </xdr:to>
    <xdr:pic>
      <xdr:nvPicPr>
        <xdr:cNvPr id="3300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477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780</xdr:row>
      <xdr:rowOff>0</xdr:rowOff>
    </xdr:from>
    <xdr:to>
      <xdr:col>2</xdr:col>
      <xdr:colOff>0</xdr:colOff>
      <xdr:row>781</xdr:row>
      <xdr:rowOff>0</xdr:rowOff>
    </xdr:to>
    <xdr:pic>
      <xdr:nvPicPr>
        <xdr:cNvPr id="3301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5532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778</xdr:row>
      <xdr:rowOff>0</xdr:rowOff>
    </xdr:to>
    <xdr:pic>
      <xdr:nvPicPr>
        <xdr:cNvPr id="3302" name="Picture 222961" descr="57-1544m">
          <a:hlinkClick xmlns:r="http://schemas.openxmlformats.org/officeDocument/2006/relationships" r:id="rId1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324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19050</xdr:colOff>
      <xdr:row>59</xdr:row>
      <xdr:rowOff>0</xdr:rowOff>
    </xdr:to>
    <xdr:pic>
      <xdr:nvPicPr>
        <xdr:cNvPr id="3303" name="Picture 3651" descr="28-3584m">
          <a:hlinkClick xmlns:r="http://schemas.openxmlformats.org/officeDocument/2006/relationships" r:id="rId20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6052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435</xdr:row>
      <xdr:rowOff>9525</xdr:rowOff>
    </xdr:from>
    <xdr:to>
      <xdr:col>1</xdr:col>
      <xdr:colOff>752475</xdr:colOff>
      <xdr:row>436</xdr:row>
      <xdr:rowOff>0</xdr:rowOff>
    </xdr:to>
    <xdr:pic>
      <xdr:nvPicPr>
        <xdr:cNvPr id="3304" name="Picture 3976" descr="14-8584m">
          <a:hlinkClick xmlns:r="http://schemas.openxmlformats.org/officeDocument/2006/relationships" r:id="rId20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2481200"/>
          <a:ext cx="74295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3305" name="Picture 544036" descr="14-2662m">
          <a:hlinkClick xmlns:r="http://schemas.openxmlformats.org/officeDocument/2006/relationships" r:id="rId20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244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3306" name="Picture 544038" descr="35-1667m">
          <a:hlinkClick xmlns:r="http://schemas.openxmlformats.org/officeDocument/2006/relationships" r:id="rId20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19050</xdr:colOff>
      <xdr:row>39</xdr:row>
      <xdr:rowOff>0</xdr:rowOff>
    </xdr:to>
    <xdr:pic>
      <xdr:nvPicPr>
        <xdr:cNvPr id="3307" name="Picture 3740" descr="28-4576m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860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308" name="Picture 3930" descr="14-167m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14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3309" name="Picture 4017" descr="14-289m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67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44</xdr:row>
      <xdr:rowOff>9525</xdr:rowOff>
    </xdr:from>
    <xdr:to>
      <xdr:col>2</xdr:col>
      <xdr:colOff>9525</xdr:colOff>
      <xdr:row>45</xdr:row>
      <xdr:rowOff>0</xdr:rowOff>
    </xdr:to>
    <xdr:pic>
      <xdr:nvPicPr>
        <xdr:cNvPr id="3310" name="Picture 4079" descr="14-1572m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441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3311" name="Picture 544045" descr="35-1638m">
          <a:hlinkClick xmlns:r="http://schemas.openxmlformats.org/officeDocument/2006/relationships" r:id="rId1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95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pic>
      <xdr:nvPicPr>
        <xdr:cNvPr id="3312" name="Picture 544046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pic>
      <xdr:nvPicPr>
        <xdr:cNvPr id="3313" name="Picture 544047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1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3314" name="Picture 4091" descr="28-5620m">
          <a:hlinkClick xmlns:r="http://schemas.openxmlformats.org/officeDocument/2006/relationships" r:id="rId1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071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3315" name="Picture 544049" descr="14-3620m">
          <a:hlinkClick xmlns:r="http://schemas.openxmlformats.org/officeDocument/2006/relationships" r:id="rId1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48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0</xdr:rowOff>
    </xdr:to>
    <xdr:pic>
      <xdr:nvPicPr>
        <xdr:cNvPr id="3316" name="Picture 544050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0</xdr:rowOff>
    </xdr:to>
    <xdr:pic>
      <xdr:nvPicPr>
        <xdr:cNvPr id="3317" name="Picture 544051" descr="28-5647m">
          <a:hlinkClick xmlns:r="http://schemas.openxmlformats.org/officeDocument/2006/relationships" r:id="rId2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3318" name="Picture 544058" descr="14-6611m">
          <a:hlinkClick xmlns:r="http://schemas.openxmlformats.org/officeDocument/2006/relationships" r:id="rId20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766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3319" name="Picture 544059" descr="14-1668m">
          <a:hlinkClick xmlns:r="http://schemas.openxmlformats.org/officeDocument/2006/relationships" r:id="rId20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57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14</xdr:row>
      <xdr:rowOff>28575</xdr:rowOff>
    </xdr:from>
    <xdr:to>
      <xdr:col>2</xdr:col>
      <xdr:colOff>904875</xdr:colOff>
      <xdr:row>14</xdr:row>
      <xdr:rowOff>142875</xdr:rowOff>
    </xdr:to>
    <xdr:pic>
      <xdr:nvPicPr>
        <xdr:cNvPr id="3320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60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3321" name="Picture 544061" descr="44-4611m">
          <a:hlinkClick xmlns:r="http://schemas.openxmlformats.org/officeDocument/2006/relationships" r:id="rId20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76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3322" name="Picture 3502" descr="14-1569m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90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3323" name="Picture 544065" descr="14-1646">
          <a:hlinkClick xmlns:r="http://schemas.openxmlformats.org/officeDocument/2006/relationships" r:id="rId1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85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3324" name="Picture 544089" descr="14-1660m">
          <a:hlinkClick xmlns:r="http://schemas.openxmlformats.org/officeDocument/2006/relationships" r:id="rId2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0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3325" name="Picture 544090" descr="14-1660m">
          <a:hlinkClick xmlns:r="http://schemas.openxmlformats.org/officeDocument/2006/relationships" r:id="rId2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77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3326" name="Picture 544091" descr="14-1660m">
          <a:hlinkClick xmlns:r="http://schemas.openxmlformats.org/officeDocument/2006/relationships" r:id="rId2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853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3327" name="Picture 544092" descr="14-1660m">
          <a:hlinkClick xmlns:r="http://schemas.openxmlformats.org/officeDocument/2006/relationships" r:id="rId20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929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3328" name="Picture 544101" descr="14-1660m">
          <a:hlinkClick xmlns:r="http://schemas.openxmlformats.org/officeDocument/2006/relationships" r:id="rId2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006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3329" name="Picture 544102" descr="14-1660m">
          <a:hlinkClick xmlns:r="http://schemas.openxmlformats.org/officeDocument/2006/relationships" r:id="rId20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158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3330" name="Picture 544107" descr="14-1660m">
          <a:hlinkClick xmlns:r="http://schemas.openxmlformats.org/officeDocument/2006/relationships" r:id="rId2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082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3331" name="Picture 3922" descr="34-1610m">
          <a:hlinkClick xmlns:r="http://schemas.openxmlformats.org/officeDocument/2006/relationships" r:id="rId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19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3332" name="Picture 544113" descr="35-7611m">
          <a:hlinkClick xmlns:r="http://schemas.openxmlformats.org/officeDocument/2006/relationships" r:id="rId18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24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333" name="Picture 544115" descr="14-8662m">
          <a:hlinkClick xmlns:r="http://schemas.openxmlformats.org/officeDocument/2006/relationships" r:id="rId2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462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3334" name="Picture 544117" descr="14-1669m">
          <a:hlinkClick xmlns:r="http://schemas.openxmlformats.org/officeDocument/2006/relationships" r:id="rId20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28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3335" name="Picture 544118" descr="14-1670m">
          <a:hlinkClick xmlns:r="http://schemas.openxmlformats.org/officeDocument/2006/relationships" r:id="rId2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52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31</xdr:row>
      <xdr:rowOff>28575</xdr:rowOff>
    </xdr:from>
    <xdr:to>
      <xdr:col>2</xdr:col>
      <xdr:colOff>904875</xdr:colOff>
      <xdr:row>31</xdr:row>
      <xdr:rowOff>142875</xdr:rowOff>
    </xdr:to>
    <xdr:pic>
      <xdr:nvPicPr>
        <xdr:cNvPr id="333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8554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32</xdr:row>
      <xdr:rowOff>28575</xdr:rowOff>
    </xdr:from>
    <xdr:to>
      <xdr:col>2</xdr:col>
      <xdr:colOff>904875</xdr:colOff>
      <xdr:row>32</xdr:row>
      <xdr:rowOff>142875</xdr:rowOff>
    </xdr:to>
    <xdr:pic>
      <xdr:nvPicPr>
        <xdr:cNvPr id="333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9316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3338" name="Picture 544121" descr="14-2654m">
          <a:hlinkClick xmlns:r="http://schemas.openxmlformats.org/officeDocument/2006/relationships" r:id="rId19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05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3339" name="Picture 544122" descr="14-2654m">
          <a:hlinkClick xmlns:r="http://schemas.openxmlformats.org/officeDocument/2006/relationships" r:id="rId19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8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3340" name="Picture 544123" descr="35-1663m">
          <a:hlinkClick xmlns:r="http://schemas.openxmlformats.org/officeDocument/2006/relationships" r:id="rId20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57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3341" name="Picture 544124" descr="35-1663m">
          <a:hlinkClick xmlns:r="http://schemas.openxmlformats.org/officeDocument/2006/relationships" r:id="rId2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233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3342" name="Picture 544127" descr="28-5647m">
          <a:hlinkClick xmlns:r="http://schemas.openxmlformats.org/officeDocument/2006/relationships" r:id="rId1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4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3343" name="Picture 544128" descr="28-5647m">
          <a:hlinkClick xmlns:r="http://schemas.openxmlformats.org/officeDocument/2006/relationships" r:id="rId2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00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3344" name="Picture 3486" descr="14-1566m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09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345" name="Picture 3815" descr="14-1599m">
          <a:hlinkClick xmlns:r="http://schemas.openxmlformats.org/officeDocument/2006/relationships" r:id="rId1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8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114</xdr:row>
      <xdr:rowOff>514350</xdr:rowOff>
    </xdr:from>
    <xdr:to>
      <xdr:col>0</xdr:col>
      <xdr:colOff>590550</xdr:colOff>
      <xdr:row>114</xdr:row>
      <xdr:rowOff>628650</xdr:rowOff>
    </xdr:to>
    <xdr:pic>
      <xdr:nvPicPr>
        <xdr:cNvPr id="334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10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130</xdr:row>
      <xdr:rowOff>514350</xdr:rowOff>
    </xdr:from>
    <xdr:to>
      <xdr:col>0</xdr:col>
      <xdr:colOff>590550</xdr:colOff>
      <xdr:row>130</xdr:row>
      <xdr:rowOff>628650</xdr:rowOff>
    </xdr:to>
    <xdr:pic>
      <xdr:nvPicPr>
        <xdr:cNvPr id="334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024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174</xdr:row>
      <xdr:rowOff>514350</xdr:rowOff>
    </xdr:from>
    <xdr:to>
      <xdr:col>0</xdr:col>
      <xdr:colOff>590550</xdr:colOff>
      <xdr:row>174</xdr:row>
      <xdr:rowOff>628650</xdr:rowOff>
    </xdr:to>
    <xdr:pic>
      <xdr:nvPicPr>
        <xdr:cNvPr id="334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691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176</xdr:row>
      <xdr:rowOff>514350</xdr:rowOff>
    </xdr:from>
    <xdr:to>
      <xdr:col>0</xdr:col>
      <xdr:colOff>590550</xdr:colOff>
      <xdr:row>176</xdr:row>
      <xdr:rowOff>628650</xdr:rowOff>
    </xdr:to>
    <xdr:pic>
      <xdr:nvPicPr>
        <xdr:cNvPr id="334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7680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177</xdr:row>
      <xdr:rowOff>514350</xdr:rowOff>
    </xdr:from>
    <xdr:to>
      <xdr:col>0</xdr:col>
      <xdr:colOff>590550</xdr:colOff>
      <xdr:row>177</xdr:row>
      <xdr:rowOff>628650</xdr:rowOff>
    </xdr:to>
    <xdr:pic>
      <xdr:nvPicPr>
        <xdr:cNvPr id="335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7680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191</xdr:row>
      <xdr:rowOff>514350</xdr:rowOff>
    </xdr:from>
    <xdr:to>
      <xdr:col>0</xdr:col>
      <xdr:colOff>590550</xdr:colOff>
      <xdr:row>191</xdr:row>
      <xdr:rowOff>628650</xdr:rowOff>
    </xdr:to>
    <xdr:pic>
      <xdr:nvPicPr>
        <xdr:cNvPr id="335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586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197</xdr:row>
      <xdr:rowOff>514350</xdr:rowOff>
    </xdr:from>
    <xdr:to>
      <xdr:col>0</xdr:col>
      <xdr:colOff>590550</xdr:colOff>
      <xdr:row>197</xdr:row>
      <xdr:rowOff>628650</xdr:rowOff>
    </xdr:to>
    <xdr:pic>
      <xdr:nvPicPr>
        <xdr:cNvPr id="335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1396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202</xdr:row>
      <xdr:rowOff>133350</xdr:rowOff>
    </xdr:from>
    <xdr:to>
      <xdr:col>0</xdr:col>
      <xdr:colOff>590550</xdr:colOff>
      <xdr:row>202</xdr:row>
      <xdr:rowOff>247650</xdr:rowOff>
    </xdr:to>
    <xdr:pic>
      <xdr:nvPicPr>
        <xdr:cNvPr id="335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444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215</xdr:row>
      <xdr:rowOff>514350</xdr:rowOff>
    </xdr:from>
    <xdr:to>
      <xdr:col>0</xdr:col>
      <xdr:colOff>590550</xdr:colOff>
      <xdr:row>215</xdr:row>
      <xdr:rowOff>628650</xdr:rowOff>
    </xdr:to>
    <xdr:pic>
      <xdr:nvPicPr>
        <xdr:cNvPr id="335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30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232</xdr:row>
      <xdr:rowOff>0</xdr:rowOff>
    </xdr:from>
    <xdr:to>
      <xdr:col>0</xdr:col>
      <xdr:colOff>590550</xdr:colOff>
      <xdr:row>232</xdr:row>
      <xdr:rowOff>0</xdr:rowOff>
    </xdr:to>
    <xdr:pic>
      <xdr:nvPicPr>
        <xdr:cNvPr id="335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636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238</xdr:row>
      <xdr:rowOff>0</xdr:rowOff>
    </xdr:from>
    <xdr:to>
      <xdr:col>0</xdr:col>
      <xdr:colOff>590550</xdr:colOff>
      <xdr:row>238</xdr:row>
      <xdr:rowOff>0</xdr:rowOff>
    </xdr:to>
    <xdr:pic>
      <xdr:nvPicPr>
        <xdr:cNvPr id="335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892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246</xdr:row>
      <xdr:rowOff>514350</xdr:rowOff>
    </xdr:from>
    <xdr:to>
      <xdr:col>0</xdr:col>
      <xdr:colOff>590550</xdr:colOff>
      <xdr:row>246</xdr:row>
      <xdr:rowOff>628650</xdr:rowOff>
    </xdr:to>
    <xdr:pic>
      <xdr:nvPicPr>
        <xdr:cNvPr id="335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349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247</xdr:row>
      <xdr:rowOff>514350</xdr:rowOff>
    </xdr:from>
    <xdr:to>
      <xdr:col>0</xdr:col>
      <xdr:colOff>590550</xdr:colOff>
      <xdr:row>247</xdr:row>
      <xdr:rowOff>628650</xdr:rowOff>
    </xdr:to>
    <xdr:pic>
      <xdr:nvPicPr>
        <xdr:cNvPr id="335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349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248</xdr:row>
      <xdr:rowOff>514350</xdr:rowOff>
    </xdr:from>
    <xdr:to>
      <xdr:col>0</xdr:col>
      <xdr:colOff>590550</xdr:colOff>
      <xdr:row>248</xdr:row>
      <xdr:rowOff>628650</xdr:rowOff>
    </xdr:to>
    <xdr:pic>
      <xdr:nvPicPr>
        <xdr:cNvPr id="335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349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254</xdr:row>
      <xdr:rowOff>514350</xdr:rowOff>
    </xdr:from>
    <xdr:to>
      <xdr:col>0</xdr:col>
      <xdr:colOff>590550</xdr:colOff>
      <xdr:row>254</xdr:row>
      <xdr:rowOff>628650</xdr:rowOff>
    </xdr:to>
    <xdr:pic>
      <xdr:nvPicPr>
        <xdr:cNvPr id="336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730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263</xdr:row>
      <xdr:rowOff>0</xdr:rowOff>
    </xdr:from>
    <xdr:to>
      <xdr:col>0</xdr:col>
      <xdr:colOff>590550</xdr:colOff>
      <xdr:row>263</xdr:row>
      <xdr:rowOff>0</xdr:rowOff>
    </xdr:to>
    <xdr:pic>
      <xdr:nvPicPr>
        <xdr:cNvPr id="336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9590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270</xdr:row>
      <xdr:rowOff>514350</xdr:rowOff>
    </xdr:from>
    <xdr:to>
      <xdr:col>0</xdr:col>
      <xdr:colOff>590550</xdr:colOff>
      <xdr:row>270</xdr:row>
      <xdr:rowOff>628650</xdr:rowOff>
    </xdr:to>
    <xdr:pic>
      <xdr:nvPicPr>
        <xdr:cNvPr id="336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111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273</xdr:row>
      <xdr:rowOff>514350</xdr:rowOff>
    </xdr:from>
    <xdr:to>
      <xdr:col>0</xdr:col>
      <xdr:colOff>590550</xdr:colOff>
      <xdr:row>273</xdr:row>
      <xdr:rowOff>628650</xdr:rowOff>
    </xdr:to>
    <xdr:pic>
      <xdr:nvPicPr>
        <xdr:cNvPr id="336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263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277</xdr:row>
      <xdr:rowOff>0</xdr:rowOff>
    </xdr:from>
    <xdr:to>
      <xdr:col>0</xdr:col>
      <xdr:colOff>590550</xdr:colOff>
      <xdr:row>277</xdr:row>
      <xdr:rowOff>0</xdr:rowOff>
    </xdr:to>
    <xdr:pic>
      <xdr:nvPicPr>
        <xdr:cNvPr id="336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162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282</xdr:row>
      <xdr:rowOff>0</xdr:rowOff>
    </xdr:from>
    <xdr:to>
      <xdr:col>0</xdr:col>
      <xdr:colOff>590550</xdr:colOff>
      <xdr:row>282</xdr:row>
      <xdr:rowOff>0</xdr:rowOff>
    </xdr:to>
    <xdr:pic>
      <xdr:nvPicPr>
        <xdr:cNvPr id="336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60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286</xdr:row>
      <xdr:rowOff>514350</xdr:rowOff>
    </xdr:from>
    <xdr:to>
      <xdr:col>0</xdr:col>
      <xdr:colOff>590550</xdr:colOff>
      <xdr:row>286</xdr:row>
      <xdr:rowOff>628650</xdr:rowOff>
    </xdr:to>
    <xdr:pic>
      <xdr:nvPicPr>
        <xdr:cNvPr id="336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60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287</xdr:row>
      <xdr:rowOff>514350</xdr:rowOff>
    </xdr:from>
    <xdr:to>
      <xdr:col>0</xdr:col>
      <xdr:colOff>590550</xdr:colOff>
      <xdr:row>287</xdr:row>
      <xdr:rowOff>628650</xdr:rowOff>
    </xdr:to>
    <xdr:pic>
      <xdr:nvPicPr>
        <xdr:cNvPr id="336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600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289</xdr:row>
      <xdr:rowOff>514350</xdr:rowOff>
    </xdr:from>
    <xdr:to>
      <xdr:col>0</xdr:col>
      <xdr:colOff>590550</xdr:colOff>
      <xdr:row>289</xdr:row>
      <xdr:rowOff>628650</xdr:rowOff>
    </xdr:to>
    <xdr:pic>
      <xdr:nvPicPr>
        <xdr:cNvPr id="336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6771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300</xdr:row>
      <xdr:rowOff>514350</xdr:rowOff>
    </xdr:from>
    <xdr:to>
      <xdr:col>0</xdr:col>
      <xdr:colOff>590550</xdr:colOff>
      <xdr:row>300</xdr:row>
      <xdr:rowOff>628650</xdr:rowOff>
    </xdr:to>
    <xdr:pic>
      <xdr:nvPicPr>
        <xdr:cNvPr id="336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53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301</xdr:row>
      <xdr:rowOff>514350</xdr:rowOff>
    </xdr:from>
    <xdr:to>
      <xdr:col>0</xdr:col>
      <xdr:colOff>590550</xdr:colOff>
      <xdr:row>301</xdr:row>
      <xdr:rowOff>628650</xdr:rowOff>
    </xdr:to>
    <xdr:pic>
      <xdr:nvPicPr>
        <xdr:cNvPr id="337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53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302</xdr:row>
      <xdr:rowOff>514350</xdr:rowOff>
    </xdr:from>
    <xdr:to>
      <xdr:col>0</xdr:col>
      <xdr:colOff>590550</xdr:colOff>
      <xdr:row>302</xdr:row>
      <xdr:rowOff>628650</xdr:rowOff>
    </xdr:to>
    <xdr:pic>
      <xdr:nvPicPr>
        <xdr:cNvPr id="337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53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306</xdr:row>
      <xdr:rowOff>514350</xdr:rowOff>
    </xdr:from>
    <xdr:to>
      <xdr:col>0</xdr:col>
      <xdr:colOff>590550</xdr:colOff>
      <xdr:row>306</xdr:row>
      <xdr:rowOff>628650</xdr:rowOff>
    </xdr:to>
    <xdr:pic>
      <xdr:nvPicPr>
        <xdr:cNvPr id="337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8295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309</xdr:row>
      <xdr:rowOff>514350</xdr:rowOff>
    </xdr:from>
    <xdr:to>
      <xdr:col>0</xdr:col>
      <xdr:colOff>590550</xdr:colOff>
      <xdr:row>309</xdr:row>
      <xdr:rowOff>628650</xdr:rowOff>
    </xdr:to>
    <xdr:pic>
      <xdr:nvPicPr>
        <xdr:cNvPr id="337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81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320</xdr:row>
      <xdr:rowOff>0</xdr:rowOff>
    </xdr:from>
    <xdr:to>
      <xdr:col>0</xdr:col>
      <xdr:colOff>590550</xdr:colOff>
      <xdr:row>320</xdr:row>
      <xdr:rowOff>0</xdr:rowOff>
    </xdr:to>
    <xdr:pic>
      <xdr:nvPicPr>
        <xdr:cNvPr id="337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325</xdr:row>
      <xdr:rowOff>0</xdr:rowOff>
    </xdr:from>
    <xdr:to>
      <xdr:col>0</xdr:col>
      <xdr:colOff>590550</xdr:colOff>
      <xdr:row>325</xdr:row>
      <xdr:rowOff>0</xdr:rowOff>
    </xdr:to>
    <xdr:pic>
      <xdr:nvPicPr>
        <xdr:cNvPr id="337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326</xdr:row>
      <xdr:rowOff>0</xdr:rowOff>
    </xdr:from>
    <xdr:to>
      <xdr:col>0</xdr:col>
      <xdr:colOff>590550</xdr:colOff>
      <xdr:row>326</xdr:row>
      <xdr:rowOff>0</xdr:rowOff>
    </xdr:to>
    <xdr:pic>
      <xdr:nvPicPr>
        <xdr:cNvPr id="337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329</xdr:row>
      <xdr:rowOff>0</xdr:rowOff>
    </xdr:from>
    <xdr:to>
      <xdr:col>0</xdr:col>
      <xdr:colOff>590550</xdr:colOff>
      <xdr:row>329</xdr:row>
      <xdr:rowOff>0</xdr:rowOff>
    </xdr:to>
    <xdr:pic>
      <xdr:nvPicPr>
        <xdr:cNvPr id="337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329</xdr:row>
      <xdr:rowOff>0</xdr:rowOff>
    </xdr:from>
    <xdr:to>
      <xdr:col>0</xdr:col>
      <xdr:colOff>590550</xdr:colOff>
      <xdr:row>329</xdr:row>
      <xdr:rowOff>0</xdr:rowOff>
    </xdr:to>
    <xdr:pic>
      <xdr:nvPicPr>
        <xdr:cNvPr id="337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329</xdr:row>
      <xdr:rowOff>0</xdr:rowOff>
    </xdr:from>
    <xdr:to>
      <xdr:col>0</xdr:col>
      <xdr:colOff>590550</xdr:colOff>
      <xdr:row>329</xdr:row>
      <xdr:rowOff>0</xdr:rowOff>
    </xdr:to>
    <xdr:pic>
      <xdr:nvPicPr>
        <xdr:cNvPr id="337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335</xdr:row>
      <xdr:rowOff>514350</xdr:rowOff>
    </xdr:from>
    <xdr:to>
      <xdr:col>0</xdr:col>
      <xdr:colOff>590550</xdr:colOff>
      <xdr:row>335</xdr:row>
      <xdr:rowOff>628650</xdr:rowOff>
    </xdr:to>
    <xdr:pic>
      <xdr:nvPicPr>
        <xdr:cNvPr id="338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3953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340</xdr:row>
      <xdr:rowOff>514350</xdr:rowOff>
    </xdr:from>
    <xdr:to>
      <xdr:col>0</xdr:col>
      <xdr:colOff>590550</xdr:colOff>
      <xdr:row>340</xdr:row>
      <xdr:rowOff>628650</xdr:rowOff>
    </xdr:to>
    <xdr:pic>
      <xdr:nvPicPr>
        <xdr:cNvPr id="338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471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345</xdr:row>
      <xdr:rowOff>514350</xdr:rowOff>
    </xdr:from>
    <xdr:to>
      <xdr:col>0</xdr:col>
      <xdr:colOff>590550</xdr:colOff>
      <xdr:row>345</xdr:row>
      <xdr:rowOff>628650</xdr:rowOff>
    </xdr:to>
    <xdr:pic>
      <xdr:nvPicPr>
        <xdr:cNvPr id="338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6239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351</xdr:row>
      <xdr:rowOff>514350</xdr:rowOff>
    </xdr:from>
    <xdr:to>
      <xdr:col>0</xdr:col>
      <xdr:colOff>590550</xdr:colOff>
      <xdr:row>351</xdr:row>
      <xdr:rowOff>628650</xdr:rowOff>
    </xdr:to>
    <xdr:pic>
      <xdr:nvPicPr>
        <xdr:cNvPr id="338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92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352</xdr:row>
      <xdr:rowOff>514350</xdr:rowOff>
    </xdr:from>
    <xdr:to>
      <xdr:col>0</xdr:col>
      <xdr:colOff>590550</xdr:colOff>
      <xdr:row>352</xdr:row>
      <xdr:rowOff>628650</xdr:rowOff>
    </xdr:to>
    <xdr:pic>
      <xdr:nvPicPr>
        <xdr:cNvPr id="338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9287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356</xdr:row>
      <xdr:rowOff>514350</xdr:rowOff>
    </xdr:from>
    <xdr:to>
      <xdr:col>0</xdr:col>
      <xdr:colOff>590550</xdr:colOff>
      <xdr:row>356</xdr:row>
      <xdr:rowOff>628650</xdr:rowOff>
    </xdr:to>
    <xdr:pic>
      <xdr:nvPicPr>
        <xdr:cNvPr id="338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1573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361</xdr:row>
      <xdr:rowOff>514350</xdr:rowOff>
    </xdr:from>
    <xdr:to>
      <xdr:col>0</xdr:col>
      <xdr:colOff>590550</xdr:colOff>
      <xdr:row>361</xdr:row>
      <xdr:rowOff>628650</xdr:rowOff>
    </xdr:to>
    <xdr:pic>
      <xdr:nvPicPr>
        <xdr:cNvPr id="338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1573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366</xdr:row>
      <xdr:rowOff>514350</xdr:rowOff>
    </xdr:from>
    <xdr:to>
      <xdr:col>0</xdr:col>
      <xdr:colOff>590550</xdr:colOff>
      <xdr:row>366</xdr:row>
      <xdr:rowOff>628650</xdr:rowOff>
    </xdr:to>
    <xdr:pic>
      <xdr:nvPicPr>
        <xdr:cNvPr id="338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3859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372</xdr:row>
      <xdr:rowOff>514350</xdr:rowOff>
    </xdr:from>
    <xdr:to>
      <xdr:col>0</xdr:col>
      <xdr:colOff>590550</xdr:colOff>
      <xdr:row>372</xdr:row>
      <xdr:rowOff>628650</xdr:rowOff>
    </xdr:to>
    <xdr:pic>
      <xdr:nvPicPr>
        <xdr:cNvPr id="338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14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375</xdr:row>
      <xdr:rowOff>514350</xdr:rowOff>
    </xdr:from>
    <xdr:to>
      <xdr:col>0</xdr:col>
      <xdr:colOff>590550</xdr:colOff>
      <xdr:row>375</xdr:row>
      <xdr:rowOff>628650</xdr:rowOff>
    </xdr:to>
    <xdr:pic>
      <xdr:nvPicPr>
        <xdr:cNvPr id="338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14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380</xdr:row>
      <xdr:rowOff>514350</xdr:rowOff>
    </xdr:from>
    <xdr:to>
      <xdr:col>0</xdr:col>
      <xdr:colOff>590550</xdr:colOff>
      <xdr:row>380</xdr:row>
      <xdr:rowOff>628650</xdr:rowOff>
    </xdr:to>
    <xdr:pic>
      <xdr:nvPicPr>
        <xdr:cNvPr id="339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14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383</xdr:row>
      <xdr:rowOff>514350</xdr:rowOff>
    </xdr:from>
    <xdr:to>
      <xdr:col>0</xdr:col>
      <xdr:colOff>590550</xdr:colOff>
      <xdr:row>383</xdr:row>
      <xdr:rowOff>628650</xdr:rowOff>
    </xdr:to>
    <xdr:pic>
      <xdr:nvPicPr>
        <xdr:cNvPr id="339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14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384</xdr:row>
      <xdr:rowOff>514350</xdr:rowOff>
    </xdr:from>
    <xdr:to>
      <xdr:col>0</xdr:col>
      <xdr:colOff>590550</xdr:colOff>
      <xdr:row>384</xdr:row>
      <xdr:rowOff>628650</xdr:rowOff>
    </xdr:to>
    <xdr:pic>
      <xdr:nvPicPr>
        <xdr:cNvPr id="339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14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387</xdr:row>
      <xdr:rowOff>514350</xdr:rowOff>
    </xdr:from>
    <xdr:to>
      <xdr:col>0</xdr:col>
      <xdr:colOff>590550</xdr:colOff>
      <xdr:row>387</xdr:row>
      <xdr:rowOff>628650</xdr:rowOff>
    </xdr:to>
    <xdr:pic>
      <xdr:nvPicPr>
        <xdr:cNvPr id="339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1458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398</xdr:row>
      <xdr:rowOff>514350</xdr:rowOff>
    </xdr:from>
    <xdr:to>
      <xdr:col>0</xdr:col>
      <xdr:colOff>590550</xdr:colOff>
      <xdr:row>398</xdr:row>
      <xdr:rowOff>628650</xdr:rowOff>
    </xdr:to>
    <xdr:pic>
      <xdr:nvPicPr>
        <xdr:cNvPr id="339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1041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401</xdr:row>
      <xdr:rowOff>514350</xdr:rowOff>
    </xdr:from>
    <xdr:to>
      <xdr:col>0</xdr:col>
      <xdr:colOff>590550</xdr:colOff>
      <xdr:row>401</xdr:row>
      <xdr:rowOff>628650</xdr:rowOff>
    </xdr:to>
    <xdr:pic>
      <xdr:nvPicPr>
        <xdr:cNvPr id="339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2565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405</xdr:row>
      <xdr:rowOff>514350</xdr:rowOff>
    </xdr:from>
    <xdr:to>
      <xdr:col>0</xdr:col>
      <xdr:colOff>590550</xdr:colOff>
      <xdr:row>405</xdr:row>
      <xdr:rowOff>628650</xdr:rowOff>
    </xdr:to>
    <xdr:pic>
      <xdr:nvPicPr>
        <xdr:cNvPr id="339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4604025"/>
          <a:ext cx="3619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410</xdr:row>
      <xdr:rowOff>514350</xdr:rowOff>
    </xdr:from>
    <xdr:to>
      <xdr:col>0</xdr:col>
      <xdr:colOff>590550</xdr:colOff>
      <xdr:row>410</xdr:row>
      <xdr:rowOff>628650</xdr:rowOff>
    </xdr:to>
    <xdr:pic>
      <xdr:nvPicPr>
        <xdr:cNvPr id="339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375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413</xdr:row>
      <xdr:rowOff>514350</xdr:rowOff>
    </xdr:from>
    <xdr:to>
      <xdr:col>0</xdr:col>
      <xdr:colOff>590550</xdr:colOff>
      <xdr:row>413</xdr:row>
      <xdr:rowOff>628650</xdr:rowOff>
    </xdr:to>
    <xdr:pic>
      <xdr:nvPicPr>
        <xdr:cNvPr id="339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7137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424</xdr:row>
      <xdr:rowOff>514350</xdr:rowOff>
    </xdr:from>
    <xdr:to>
      <xdr:col>0</xdr:col>
      <xdr:colOff>590550</xdr:colOff>
      <xdr:row>424</xdr:row>
      <xdr:rowOff>628650</xdr:rowOff>
    </xdr:to>
    <xdr:pic>
      <xdr:nvPicPr>
        <xdr:cNvPr id="339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94236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462</xdr:row>
      <xdr:rowOff>514350</xdr:rowOff>
    </xdr:from>
    <xdr:to>
      <xdr:col>0</xdr:col>
      <xdr:colOff>590550</xdr:colOff>
      <xdr:row>462</xdr:row>
      <xdr:rowOff>628650</xdr:rowOff>
    </xdr:to>
    <xdr:pic>
      <xdr:nvPicPr>
        <xdr:cNvPr id="340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4387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466</xdr:row>
      <xdr:rowOff>95250</xdr:rowOff>
    </xdr:from>
    <xdr:to>
      <xdr:col>0</xdr:col>
      <xdr:colOff>590550</xdr:colOff>
      <xdr:row>466</xdr:row>
      <xdr:rowOff>209550</xdr:rowOff>
    </xdr:to>
    <xdr:pic>
      <xdr:nvPicPr>
        <xdr:cNvPr id="340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5149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475</xdr:row>
      <xdr:rowOff>514350</xdr:rowOff>
    </xdr:from>
    <xdr:to>
      <xdr:col>0</xdr:col>
      <xdr:colOff>590550</xdr:colOff>
      <xdr:row>475</xdr:row>
      <xdr:rowOff>628650</xdr:rowOff>
    </xdr:to>
    <xdr:pic>
      <xdr:nvPicPr>
        <xdr:cNvPr id="340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6673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515</xdr:row>
      <xdr:rowOff>514350</xdr:rowOff>
    </xdr:from>
    <xdr:to>
      <xdr:col>0</xdr:col>
      <xdr:colOff>590550</xdr:colOff>
      <xdr:row>515</xdr:row>
      <xdr:rowOff>628650</xdr:rowOff>
    </xdr:to>
    <xdr:pic>
      <xdr:nvPicPr>
        <xdr:cNvPr id="340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53793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522</xdr:row>
      <xdr:rowOff>514350</xdr:rowOff>
    </xdr:from>
    <xdr:to>
      <xdr:col>0</xdr:col>
      <xdr:colOff>590550</xdr:colOff>
      <xdr:row>522</xdr:row>
      <xdr:rowOff>628650</xdr:rowOff>
    </xdr:to>
    <xdr:pic>
      <xdr:nvPicPr>
        <xdr:cNvPr id="340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61413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526</xdr:row>
      <xdr:rowOff>514350</xdr:rowOff>
    </xdr:from>
    <xdr:to>
      <xdr:col>0</xdr:col>
      <xdr:colOff>590550</xdr:colOff>
      <xdr:row>526</xdr:row>
      <xdr:rowOff>628650</xdr:rowOff>
    </xdr:to>
    <xdr:pic>
      <xdr:nvPicPr>
        <xdr:cNvPr id="340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7417650"/>
          <a:ext cx="3619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537</xdr:row>
      <xdr:rowOff>514350</xdr:rowOff>
    </xdr:from>
    <xdr:to>
      <xdr:col>0</xdr:col>
      <xdr:colOff>590550</xdr:colOff>
      <xdr:row>537</xdr:row>
      <xdr:rowOff>628650</xdr:rowOff>
    </xdr:to>
    <xdr:pic>
      <xdr:nvPicPr>
        <xdr:cNvPr id="340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275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539</xdr:row>
      <xdr:rowOff>514350</xdr:rowOff>
    </xdr:from>
    <xdr:to>
      <xdr:col>0</xdr:col>
      <xdr:colOff>590550</xdr:colOff>
      <xdr:row>539</xdr:row>
      <xdr:rowOff>628650</xdr:rowOff>
    </xdr:to>
    <xdr:pic>
      <xdr:nvPicPr>
        <xdr:cNvPr id="340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275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550</xdr:row>
      <xdr:rowOff>514350</xdr:rowOff>
    </xdr:from>
    <xdr:to>
      <xdr:col>0</xdr:col>
      <xdr:colOff>590550</xdr:colOff>
      <xdr:row>550</xdr:row>
      <xdr:rowOff>628650</xdr:rowOff>
    </xdr:to>
    <xdr:pic>
      <xdr:nvPicPr>
        <xdr:cNvPr id="340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323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553</xdr:row>
      <xdr:rowOff>514350</xdr:rowOff>
    </xdr:from>
    <xdr:to>
      <xdr:col>0</xdr:col>
      <xdr:colOff>590550</xdr:colOff>
      <xdr:row>553</xdr:row>
      <xdr:rowOff>628650</xdr:rowOff>
    </xdr:to>
    <xdr:pic>
      <xdr:nvPicPr>
        <xdr:cNvPr id="340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4085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555</xdr:row>
      <xdr:rowOff>514350</xdr:rowOff>
    </xdr:from>
    <xdr:to>
      <xdr:col>0</xdr:col>
      <xdr:colOff>590550</xdr:colOff>
      <xdr:row>555</xdr:row>
      <xdr:rowOff>628650</xdr:rowOff>
    </xdr:to>
    <xdr:pic>
      <xdr:nvPicPr>
        <xdr:cNvPr id="341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4085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558</xdr:row>
      <xdr:rowOff>514350</xdr:rowOff>
    </xdr:from>
    <xdr:to>
      <xdr:col>0</xdr:col>
      <xdr:colOff>590550</xdr:colOff>
      <xdr:row>558</xdr:row>
      <xdr:rowOff>628650</xdr:rowOff>
    </xdr:to>
    <xdr:pic>
      <xdr:nvPicPr>
        <xdr:cNvPr id="341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4085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562</xdr:row>
      <xdr:rowOff>514350</xdr:rowOff>
    </xdr:from>
    <xdr:to>
      <xdr:col>0</xdr:col>
      <xdr:colOff>590550</xdr:colOff>
      <xdr:row>562</xdr:row>
      <xdr:rowOff>628650</xdr:rowOff>
    </xdr:to>
    <xdr:pic>
      <xdr:nvPicPr>
        <xdr:cNvPr id="341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609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568</xdr:row>
      <xdr:rowOff>514350</xdr:rowOff>
    </xdr:from>
    <xdr:to>
      <xdr:col>0</xdr:col>
      <xdr:colOff>590550</xdr:colOff>
      <xdr:row>568</xdr:row>
      <xdr:rowOff>628650</xdr:rowOff>
    </xdr:to>
    <xdr:pic>
      <xdr:nvPicPr>
        <xdr:cNvPr id="341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37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583</xdr:row>
      <xdr:rowOff>514350</xdr:rowOff>
    </xdr:from>
    <xdr:to>
      <xdr:col>0</xdr:col>
      <xdr:colOff>590550</xdr:colOff>
      <xdr:row>583</xdr:row>
      <xdr:rowOff>628650</xdr:rowOff>
    </xdr:to>
    <xdr:pic>
      <xdr:nvPicPr>
        <xdr:cNvPr id="341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18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586</xdr:row>
      <xdr:rowOff>514350</xdr:rowOff>
    </xdr:from>
    <xdr:to>
      <xdr:col>0</xdr:col>
      <xdr:colOff>590550</xdr:colOff>
      <xdr:row>586</xdr:row>
      <xdr:rowOff>628650</xdr:rowOff>
    </xdr:to>
    <xdr:pic>
      <xdr:nvPicPr>
        <xdr:cNvPr id="341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18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587</xdr:row>
      <xdr:rowOff>514350</xdr:rowOff>
    </xdr:from>
    <xdr:to>
      <xdr:col>0</xdr:col>
      <xdr:colOff>590550</xdr:colOff>
      <xdr:row>587</xdr:row>
      <xdr:rowOff>628650</xdr:rowOff>
    </xdr:to>
    <xdr:pic>
      <xdr:nvPicPr>
        <xdr:cNvPr id="341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181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590</xdr:row>
      <xdr:rowOff>514350</xdr:rowOff>
    </xdr:from>
    <xdr:to>
      <xdr:col>0</xdr:col>
      <xdr:colOff>590550</xdr:colOff>
      <xdr:row>590</xdr:row>
      <xdr:rowOff>628650</xdr:rowOff>
    </xdr:to>
    <xdr:pic>
      <xdr:nvPicPr>
        <xdr:cNvPr id="341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943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602</xdr:row>
      <xdr:rowOff>514350</xdr:rowOff>
    </xdr:from>
    <xdr:to>
      <xdr:col>0</xdr:col>
      <xdr:colOff>590550</xdr:colOff>
      <xdr:row>602</xdr:row>
      <xdr:rowOff>628650</xdr:rowOff>
    </xdr:to>
    <xdr:pic>
      <xdr:nvPicPr>
        <xdr:cNvPr id="341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3229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602</xdr:row>
      <xdr:rowOff>514350</xdr:rowOff>
    </xdr:from>
    <xdr:to>
      <xdr:col>0</xdr:col>
      <xdr:colOff>590550</xdr:colOff>
      <xdr:row>602</xdr:row>
      <xdr:rowOff>628650</xdr:rowOff>
    </xdr:to>
    <xdr:pic>
      <xdr:nvPicPr>
        <xdr:cNvPr id="341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3229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610</xdr:row>
      <xdr:rowOff>514350</xdr:rowOff>
    </xdr:from>
    <xdr:to>
      <xdr:col>0</xdr:col>
      <xdr:colOff>590550</xdr:colOff>
      <xdr:row>610</xdr:row>
      <xdr:rowOff>628650</xdr:rowOff>
    </xdr:to>
    <xdr:pic>
      <xdr:nvPicPr>
        <xdr:cNvPr id="342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753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611</xdr:row>
      <xdr:rowOff>514350</xdr:rowOff>
    </xdr:from>
    <xdr:to>
      <xdr:col>0</xdr:col>
      <xdr:colOff>590550</xdr:colOff>
      <xdr:row>611</xdr:row>
      <xdr:rowOff>628650</xdr:rowOff>
    </xdr:to>
    <xdr:pic>
      <xdr:nvPicPr>
        <xdr:cNvPr id="342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753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612</xdr:row>
      <xdr:rowOff>514350</xdr:rowOff>
    </xdr:from>
    <xdr:to>
      <xdr:col>0</xdr:col>
      <xdr:colOff>590550</xdr:colOff>
      <xdr:row>612</xdr:row>
      <xdr:rowOff>628650</xdr:rowOff>
    </xdr:to>
    <xdr:pic>
      <xdr:nvPicPr>
        <xdr:cNvPr id="342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7531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628</xdr:row>
      <xdr:rowOff>514350</xdr:rowOff>
    </xdr:from>
    <xdr:to>
      <xdr:col>0</xdr:col>
      <xdr:colOff>590550</xdr:colOff>
      <xdr:row>628</xdr:row>
      <xdr:rowOff>628650</xdr:rowOff>
    </xdr:to>
    <xdr:pic>
      <xdr:nvPicPr>
        <xdr:cNvPr id="342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4221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633</xdr:row>
      <xdr:rowOff>514350</xdr:rowOff>
    </xdr:from>
    <xdr:to>
      <xdr:col>0</xdr:col>
      <xdr:colOff>590550</xdr:colOff>
      <xdr:row>633</xdr:row>
      <xdr:rowOff>628650</xdr:rowOff>
    </xdr:to>
    <xdr:pic>
      <xdr:nvPicPr>
        <xdr:cNvPr id="342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6507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634</xdr:row>
      <xdr:rowOff>514350</xdr:rowOff>
    </xdr:from>
    <xdr:to>
      <xdr:col>0</xdr:col>
      <xdr:colOff>590550</xdr:colOff>
      <xdr:row>634</xdr:row>
      <xdr:rowOff>628650</xdr:rowOff>
    </xdr:to>
    <xdr:pic>
      <xdr:nvPicPr>
        <xdr:cNvPr id="342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6507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653</xdr:row>
      <xdr:rowOff>514350</xdr:rowOff>
    </xdr:from>
    <xdr:to>
      <xdr:col>0</xdr:col>
      <xdr:colOff>590550</xdr:colOff>
      <xdr:row>653</xdr:row>
      <xdr:rowOff>628650</xdr:rowOff>
    </xdr:to>
    <xdr:pic>
      <xdr:nvPicPr>
        <xdr:cNvPr id="342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6413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658</xdr:row>
      <xdr:rowOff>514350</xdr:rowOff>
    </xdr:from>
    <xdr:to>
      <xdr:col>0</xdr:col>
      <xdr:colOff>590550</xdr:colOff>
      <xdr:row>658</xdr:row>
      <xdr:rowOff>628650</xdr:rowOff>
    </xdr:to>
    <xdr:pic>
      <xdr:nvPicPr>
        <xdr:cNvPr id="342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6413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664</xdr:row>
      <xdr:rowOff>514350</xdr:rowOff>
    </xdr:from>
    <xdr:to>
      <xdr:col>0</xdr:col>
      <xdr:colOff>590550</xdr:colOff>
      <xdr:row>664</xdr:row>
      <xdr:rowOff>628650</xdr:rowOff>
    </xdr:to>
    <xdr:pic>
      <xdr:nvPicPr>
        <xdr:cNvPr id="342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8699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669</xdr:row>
      <xdr:rowOff>514350</xdr:rowOff>
    </xdr:from>
    <xdr:to>
      <xdr:col>0</xdr:col>
      <xdr:colOff>590550</xdr:colOff>
      <xdr:row>669</xdr:row>
      <xdr:rowOff>628650</xdr:rowOff>
    </xdr:to>
    <xdr:pic>
      <xdr:nvPicPr>
        <xdr:cNvPr id="342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0223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670</xdr:row>
      <xdr:rowOff>514350</xdr:rowOff>
    </xdr:from>
    <xdr:to>
      <xdr:col>0</xdr:col>
      <xdr:colOff>590550</xdr:colOff>
      <xdr:row>670</xdr:row>
      <xdr:rowOff>628650</xdr:rowOff>
    </xdr:to>
    <xdr:pic>
      <xdr:nvPicPr>
        <xdr:cNvPr id="343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0223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711</xdr:row>
      <xdr:rowOff>514350</xdr:rowOff>
    </xdr:from>
    <xdr:to>
      <xdr:col>0</xdr:col>
      <xdr:colOff>590550</xdr:colOff>
      <xdr:row>711</xdr:row>
      <xdr:rowOff>628650</xdr:rowOff>
    </xdr:to>
    <xdr:pic>
      <xdr:nvPicPr>
        <xdr:cNvPr id="343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0386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714</xdr:row>
      <xdr:rowOff>514350</xdr:rowOff>
    </xdr:from>
    <xdr:to>
      <xdr:col>0</xdr:col>
      <xdr:colOff>590550</xdr:colOff>
      <xdr:row>714</xdr:row>
      <xdr:rowOff>628650</xdr:rowOff>
    </xdr:to>
    <xdr:pic>
      <xdr:nvPicPr>
        <xdr:cNvPr id="343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114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791</xdr:row>
      <xdr:rowOff>514350</xdr:rowOff>
    </xdr:from>
    <xdr:to>
      <xdr:col>0</xdr:col>
      <xdr:colOff>590550</xdr:colOff>
      <xdr:row>791</xdr:row>
      <xdr:rowOff>628650</xdr:rowOff>
    </xdr:to>
    <xdr:pic>
      <xdr:nvPicPr>
        <xdr:cNvPr id="343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0104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793</xdr:row>
      <xdr:rowOff>514350</xdr:rowOff>
    </xdr:from>
    <xdr:to>
      <xdr:col>0</xdr:col>
      <xdr:colOff>590550</xdr:colOff>
      <xdr:row>793</xdr:row>
      <xdr:rowOff>628650</xdr:rowOff>
    </xdr:to>
    <xdr:pic>
      <xdr:nvPicPr>
        <xdr:cNvPr id="343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0104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794</xdr:row>
      <xdr:rowOff>514350</xdr:rowOff>
    </xdr:from>
    <xdr:to>
      <xdr:col>0</xdr:col>
      <xdr:colOff>590550</xdr:colOff>
      <xdr:row>794</xdr:row>
      <xdr:rowOff>628650</xdr:rowOff>
    </xdr:to>
    <xdr:pic>
      <xdr:nvPicPr>
        <xdr:cNvPr id="343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0104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798</xdr:row>
      <xdr:rowOff>514350</xdr:rowOff>
    </xdr:from>
    <xdr:to>
      <xdr:col>0</xdr:col>
      <xdr:colOff>590550</xdr:colOff>
      <xdr:row>798</xdr:row>
      <xdr:rowOff>628650</xdr:rowOff>
    </xdr:to>
    <xdr:pic>
      <xdr:nvPicPr>
        <xdr:cNvPr id="343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0866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801</xdr:row>
      <xdr:rowOff>514350</xdr:rowOff>
    </xdr:from>
    <xdr:to>
      <xdr:col>0</xdr:col>
      <xdr:colOff>590550</xdr:colOff>
      <xdr:row>801</xdr:row>
      <xdr:rowOff>628650</xdr:rowOff>
    </xdr:to>
    <xdr:pic>
      <xdr:nvPicPr>
        <xdr:cNvPr id="3437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2390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808</xdr:row>
      <xdr:rowOff>514350</xdr:rowOff>
    </xdr:from>
    <xdr:to>
      <xdr:col>0</xdr:col>
      <xdr:colOff>590550</xdr:colOff>
      <xdr:row>808</xdr:row>
      <xdr:rowOff>628650</xdr:rowOff>
    </xdr:to>
    <xdr:pic>
      <xdr:nvPicPr>
        <xdr:cNvPr id="3438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4676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812</xdr:row>
      <xdr:rowOff>514350</xdr:rowOff>
    </xdr:from>
    <xdr:to>
      <xdr:col>0</xdr:col>
      <xdr:colOff>590550</xdr:colOff>
      <xdr:row>812</xdr:row>
      <xdr:rowOff>628650</xdr:rowOff>
    </xdr:to>
    <xdr:pic>
      <xdr:nvPicPr>
        <xdr:cNvPr id="3439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543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813</xdr:row>
      <xdr:rowOff>514350</xdr:rowOff>
    </xdr:from>
    <xdr:to>
      <xdr:col>0</xdr:col>
      <xdr:colOff>590550</xdr:colOff>
      <xdr:row>813</xdr:row>
      <xdr:rowOff>628650</xdr:rowOff>
    </xdr:to>
    <xdr:pic>
      <xdr:nvPicPr>
        <xdr:cNvPr id="344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543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815</xdr:row>
      <xdr:rowOff>514350</xdr:rowOff>
    </xdr:from>
    <xdr:to>
      <xdr:col>0</xdr:col>
      <xdr:colOff>590550</xdr:colOff>
      <xdr:row>815</xdr:row>
      <xdr:rowOff>628650</xdr:rowOff>
    </xdr:to>
    <xdr:pic>
      <xdr:nvPicPr>
        <xdr:cNvPr id="344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543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819</xdr:row>
      <xdr:rowOff>514350</xdr:rowOff>
    </xdr:from>
    <xdr:to>
      <xdr:col>0</xdr:col>
      <xdr:colOff>590550</xdr:colOff>
      <xdr:row>819</xdr:row>
      <xdr:rowOff>628650</xdr:rowOff>
    </xdr:to>
    <xdr:pic>
      <xdr:nvPicPr>
        <xdr:cNvPr id="344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6200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822</xdr:row>
      <xdr:rowOff>514350</xdr:rowOff>
    </xdr:from>
    <xdr:to>
      <xdr:col>0</xdr:col>
      <xdr:colOff>590550</xdr:colOff>
      <xdr:row>822</xdr:row>
      <xdr:rowOff>628650</xdr:rowOff>
    </xdr:to>
    <xdr:pic>
      <xdr:nvPicPr>
        <xdr:cNvPr id="344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6200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836</xdr:row>
      <xdr:rowOff>514350</xdr:rowOff>
    </xdr:from>
    <xdr:to>
      <xdr:col>0</xdr:col>
      <xdr:colOff>590550</xdr:colOff>
      <xdr:row>836</xdr:row>
      <xdr:rowOff>628650</xdr:rowOff>
    </xdr:to>
    <xdr:pic>
      <xdr:nvPicPr>
        <xdr:cNvPr id="3444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305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837</xdr:row>
      <xdr:rowOff>514350</xdr:rowOff>
    </xdr:from>
    <xdr:to>
      <xdr:col>0</xdr:col>
      <xdr:colOff>590550</xdr:colOff>
      <xdr:row>837</xdr:row>
      <xdr:rowOff>628650</xdr:rowOff>
    </xdr:to>
    <xdr:pic>
      <xdr:nvPicPr>
        <xdr:cNvPr id="344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30581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636</xdr:row>
      <xdr:rowOff>514350</xdr:rowOff>
    </xdr:from>
    <xdr:to>
      <xdr:col>0</xdr:col>
      <xdr:colOff>590550</xdr:colOff>
      <xdr:row>636</xdr:row>
      <xdr:rowOff>628650</xdr:rowOff>
    </xdr:to>
    <xdr:pic>
      <xdr:nvPicPr>
        <xdr:cNvPr id="3446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726900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447" name="Picture 3753" descr="14-1595m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43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745</xdr:row>
      <xdr:rowOff>28575</xdr:rowOff>
    </xdr:from>
    <xdr:to>
      <xdr:col>2</xdr:col>
      <xdr:colOff>904875</xdr:colOff>
      <xdr:row>745</xdr:row>
      <xdr:rowOff>142875</xdr:rowOff>
    </xdr:to>
    <xdr:pic>
      <xdr:nvPicPr>
        <xdr:cNvPr id="344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8336875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2</xdr:col>
      <xdr:colOff>0</xdr:colOff>
      <xdr:row>746</xdr:row>
      <xdr:rowOff>0</xdr:rowOff>
    </xdr:to>
    <xdr:pic>
      <xdr:nvPicPr>
        <xdr:cNvPr id="3449" name="Picture 544374" descr="14-2664m">
          <a:hlinkClick xmlns:r="http://schemas.openxmlformats.org/officeDocument/2006/relationships" r:id="rId2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334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745</xdr:row>
      <xdr:rowOff>0</xdr:rowOff>
    </xdr:from>
    <xdr:to>
      <xdr:col>17</xdr:col>
      <xdr:colOff>9525</xdr:colOff>
      <xdr:row>745</xdr:row>
      <xdr:rowOff>161925</xdr:rowOff>
    </xdr:to>
    <xdr:pic>
      <xdr:nvPicPr>
        <xdr:cNvPr id="3450" name="Picture 4027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334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745</xdr:row>
      <xdr:rowOff>0</xdr:rowOff>
    </xdr:from>
    <xdr:to>
      <xdr:col>17</xdr:col>
      <xdr:colOff>409575</xdr:colOff>
      <xdr:row>745</xdr:row>
      <xdr:rowOff>161925</xdr:rowOff>
    </xdr:to>
    <xdr:pic>
      <xdr:nvPicPr>
        <xdr:cNvPr id="3451" name="Picture 4028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8334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745</xdr:row>
      <xdr:rowOff>0</xdr:rowOff>
    </xdr:from>
    <xdr:to>
      <xdr:col>19</xdr:col>
      <xdr:colOff>19050</xdr:colOff>
      <xdr:row>745</xdr:row>
      <xdr:rowOff>161925</xdr:rowOff>
    </xdr:to>
    <xdr:pic>
      <xdr:nvPicPr>
        <xdr:cNvPr id="3452" name="Picture 4029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8334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745</xdr:row>
      <xdr:rowOff>0</xdr:rowOff>
    </xdr:from>
    <xdr:to>
      <xdr:col>19</xdr:col>
      <xdr:colOff>409575</xdr:colOff>
      <xdr:row>745</xdr:row>
      <xdr:rowOff>161925</xdr:rowOff>
    </xdr:to>
    <xdr:pic>
      <xdr:nvPicPr>
        <xdr:cNvPr id="3453" name="Picture 4030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334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739</xdr:row>
      <xdr:rowOff>28575</xdr:rowOff>
    </xdr:from>
    <xdr:to>
      <xdr:col>2</xdr:col>
      <xdr:colOff>904875</xdr:colOff>
      <xdr:row>739</xdr:row>
      <xdr:rowOff>142875</xdr:rowOff>
    </xdr:to>
    <xdr:pic>
      <xdr:nvPicPr>
        <xdr:cNvPr id="345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7955875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2</xdr:col>
      <xdr:colOff>0</xdr:colOff>
      <xdr:row>740</xdr:row>
      <xdr:rowOff>0</xdr:rowOff>
    </xdr:to>
    <xdr:pic>
      <xdr:nvPicPr>
        <xdr:cNvPr id="3455" name="Picture 544380" descr="14-1660m">
          <a:hlinkClick xmlns:r="http://schemas.openxmlformats.org/officeDocument/2006/relationships" r:id="rId2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9530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739</xdr:row>
      <xdr:rowOff>0</xdr:rowOff>
    </xdr:from>
    <xdr:to>
      <xdr:col>17</xdr:col>
      <xdr:colOff>9525</xdr:colOff>
      <xdr:row>739</xdr:row>
      <xdr:rowOff>161925</xdr:rowOff>
    </xdr:to>
    <xdr:pic>
      <xdr:nvPicPr>
        <xdr:cNvPr id="3456" name="Picture 4074" descr="4XS"/>
        <xdr:cNvPicPr>
          <a:picLocks noChangeAspect="1" noChangeArrowheads="1"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7953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739</xdr:row>
      <xdr:rowOff>0</xdr:rowOff>
    </xdr:from>
    <xdr:to>
      <xdr:col>17</xdr:col>
      <xdr:colOff>409575</xdr:colOff>
      <xdr:row>739</xdr:row>
      <xdr:rowOff>161925</xdr:rowOff>
    </xdr:to>
    <xdr:pic>
      <xdr:nvPicPr>
        <xdr:cNvPr id="3457" name="Picture 4075" descr="3XS"/>
        <xdr:cNvPicPr>
          <a:picLocks noChangeAspect="1" noChangeArrowheads="1"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7953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739</xdr:row>
      <xdr:rowOff>0</xdr:rowOff>
    </xdr:from>
    <xdr:to>
      <xdr:col>19</xdr:col>
      <xdr:colOff>19050</xdr:colOff>
      <xdr:row>739</xdr:row>
      <xdr:rowOff>161925</xdr:rowOff>
    </xdr:to>
    <xdr:pic>
      <xdr:nvPicPr>
        <xdr:cNvPr id="3458" name="Picture 4076" descr="2XS"/>
        <xdr:cNvPicPr>
          <a:picLocks noChangeAspect="1" noChangeArrowheads="1"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7953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739</xdr:row>
      <xdr:rowOff>0</xdr:rowOff>
    </xdr:from>
    <xdr:to>
      <xdr:col>19</xdr:col>
      <xdr:colOff>409575</xdr:colOff>
      <xdr:row>739</xdr:row>
      <xdr:rowOff>161925</xdr:rowOff>
    </xdr:to>
    <xdr:pic>
      <xdr:nvPicPr>
        <xdr:cNvPr id="3459" name="Picture 4077" descr="XS"/>
        <xdr:cNvPicPr>
          <a:picLocks noChangeAspect="1" noChangeArrowheads="1"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9530175"/>
          <a:ext cx="409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3460" name="Picture 3436" descr="14-1543m">
          <a:hlinkClick xmlns:r="http://schemas.openxmlformats.org/officeDocument/2006/relationships" r:id="rId8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511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18</xdr:row>
      <xdr:rowOff>28575</xdr:rowOff>
    </xdr:from>
    <xdr:to>
      <xdr:col>2</xdr:col>
      <xdr:colOff>904875</xdr:colOff>
      <xdr:row>18</xdr:row>
      <xdr:rowOff>142875</xdr:rowOff>
    </xdr:to>
    <xdr:pic>
      <xdr:nvPicPr>
        <xdr:cNvPr id="3461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648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19</xdr:row>
      <xdr:rowOff>28575</xdr:rowOff>
    </xdr:from>
    <xdr:to>
      <xdr:col>2</xdr:col>
      <xdr:colOff>904875</xdr:colOff>
      <xdr:row>19</xdr:row>
      <xdr:rowOff>142875</xdr:rowOff>
    </xdr:to>
    <xdr:pic>
      <xdr:nvPicPr>
        <xdr:cNvPr id="3462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941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20</xdr:row>
      <xdr:rowOff>28575</xdr:rowOff>
    </xdr:from>
    <xdr:to>
      <xdr:col>2</xdr:col>
      <xdr:colOff>904875</xdr:colOff>
      <xdr:row>20</xdr:row>
      <xdr:rowOff>142875</xdr:rowOff>
    </xdr:to>
    <xdr:pic>
      <xdr:nvPicPr>
        <xdr:cNvPr id="346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017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426</xdr:row>
      <xdr:rowOff>28575</xdr:rowOff>
    </xdr:from>
    <xdr:to>
      <xdr:col>2</xdr:col>
      <xdr:colOff>904875</xdr:colOff>
      <xdr:row>426</xdr:row>
      <xdr:rowOff>142875</xdr:rowOff>
    </xdr:to>
    <xdr:pic>
      <xdr:nvPicPr>
        <xdr:cNvPr id="346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8945225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3465" name="Picture 544392" descr="35-2674m">
          <a:hlinkClick xmlns:r="http://schemas.openxmlformats.org/officeDocument/2006/relationships" r:id="rId2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9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16</xdr:row>
      <xdr:rowOff>28575</xdr:rowOff>
    </xdr:from>
    <xdr:to>
      <xdr:col>2</xdr:col>
      <xdr:colOff>904875</xdr:colOff>
      <xdr:row>16</xdr:row>
      <xdr:rowOff>142875</xdr:rowOff>
    </xdr:to>
    <xdr:pic>
      <xdr:nvPicPr>
        <xdr:cNvPr id="3466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124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25</xdr:row>
      <xdr:rowOff>28575</xdr:rowOff>
    </xdr:from>
    <xdr:to>
      <xdr:col>2</xdr:col>
      <xdr:colOff>904875</xdr:colOff>
      <xdr:row>25</xdr:row>
      <xdr:rowOff>142875</xdr:rowOff>
    </xdr:to>
    <xdr:pic>
      <xdr:nvPicPr>
        <xdr:cNvPr id="346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398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15</xdr:row>
      <xdr:rowOff>28575</xdr:rowOff>
    </xdr:from>
    <xdr:to>
      <xdr:col>2</xdr:col>
      <xdr:colOff>904875</xdr:colOff>
      <xdr:row>15</xdr:row>
      <xdr:rowOff>142875</xdr:rowOff>
    </xdr:to>
    <xdr:pic>
      <xdr:nvPicPr>
        <xdr:cNvPr id="346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36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3469" name="Picture 544396" descr="14-1675m">
          <a:hlinkClick xmlns:r="http://schemas.openxmlformats.org/officeDocument/2006/relationships" r:id="rId2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33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470" name="Picture 544397" descr="14-6672m">
          <a:hlinkClick xmlns:r="http://schemas.openxmlformats.org/officeDocument/2006/relationships" r:id="rId2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62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471" name="Picture 544398" descr="35-6672m">
          <a:hlinkClick xmlns:r="http://schemas.openxmlformats.org/officeDocument/2006/relationships" r:id="rId2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38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3472" name="Picture 544399" descr="14-2673m">
          <a:hlinkClick xmlns:r="http://schemas.openxmlformats.org/officeDocument/2006/relationships" r:id="rId2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5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9525</xdr:rowOff>
    </xdr:from>
    <xdr:to>
      <xdr:col>2</xdr:col>
      <xdr:colOff>0</xdr:colOff>
      <xdr:row>128</xdr:row>
      <xdr:rowOff>0</xdr:rowOff>
    </xdr:to>
    <xdr:pic>
      <xdr:nvPicPr>
        <xdr:cNvPr id="3473" name="Picture 544400" descr="14-1645m">
          <a:hlinkClick xmlns:r="http://schemas.openxmlformats.org/officeDocument/2006/relationships" r:id="rId2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873365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3474" name="Picture 544401" descr="14-1661m">
          <a:hlinkClick xmlns:r="http://schemas.openxmlformats.org/officeDocument/2006/relationships" r:id="rId2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291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2</xdr:col>
      <xdr:colOff>0</xdr:colOff>
      <xdr:row>782</xdr:row>
      <xdr:rowOff>0</xdr:rowOff>
    </xdr:to>
    <xdr:pic>
      <xdr:nvPicPr>
        <xdr:cNvPr id="3475" name="Picture 3504" descr="56-1545m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6294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782</xdr:row>
      <xdr:rowOff>0</xdr:rowOff>
    </xdr:from>
    <xdr:to>
      <xdr:col>2</xdr:col>
      <xdr:colOff>0</xdr:colOff>
      <xdr:row>783</xdr:row>
      <xdr:rowOff>0</xdr:rowOff>
    </xdr:to>
    <xdr:pic>
      <xdr:nvPicPr>
        <xdr:cNvPr id="3476" name="Picture 3505" descr="56-1556m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7056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10</xdr:row>
      <xdr:rowOff>28575</xdr:rowOff>
    </xdr:from>
    <xdr:to>
      <xdr:col>2</xdr:col>
      <xdr:colOff>904875</xdr:colOff>
      <xdr:row>10</xdr:row>
      <xdr:rowOff>142875</xdr:rowOff>
    </xdr:to>
    <xdr:pic>
      <xdr:nvPicPr>
        <xdr:cNvPr id="347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552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3478" name="Picture 3350" descr="14-fuckm">
          <a:hlinkClick xmlns:r="http://schemas.openxmlformats.org/officeDocument/2006/relationships" r:id="rId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30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3479" name="Picture 3571" descr="14-1574m">
          <a:hlinkClick xmlns:r="http://schemas.openxmlformats.org/officeDocument/2006/relationships" r:id="rId1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2064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217</xdr:row>
      <xdr:rowOff>514350</xdr:rowOff>
    </xdr:from>
    <xdr:to>
      <xdr:col>0</xdr:col>
      <xdr:colOff>590550</xdr:colOff>
      <xdr:row>217</xdr:row>
      <xdr:rowOff>628650</xdr:rowOff>
    </xdr:to>
    <xdr:pic>
      <xdr:nvPicPr>
        <xdr:cNvPr id="3480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2064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257</xdr:row>
      <xdr:rowOff>0</xdr:rowOff>
    </xdr:from>
    <xdr:to>
      <xdr:col>2</xdr:col>
      <xdr:colOff>19050</xdr:colOff>
      <xdr:row>258</xdr:row>
      <xdr:rowOff>0</xdr:rowOff>
    </xdr:to>
    <xdr:pic>
      <xdr:nvPicPr>
        <xdr:cNvPr id="3481" name="Picture 3582" descr="28-4576m">
          <a:hlinkClick xmlns:r="http://schemas.openxmlformats.org/officeDocument/2006/relationships" r:id="rId1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066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256</xdr:row>
      <xdr:rowOff>0</xdr:rowOff>
    </xdr:from>
    <xdr:to>
      <xdr:col>2</xdr:col>
      <xdr:colOff>19050</xdr:colOff>
      <xdr:row>257</xdr:row>
      <xdr:rowOff>0</xdr:rowOff>
    </xdr:to>
    <xdr:pic>
      <xdr:nvPicPr>
        <xdr:cNvPr id="3482" name="Picture 3740" descr="28-4576m">
          <a:hlinkClick xmlns:r="http://schemas.openxmlformats.org/officeDocument/2006/relationships" r:id="rId1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8066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3483" name="Picture 544413" descr="35-717m">
          <a:hlinkClick xmlns:r="http://schemas.openxmlformats.org/officeDocument/2006/relationships" r:id="rId1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30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3484" name="Picture 3984" descr="38-694m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26381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274</xdr:row>
      <xdr:rowOff>514350</xdr:rowOff>
    </xdr:from>
    <xdr:to>
      <xdr:col>0</xdr:col>
      <xdr:colOff>590550</xdr:colOff>
      <xdr:row>274</xdr:row>
      <xdr:rowOff>628650</xdr:rowOff>
    </xdr:to>
    <xdr:pic>
      <xdr:nvPicPr>
        <xdr:cNvPr id="348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26381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9525</xdr:colOff>
      <xdr:row>275</xdr:row>
      <xdr:rowOff>0</xdr:rowOff>
    </xdr:from>
    <xdr:to>
      <xdr:col>2</xdr:col>
      <xdr:colOff>9525</xdr:colOff>
      <xdr:row>276</xdr:row>
      <xdr:rowOff>0</xdr:rowOff>
    </xdr:to>
    <xdr:pic>
      <xdr:nvPicPr>
        <xdr:cNvPr id="3486" name="Picture 3918" descr="14-112m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263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3487" name="Picture 3207" descr="14-1520m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3488" name="Picture 3428" descr="14-1537m">
          <a:hlinkClick xmlns:r="http://schemas.openxmlformats.org/officeDocument/2006/relationships" r:id="rId8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3489" name="Picture 3429" descr="14-1537-1m">
          <a:hlinkClick xmlns:r="http://schemas.openxmlformats.org/officeDocument/2006/relationships" r:id="rId8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753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3490" name="Picture 3864" descr="14-1608m">
          <a:hlinkClick xmlns:r="http://schemas.openxmlformats.org/officeDocument/2006/relationships" r:id="rId1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81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310</xdr:row>
      <xdr:rowOff>514350</xdr:rowOff>
    </xdr:from>
    <xdr:to>
      <xdr:col>0</xdr:col>
      <xdr:colOff>590550</xdr:colOff>
      <xdr:row>310</xdr:row>
      <xdr:rowOff>628650</xdr:rowOff>
    </xdr:to>
    <xdr:pic>
      <xdr:nvPicPr>
        <xdr:cNvPr id="349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81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320</xdr:row>
      <xdr:rowOff>0</xdr:rowOff>
    </xdr:to>
    <xdr:pic>
      <xdr:nvPicPr>
        <xdr:cNvPr id="3492" name="Picture 3808" descr="14-1602m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2867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320</xdr:row>
      <xdr:rowOff>0</xdr:rowOff>
    </xdr:from>
    <xdr:to>
      <xdr:col>0</xdr:col>
      <xdr:colOff>590550</xdr:colOff>
      <xdr:row>320</xdr:row>
      <xdr:rowOff>0</xdr:rowOff>
    </xdr:to>
    <xdr:pic>
      <xdr:nvPicPr>
        <xdr:cNvPr id="3493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2867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3494" name="Picture 3759" descr="14-1594m">
          <a:hlinkClick xmlns:r="http://schemas.openxmlformats.org/officeDocument/2006/relationships" r:id="rId1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819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311</xdr:row>
      <xdr:rowOff>514350</xdr:rowOff>
    </xdr:from>
    <xdr:to>
      <xdr:col>0</xdr:col>
      <xdr:colOff>590550</xdr:colOff>
      <xdr:row>311</xdr:row>
      <xdr:rowOff>628650</xdr:rowOff>
    </xdr:to>
    <xdr:pic>
      <xdr:nvPicPr>
        <xdr:cNvPr id="3495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819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312</xdr:row>
      <xdr:rowOff>0</xdr:rowOff>
    </xdr:from>
    <xdr:to>
      <xdr:col>2</xdr:col>
      <xdr:colOff>0</xdr:colOff>
      <xdr:row>313</xdr:row>
      <xdr:rowOff>0</xdr:rowOff>
    </xdr:to>
    <xdr:pic>
      <xdr:nvPicPr>
        <xdr:cNvPr id="3496" name="Picture 3808" descr="14-1602m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819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3497" name="Picture 3931" descr="14-169m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34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315</xdr:row>
      <xdr:rowOff>0</xdr:rowOff>
    </xdr:from>
    <xdr:to>
      <xdr:col>2</xdr:col>
      <xdr:colOff>0</xdr:colOff>
      <xdr:row>316</xdr:row>
      <xdr:rowOff>0</xdr:rowOff>
    </xdr:to>
    <xdr:pic>
      <xdr:nvPicPr>
        <xdr:cNvPr id="3498" name="Picture 3934" descr="14-175m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34397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312</xdr:row>
      <xdr:rowOff>9525</xdr:rowOff>
    </xdr:from>
    <xdr:to>
      <xdr:col>2</xdr:col>
      <xdr:colOff>0</xdr:colOff>
      <xdr:row>313</xdr:row>
      <xdr:rowOff>9525</xdr:rowOff>
    </xdr:to>
    <xdr:pic>
      <xdr:nvPicPr>
        <xdr:cNvPr id="3499" name="Picture 26904" descr="14-1633m">
          <a:hlinkClick xmlns:r="http://schemas.openxmlformats.org/officeDocument/2006/relationships" r:id="rId1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98295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3500" name="Picture 132928" descr="14-1635m">
          <a:hlinkClick xmlns:r="http://schemas.openxmlformats.org/officeDocument/2006/relationships" r:id="rId18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05819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314</xdr:row>
      <xdr:rowOff>514350</xdr:rowOff>
    </xdr:from>
    <xdr:to>
      <xdr:col>0</xdr:col>
      <xdr:colOff>590550</xdr:colOff>
      <xdr:row>314</xdr:row>
      <xdr:rowOff>628650</xdr:rowOff>
    </xdr:to>
    <xdr:pic>
      <xdr:nvPicPr>
        <xdr:cNvPr id="3501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4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228600</xdr:colOff>
      <xdr:row>315</xdr:row>
      <xdr:rowOff>514350</xdr:rowOff>
    </xdr:from>
    <xdr:to>
      <xdr:col>0</xdr:col>
      <xdr:colOff>590550</xdr:colOff>
      <xdr:row>315</xdr:row>
      <xdr:rowOff>628650</xdr:rowOff>
    </xdr:to>
    <xdr:pic>
      <xdr:nvPicPr>
        <xdr:cNvPr id="3502" name="Picture 4208" descr="sale"/>
        <xdr:cNvPicPr>
          <a:picLocks noChangeAspect="1" noChangeArrowheads="1"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4397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2</xdr:col>
      <xdr:colOff>523875</xdr:colOff>
      <xdr:row>24</xdr:row>
      <xdr:rowOff>28575</xdr:rowOff>
    </xdr:from>
    <xdr:to>
      <xdr:col>2</xdr:col>
      <xdr:colOff>904875</xdr:colOff>
      <xdr:row>24</xdr:row>
      <xdr:rowOff>142875</xdr:rowOff>
    </xdr:to>
    <xdr:pic>
      <xdr:nvPicPr>
        <xdr:cNvPr id="3503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3220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3504" name="Picture 544446" descr="14-2664m">
          <a:hlinkClick xmlns:r="http://schemas.openxmlformats.org/officeDocument/2006/relationships" r:id="rId2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192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3505" name="Picture 544447" descr="14-1662m">
          <a:hlinkClick xmlns:r="http://schemas.openxmlformats.org/officeDocument/2006/relationships" r:id="rId20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90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506" name="Picture 544448" descr="14-2662m">
          <a:hlinkClick xmlns:r="http://schemas.openxmlformats.org/officeDocument/2006/relationships" r:id="rId2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66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3507" name="Picture 544449" descr="14-1519m">
          <a:hlinkClick xmlns:r="http://schemas.openxmlformats.org/officeDocument/2006/relationships" r:id="rId20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71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3508" name="Picture 12602" descr="14-1632m">
          <a:hlinkClick xmlns:r="http://schemas.openxmlformats.org/officeDocument/2006/relationships" r:id="rId1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76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19050</xdr:colOff>
      <xdr:row>76</xdr:row>
      <xdr:rowOff>0</xdr:rowOff>
    </xdr:to>
    <xdr:pic>
      <xdr:nvPicPr>
        <xdr:cNvPr id="3509" name="Picture 3708" descr="14-7580m">
          <a:hlinkClick xmlns:r="http://schemas.openxmlformats.org/officeDocument/2006/relationships" r:id="rId2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443412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3510" name="Picture 544453" descr="14-1657m">
          <a:hlinkClick xmlns:r="http://schemas.openxmlformats.org/officeDocument/2006/relationships" r:id="rId20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47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1297</xdr:row>
      <xdr:rowOff>0</xdr:rowOff>
    </xdr:from>
    <xdr:to>
      <xdr:col>2</xdr:col>
      <xdr:colOff>0</xdr:colOff>
      <xdr:row>1298</xdr:row>
      <xdr:rowOff>0</xdr:rowOff>
    </xdr:to>
    <xdr:pic>
      <xdr:nvPicPr>
        <xdr:cNvPr id="3511" name="Picture 544455" descr="t-ts084m">
          <a:hlinkClick xmlns:r="http://schemas.openxmlformats.org/officeDocument/2006/relationships" r:id="rId2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1168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1298</xdr:row>
      <xdr:rowOff>0</xdr:rowOff>
    </xdr:from>
    <xdr:to>
      <xdr:col>2</xdr:col>
      <xdr:colOff>0</xdr:colOff>
      <xdr:row>1299</xdr:row>
      <xdr:rowOff>0</xdr:rowOff>
    </xdr:to>
    <xdr:pic>
      <xdr:nvPicPr>
        <xdr:cNvPr id="3512" name="Picture 544456" descr="t-ts-085m">
          <a:hlinkClick xmlns:r="http://schemas.openxmlformats.org/officeDocument/2006/relationships" r:id="rId2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1930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3513" name="Picture 544457" descr="21-1530m">
          <a:hlinkClick xmlns:r="http://schemas.openxmlformats.org/officeDocument/2006/relationships" r:id="rId2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2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514" name="Picture 544458" descr="36-2672m">
          <a:hlinkClick xmlns:r="http://schemas.openxmlformats.org/officeDocument/2006/relationships" r:id="rId2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14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2</xdr:col>
      <xdr:colOff>0</xdr:colOff>
      <xdr:row>427</xdr:row>
      <xdr:rowOff>0</xdr:rowOff>
    </xdr:to>
    <xdr:pic>
      <xdr:nvPicPr>
        <xdr:cNvPr id="3515" name="Picture 544459" descr="42-9672m">
          <a:hlinkClick xmlns:r="http://schemas.openxmlformats.org/officeDocument/2006/relationships" r:id="rId2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4236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3516" name="Picture 544460" descr="14-1671m">
          <a:hlinkClick xmlns:r="http://schemas.openxmlformats.org/officeDocument/2006/relationships" r:id="rId2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10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11</xdr:row>
      <xdr:rowOff>28575</xdr:rowOff>
    </xdr:from>
    <xdr:to>
      <xdr:col>2</xdr:col>
      <xdr:colOff>904875</xdr:colOff>
      <xdr:row>11</xdr:row>
      <xdr:rowOff>142875</xdr:rowOff>
    </xdr:to>
    <xdr:pic>
      <xdr:nvPicPr>
        <xdr:cNvPr id="3517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314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12</xdr:row>
      <xdr:rowOff>28575</xdr:rowOff>
    </xdr:from>
    <xdr:to>
      <xdr:col>2</xdr:col>
      <xdr:colOff>904875</xdr:colOff>
      <xdr:row>12</xdr:row>
      <xdr:rowOff>142875</xdr:rowOff>
    </xdr:to>
    <xdr:pic>
      <xdr:nvPicPr>
        <xdr:cNvPr id="3518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076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13</xdr:row>
      <xdr:rowOff>28575</xdr:rowOff>
    </xdr:from>
    <xdr:to>
      <xdr:col>2</xdr:col>
      <xdr:colOff>904875</xdr:colOff>
      <xdr:row>13</xdr:row>
      <xdr:rowOff>142875</xdr:rowOff>
    </xdr:to>
    <xdr:pic>
      <xdr:nvPicPr>
        <xdr:cNvPr id="3519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83870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520" name="Picture 544464" descr="14-1662m">
          <a:hlinkClick xmlns:r="http://schemas.openxmlformats.org/officeDocument/2006/relationships" r:id="rId2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86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3521" name="Picture 8606" descr="14-1617m">
          <a:hlinkClick xmlns:r="http://schemas.openxmlformats.org/officeDocument/2006/relationships" r:id="rId2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048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2</xdr:col>
      <xdr:colOff>0</xdr:colOff>
      <xdr:row>784</xdr:row>
      <xdr:rowOff>0</xdr:rowOff>
    </xdr:to>
    <xdr:pic>
      <xdr:nvPicPr>
        <xdr:cNvPr id="3752" name="Picture 3519" descr="56-1567m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978181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oood.ru/components/com_virtuemart/shop_image/product/good/14-3641big.jpg" TargetMode="External"/><Relationship Id="rId13" Type="http://schemas.openxmlformats.org/officeDocument/2006/relationships/hyperlink" Target="http://www.gooood.ru/components/com_virtuemart/shop_image/product/good/35-6538b.jpg" TargetMode="External"/><Relationship Id="rId3" Type="http://schemas.openxmlformats.org/officeDocument/2006/relationships/hyperlink" Target="http://www.gooood.ru/components/com_virtuemart/shop_image/product/good/43-452b.jpg" TargetMode="External"/><Relationship Id="rId7" Type="http://schemas.openxmlformats.org/officeDocument/2006/relationships/hyperlink" Target="http://www.gooood.ru/components/com_virtuemart/shop_image/product/good/43-181b.jpg" TargetMode="External"/><Relationship Id="rId12" Type="http://schemas.openxmlformats.org/officeDocument/2006/relationships/hyperlink" Target="http://www.gooood.ru/components/com_virtuemart/shop_image/product/good/35-5641b.jpg" TargetMode="External"/><Relationship Id="rId2" Type="http://schemas.openxmlformats.org/officeDocument/2006/relationships/hyperlink" Target="http://www.gooood.ru/pictures/katalog/05_1/14-135b.jpg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gooood.ru/pictures/katalog/05_1/14-135b.jpg" TargetMode="External"/><Relationship Id="rId6" Type="http://schemas.openxmlformats.org/officeDocument/2006/relationships/hyperlink" Target="http://www.gooood.ru/components/com_virtuemart/shop_image/product/good/43-755b.jpg" TargetMode="External"/><Relationship Id="rId11" Type="http://schemas.openxmlformats.org/officeDocument/2006/relationships/hyperlink" Target="http://www.gooood.ru/components/com_virtuemart/shop_image/product/good/34-3508-1b.jpg" TargetMode="External"/><Relationship Id="rId5" Type="http://schemas.openxmlformats.org/officeDocument/2006/relationships/hyperlink" Target="http://www.gooood.ru/components/com_virtuemart/shop_image/product/good/43-755b.jpg" TargetMode="External"/><Relationship Id="rId15" Type="http://schemas.openxmlformats.org/officeDocument/2006/relationships/hyperlink" Target="http://www.gooood.ru/components/com_virtuemart/shop_image/product/good/35-2640b.jpg" TargetMode="External"/><Relationship Id="rId10" Type="http://schemas.openxmlformats.org/officeDocument/2006/relationships/hyperlink" Target="http://www.gooood.ru/components/com_virtuemart/shop_image/product/good/34-3508b.jpg" TargetMode="External"/><Relationship Id="rId4" Type="http://schemas.openxmlformats.org/officeDocument/2006/relationships/hyperlink" Target="http://www.gooood.ru/components/com_virtuemart/shop_image/product/good/43-753b.jpg" TargetMode="External"/><Relationship Id="rId9" Type="http://schemas.openxmlformats.org/officeDocument/2006/relationships/hyperlink" Target="http://www.gooood.ru/components/com_virtuemart/shop_image/product/good/28-549big.jpg" TargetMode="External"/><Relationship Id="rId14" Type="http://schemas.openxmlformats.org/officeDocument/2006/relationships/hyperlink" Target="http://www.gooood.ru/components/com_virtuemart/shop_image/product/good/35-7641b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5"/>
  <sheetViews>
    <sheetView tabSelected="1" workbookViewId="0">
      <selection activeCell="A10" sqref="A10"/>
    </sheetView>
  </sheetViews>
  <sheetFormatPr defaultColWidth="0" defaultRowHeight="12.75" x14ac:dyDescent="0.2"/>
  <cols>
    <col min="1" max="1" width="12" style="2" customWidth="1"/>
    <col min="2" max="2" width="11.42578125" style="2" customWidth="1"/>
    <col min="3" max="3" width="22.42578125" style="5" customWidth="1"/>
    <col min="4" max="4" width="22.28515625" style="4" customWidth="1"/>
    <col min="5" max="5" width="9.42578125" style="4" customWidth="1"/>
    <col min="6" max="6" width="17.5703125" style="4" hidden="1" customWidth="1"/>
    <col min="7" max="7" width="13.42578125" style="5" hidden="1" customWidth="1"/>
    <col min="8" max="8" width="19" style="5" hidden="1" customWidth="1"/>
    <col min="9" max="9" width="14.140625" style="4" customWidth="1"/>
    <col min="10" max="10" width="11.7109375" style="4" hidden="1" customWidth="1"/>
    <col min="11" max="11" width="1.5703125" style="5" customWidth="1"/>
    <col min="12" max="12" width="7.5703125" style="26" customWidth="1"/>
    <col min="13" max="13" width="5.7109375" style="26" customWidth="1"/>
    <col min="14" max="14" width="5" style="26" hidden="1"/>
    <col min="15" max="15" width="6" style="26" hidden="1"/>
    <col min="16" max="16" width="5.85546875" style="19" customWidth="1"/>
    <col min="17" max="17" width="6" style="19" customWidth="1"/>
    <col min="18" max="18" width="6.28515625" style="19" customWidth="1"/>
    <col min="19" max="19" width="5.85546875" style="19" customWidth="1"/>
    <col min="20" max="20" width="6.42578125" style="19" customWidth="1"/>
    <col min="21" max="21" width="6.7109375" style="19" customWidth="1"/>
    <col min="22" max="22" width="6" style="19" customWidth="1"/>
    <col min="23" max="23" width="3.5703125" style="19" hidden="1"/>
    <col min="24" max="24" width="6.7109375" style="19" hidden="1"/>
    <col min="25" max="25" width="3.140625" style="7" customWidth="1"/>
    <col min="26" max="250" width="9.140625" style="65" hidden="1"/>
    <col min="251" max="251" width="12" style="65" customWidth="1"/>
    <col min="252" max="252" width="11.42578125" style="65" customWidth="1"/>
    <col min="253" max="253" width="22.42578125" style="65" customWidth="1"/>
    <col min="254" max="254" width="22.28515625" style="65" customWidth="1"/>
    <col min="255" max="255" width="9.42578125" style="65" customWidth="1"/>
    <col min="256" max="258" width="9.140625" style="65" hidden="1" customWidth="1"/>
    <col min="259" max="259" width="14.140625" style="65" customWidth="1"/>
    <col min="260" max="260" width="9.140625" style="65" hidden="1" customWidth="1"/>
    <col min="261" max="261" width="12" style="65" customWidth="1"/>
    <col min="262" max="262" width="9.140625" style="65" hidden="1" customWidth="1"/>
    <col min="263" max="264" width="8.140625" style="65" customWidth="1"/>
    <col min="265" max="266" width="8.7109375" style="65" customWidth="1"/>
    <col min="267" max="267" width="1.5703125" style="65" customWidth="1"/>
    <col min="268" max="268" width="7.5703125" style="65" customWidth="1"/>
    <col min="269" max="269" width="5.7109375" style="65" customWidth="1"/>
    <col min="270" max="271" width="9.140625" style="65" hidden="1"/>
    <col min="272" max="272" width="5.85546875" style="65" customWidth="1"/>
    <col min="273" max="273" width="6" style="65" customWidth="1"/>
    <col min="274" max="274" width="6.28515625" style="65" customWidth="1"/>
    <col min="275" max="275" width="5.85546875" style="65" customWidth="1"/>
    <col min="276" max="276" width="6.42578125" style="65" customWidth="1"/>
    <col min="277" max="277" width="6.7109375" style="65" customWidth="1"/>
    <col min="278" max="278" width="6" style="65" customWidth="1"/>
    <col min="279" max="280" width="9.140625" style="65" hidden="1"/>
    <col min="281" max="281" width="3.140625" style="65" customWidth="1"/>
    <col min="282" max="506" width="9.140625" style="65" hidden="1"/>
    <col min="507" max="507" width="12" style="65" customWidth="1"/>
    <col min="508" max="508" width="11.42578125" style="65" customWidth="1"/>
    <col min="509" max="509" width="22.42578125" style="65" customWidth="1"/>
    <col min="510" max="510" width="22.28515625" style="65" customWidth="1"/>
    <col min="511" max="511" width="9.42578125" style="65" customWidth="1"/>
    <col min="512" max="514" width="9.140625" style="65" hidden="1" customWidth="1"/>
    <col min="515" max="515" width="14.140625" style="65" customWidth="1"/>
    <col min="516" max="516" width="9.140625" style="65" hidden="1" customWidth="1"/>
    <col min="517" max="517" width="12" style="65" customWidth="1"/>
    <col min="518" max="518" width="9.140625" style="65" hidden="1" customWidth="1"/>
    <col min="519" max="520" width="8.140625" style="65" customWidth="1"/>
    <col min="521" max="522" width="8.7109375" style="65" customWidth="1"/>
    <col min="523" max="523" width="1.5703125" style="65" customWidth="1"/>
    <col min="524" max="524" width="7.5703125" style="65" customWidth="1"/>
    <col min="525" max="525" width="5.7109375" style="65" customWidth="1"/>
    <col min="526" max="527" width="9.140625" style="65" hidden="1"/>
    <col min="528" max="528" width="5.85546875" style="65" customWidth="1"/>
    <col min="529" max="529" width="6" style="65" customWidth="1"/>
    <col min="530" max="530" width="6.28515625" style="65" customWidth="1"/>
    <col min="531" max="531" width="5.85546875" style="65" customWidth="1"/>
    <col min="532" max="532" width="6.42578125" style="65" customWidth="1"/>
    <col min="533" max="533" width="6.7109375" style="65" customWidth="1"/>
    <col min="534" max="534" width="6" style="65" customWidth="1"/>
    <col min="535" max="536" width="9.140625" style="65" hidden="1"/>
    <col min="537" max="537" width="3.140625" style="65" customWidth="1"/>
    <col min="538" max="762" width="9.140625" style="65" hidden="1"/>
    <col min="763" max="763" width="12" style="65" customWidth="1"/>
    <col min="764" max="764" width="11.42578125" style="65" customWidth="1"/>
    <col min="765" max="765" width="22.42578125" style="65" customWidth="1"/>
    <col min="766" max="766" width="22.28515625" style="65" customWidth="1"/>
    <col min="767" max="767" width="9.42578125" style="65" customWidth="1"/>
    <col min="768" max="770" width="9.140625" style="65" hidden="1" customWidth="1"/>
    <col min="771" max="771" width="14.140625" style="65" customWidth="1"/>
    <col min="772" max="772" width="9.140625" style="65" hidden="1" customWidth="1"/>
    <col min="773" max="773" width="12" style="65" customWidth="1"/>
    <col min="774" max="774" width="9.140625" style="65" hidden="1" customWidth="1"/>
    <col min="775" max="776" width="8.140625" style="65" customWidth="1"/>
    <col min="777" max="778" width="8.7109375" style="65" customWidth="1"/>
    <col min="779" max="779" width="1.5703125" style="65" customWidth="1"/>
    <col min="780" max="780" width="7.5703125" style="65" customWidth="1"/>
    <col min="781" max="781" width="5.7109375" style="65" customWidth="1"/>
    <col min="782" max="783" width="9.140625" style="65" hidden="1"/>
    <col min="784" max="784" width="5.85546875" style="65" customWidth="1"/>
    <col min="785" max="785" width="6" style="65" customWidth="1"/>
    <col min="786" max="786" width="6.28515625" style="65" customWidth="1"/>
    <col min="787" max="787" width="5.85546875" style="65" customWidth="1"/>
    <col min="788" max="788" width="6.42578125" style="65" customWidth="1"/>
    <col min="789" max="789" width="6.7109375" style="65" customWidth="1"/>
    <col min="790" max="790" width="6" style="65" customWidth="1"/>
    <col min="791" max="792" width="9.140625" style="65" hidden="1"/>
    <col min="793" max="793" width="3.140625" style="65" customWidth="1"/>
    <col min="794" max="1018" width="9.140625" style="65" hidden="1"/>
    <col min="1019" max="1019" width="12" style="65" customWidth="1"/>
    <col min="1020" max="1020" width="11.42578125" style="65" customWidth="1"/>
    <col min="1021" max="1021" width="22.42578125" style="65" customWidth="1"/>
    <col min="1022" max="1022" width="22.28515625" style="65" customWidth="1"/>
    <col min="1023" max="1023" width="9.42578125" style="65" customWidth="1"/>
    <col min="1024" max="1026" width="9.140625" style="65" hidden="1" customWidth="1"/>
    <col min="1027" max="1027" width="14.140625" style="65" customWidth="1"/>
    <col min="1028" max="1028" width="9.140625" style="65" hidden="1" customWidth="1"/>
    <col min="1029" max="1029" width="12" style="65" customWidth="1"/>
    <col min="1030" max="1030" width="9.140625" style="65" hidden="1" customWidth="1"/>
    <col min="1031" max="1032" width="8.140625" style="65" customWidth="1"/>
    <col min="1033" max="1034" width="8.7109375" style="65" customWidth="1"/>
    <col min="1035" max="1035" width="1.5703125" style="65" customWidth="1"/>
    <col min="1036" max="1036" width="7.5703125" style="65" customWidth="1"/>
    <col min="1037" max="1037" width="5.7109375" style="65" customWidth="1"/>
    <col min="1038" max="1039" width="9.140625" style="65" hidden="1"/>
    <col min="1040" max="1040" width="5.85546875" style="65" customWidth="1"/>
    <col min="1041" max="1041" width="6" style="65" customWidth="1"/>
    <col min="1042" max="1042" width="6.28515625" style="65" customWidth="1"/>
    <col min="1043" max="1043" width="5.85546875" style="65" customWidth="1"/>
    <col min="1044" max="1044" width="6.42578125" style="65" customWidth="1"/>
    <col min="1045" max="1045" width="6.7109375" style="65" customWidth="1"/>
    <col min="1046" max="1046" width="6" style="65" customWidth="1"/>
    <col min="1047" max="1048" width="9.140625" style="65" hidden="1"/>
    <col min="1049" max="1049" width="3.140625" style="65" customWidth="1"/>
    <col min="1050" max="1274" width="9.140625" style="65" hidden="1"/>
    <col min="1275" max="1275" width="12" style="65" customWidth="1"/>
    <col min="1276" max="1276" width="11.42578125" style="65" customWidth="1"/>
    <col min="1277" max="1277" width="22.42578125" style="65" customWidth="1"/>
    <col min="1278" max="1278" width="22.28515625" style="65" customWidth="1"/>
    <col min="1279" max="1279" width="9.42578125" style="65" customWidth="1"/>
    <col min="1280" max="1282" width="9.140625" style="65" hidden="1" customWidth="1"/>
    <col min="1283" max="1283" width="14.140625" style="65" customWidth="1"/>
    <col min="1284" max="1284" width="9.140625" style="65" hidden="1" customWidth="1"/>
    <col min="1285" max="1285" width="12" style="65" customWidth="1"/>
    <col min="1286" max="1286" width="9.140625" style="65" hidden="1" customWidth="1"/>
    <col min="1287" max="1288" width="8.140625" style="65" customWidth="1"/>
    <col min="1289" max="1290" width="8.7109375" style="65" customWidth="1"/>
    <col min="1291" max="1291" width="1.5703125" style="65" customWidth="1"/>
    <col min="1292" max="1292" width="7.5703125" style="65" customWidth="1"/>
    <col min="1293" max="1293" width="5.7109375" style="65" customWidth="1"/>
    <col min="1294" max="1295" width="9.140625" style="65" hidden="1"/>
    <col min="1296" max="1296" width="5.85546875" style="65" customWidth="1"/>
    <col min="1297" max="1297" width="6" style="65" customWidth="1"/>
    <col min="1298" max="1298" width="6.28515625" style="65" customWidth="1"/>
    <col min="1299" max="1299" width="5.85546875" style="65" customWidth="1"/>
    <col min="1300" max="1300" width="6.42578125" style="65" customWidth="1"/>
    <col min="1301" max="1301" width="6.7109375" style="65" customWidth="1"/>
    <col min="1302" max="1302" width="6" style="65" customWidth="1"/>
    <col min="1303" max="1304" width="9.140625" style="65" hidden="1"/>
    <col min="1305" max="1305" width="3.140625" style="65" customWidth="1"/>
    <col min="1306" max="1530" width="9.140625" style="65" hidden="1"/>
    <col min="1531" max="1531" width="12" style="65" customWidth="1"/>
    <col min="1532" max="1532" width="11.42578125" style="65" customWidth="1"/>
    <col min="1533" max="1533" width="22.42578125" style="65" customWidth="1"/>
    <col min="1534" max="1534" width="22.28515625" style="65" customWidth="1"/>
    <col min="1535" max="1535" width="9.42578125" style="65" customWidth="1"/>
    <col min="1536" max="1538" width="9.140625" style="65" hidden="1" customWidth="1"/>
    <col min="1539" max="1539" width="14.140625" style="65" customWidth="1"/>
    <col min="1540" max="1540" width="9.140625" style="65" hidden="1" customWidth="1"/>
    <col min="1541" max="1541" width="12" style="65" customWidth="1"/>
    <col min="1542" max="1542" width="9.140625" style="65" hidden="1" customWidth="1"/>
    <col min="1543" max="1544" width="8.140625" style="65" customWidth="1"/>
    <col min="1545" max="1546" width="8.7109375" style="65" customWidth="1"/>
    <col min="1547" max="1547" width="1.5703125" style="65" customWidth="1"/>
    <col min="1548" max="1548" width="7.5703125" style="65" customWidth="1"/>
    <col min="1549" max="1549" width="5.7109375" style="65" customWidth="1"/>
    <col min="1550" max="1551" width="9.140625" style="65" hidden="1"/>
    <col min="1552" max="1552" width="5.85546875" style="65" customWidth="1"/>
    <col min="1553" max="1553" width="6" style="65" customWidth="1"/>
    <col min="1554" max="1554" width="6.28515625" style="65" customWidth="1"/>
    <col min="1555" max="1555" width="5.85546875" style="65" customWidth="1"/>
    <col min="1556" max="1556" width="6.42578125" style="65" customWidth="1"/>
    <col min="1557" max="1557" width="6.7109375" style="65" customWidth="1"/>
    <col min="1558" max="1558" width="6" style="65" customWidth="1"/>
    <col min="1559" max="1560" width="9.140625" style="65" hidden="1"/>
    <col min="1561" max="1561" width="3.140625" style="65" customWidth="1"/>
    <col min="1562" max="1786" width="9.140625" style="65" hidden="1"/>
    <col min="1787" max="1787" width="12" style="65" customWidth="1"/>
    <col min="1788" max="1788" width="11.42578125" style="65" customWidth="1"/>
    <col min="1789" max="1789" width="22.42578125" style="65" customWidth="1"/>
    <col min="1790" max="1790" width="22.28515625" style="65" customWidth="1"/>
    <col min="1791" max="1791" width="9.42578125" style="65" customWidth="1"/>
    <col min="1792" max="1794" width="9.140625" style="65" hidden="1" customWidth="1"/>
    <col min="1795" max="1795" width="14.140625" style="65" customWidth="1"/>
    <col min="1796" max="1796" width="9.140625" style="65" hidden="1" customWidth="1"/>
    <col min="1797" max="1797" width="12" style="65" customWidth="1"/>
    <col min="1798" max="1798" width="9.140625" style="65" hidden="1" customWidth="1"/>
    <col min="1799" max="1800" width="8.140625" style="65" customWidth="1"/>
    <col min="1801" max="1802" width="8.7109375" style="65" customWidth="1"/>
    <col min="1803" max="1803" width="1.5703125" style="65" customWidth="1"/>
    <col min="1804" max="1804" width="7.5703125" style="65" customWidth="1"/>
    <col min="1805" max="1805" width="5.7109375" style="65" customWidth="1"/>
    <col min="1806" max="1807" width="9.140625" style="65" hidden="1"/>
    <col min="1808" max="1808" width="5.85546875" style="65" customWidth="1"/>
    <col min="1809" max="1809" width="6" style="65" customWidth="1"/>
    <col min="1810" max="1810" width="6.28515625" style="65" customWidth="1"/>
    <col min="1811" max="1811" width="5.85546875" style="65" customWidth="1"/>
    <col min="1812" max="1812" width="6.42578125" style="65" customWidth="1"/>
    <col min="1813" max="1813" width="6.7109375" style="65" customWidth="1"/>
    <col min="1814" max="1814" width="6" style="65" customWidth="1"/>
    <col min="1815" max="1816" width="9.140625" style="65" hidden="1"/>
    <col min="1817" max="1817" width="3.140625" style="65" customWidth="1"/>
    <col min="1818" max="2042" width="9.140625" style="65" hidden="1"/>
    <col min="2043" max="2043" width="12" style="65" customWidth="1"/>
    <col min="2044" max="2044" width="11.42578125" style="65" customWidth="1"/>
    <col min="2045" max="2045" width="22.42578125" style="65" customWidth="1"/>
    <col min="2046" max="2046" width="22.28515625" style="65" customWidth="1"/>
    <col min="2047" max="2047" width="9.42578125" style="65" customWidth="1"/>
    <col min="2048" max="2050" width="9.140625" style="65" hidden="1" customWidth="1"/>
    <col min="2051" max="2051" width="14.140625" style="65" customWidth="1"/>
    <col min="2052" max="2052" width="9.140625" style="65" hidden="1" customWidth="1"/>
    <col min="2053" max="2053" width="12" style="65" customWidth="1"/>
    <col min="2054" max="2054" width="9.140625" style="65" hidden="1" customWidth="1"/>
    <col min="2055" max="2056" width="8.140625" style="65" customWidth="1"/>
    <col min="2057" max="2058" width="8.7109375" style="65" customWidth="1"/>
    <col min="2059" max="2059" width="1.5703125" style="65" customWidth="1"/>
    <col min="2060" max="2060" width="7.5703125" style="65" customWidth="1"/>
    <col min="2061" max="2061" width="5.7109375" style="65" customWidth="1"/>
    <col min="2062" max="2063" width="9.140625" style="65" hidden="1"/>
    <col min="2064" max="2064" width="5.85546875" style="65" customWidth="1"/>
    <col min="2065" max="2065" width="6" style="65" customWidth="1"/>
    <col min="2066" max="2066" width="6.28515625" style="65" customWidth="1"/>
    <col min="2067" max="2067" width="5.85546875" style="65" customWidth="1"/>
    <col min="2068" max="2068" width="6.42578125" style="65" customWidth="1"/>
    <col min="2069" max="2069" width="6.7109375" style="65" customWidth="1"/>
    <col min="2070" max="2070" width="6" style="65" customWidth="1"/>
    <col min="2071" max="2072" width="9.140625" style="65" hidden="1"/>
    <col min="2073" max="2073" width="3.140625" style="65" customWidth="1"/>
    <col min="2074" max="2298" width="9.140625" style="65" hidden="1"/>
    <col min="2299" max="2299" width="12" style="65" customWidth="1"/>
    <col min="2300" max="2300" width="11.42578125" style="65" customWidth="1"/>
    <col min="2301" max="2301" width="22.42578125" style="65" customWidth="1"/>
    <col min="2302" max="2302" width="22.28515625" style="65" customWidth="1"/>
    <col min="2303" max="2303" width="9.42578125" style="65" customWidth="1"/>
    <col min="2304" max="2306" width="9.140625" style="65" hidden="1" customWidth="1"/>
    <col min="2307" max="2307" width="14.140625" style="65" customWidth="1"/>
    <col min="2308" max="2308" width="9.140625" style="65" hidden="1" customWidth="1"/>
    <col min="2309" max="2309" width="12" style="65" customWidth="1"/>
    <col min="2310" max="2310" width="9.140625" style="65" hidden="1" customWidth="1"/>
    <col min="2311" max="2312" width="8.140625" style="65" customWidth="1"/>
    <col min="2313" max="2314" width="8.7109375" style="65" customWidth="1"/>
    <col min="2315" max="2315" width="1.5703125" style="65" customWidth="1"/>
    <col min="2316" max="2316" width="7.5703125" style="65" customWidth="1"/>
    <col min="2317" max="2317" width="5.7109375" style="65" customWidth="1"/>
    <col min="2318" max="2319" width="9.140625" style="65" hidden="1"/>
    <col min="2320" max="2320" width="5.85546875" style="65" customWidth="1"/>
    <col min="2321" max="2321" width="6" style="65" customWidth="1"/>
    <col min="2322" max="2322" width="6.28515625" style="65" customWidth="1"/>
    <col min="2323" max="2323" width="5.85546875" style="65" customWidth="1"/>
    <col min="2324" max="2324" width="6.42578125" style="65" customWidth="1"/>
    <col min="2325" max="2325" width="6.7109375" style="65" customWidth="1"/>
    <col min="2326" max="2326" width="6" style="65" customWidth="1"/>
    <col min="2327" max="2328" width="9.140625" style="65" hidden="1"/>
    <col min="2329" max="2329" width="3.140625" style="65" customWidth="1"/>
    <col min="2330" max="2554" width="9.140625" style="65" hidden="1"/>
    <col min="2555" max="2555" width="12" style="65" customWidth="1"/>
    <col min="2556" max="2556" width="11.42578125" style="65" customWidth="1"/>
    <col min="2557" max="2557" width="22.42578125" style="65" customWidth="1"/>
    <col min="2558" max="2558" width="22.28515625" style="65" customWidth="1"/>
    <col min="2559" max="2559" width="9.42578125" style="65" customWidth="1"/>
    <col min="2560" max="2562" width="9.140625" style="65" hidden="1" customWidth="1"/>
    <col min="2563" max="2563" width="14.140625" style="65" customWidth="1"/>
    <col min="2564" max="2564" width="9.140625" style="65" hidden="1" customWidth="1"/>
    <col min="2565" max="2565" width="12" style="65" customWidth="1"/>
    <col min="2566" max="2566" width="9.140625" style="65" hidden="1" customWidth="1"/>
    <col min="2567" max="2568" width="8.140625" style="65" customWidth="1"/>
    <col min="2569" max="2570" width="8.7109375" style="65" customWidth="1"/>
    <col min="2571" max="2571" width="1.5703125" style="65" customWidth="1"/>
    <col min="2572" max="2572" width="7.5703125" style="65" customWidth="1"/>
    <col min="2573" max="2573" width="5.7109375" style="65" customWidth="1"/>
    <col min="2574" max="2575" width="9.140625" style="65" hidden="1"/>
    <col min="2576" max="2576" width="5.85546875" style="65" customWidth="1"/>
    <col min="2577" max="2577" width="6" style="65" customWidth="1"/>
    <col min="2578" max="2578" width="6.28515625" style="65" customWidth="1"/>
    <col min="2579" max="2579" width="5.85546875" style="65" customWidth="1"/>
    <col min="2580" max="2580" width="6.42578125" style="65" customWidth="1"/>
    <col min="2581" max="2581" width="6.7109375" style="65" customWidth="1"/>
    <col min="2582" max="2582" width="6" style="65" customWidth="1"/>
    <col min="2583" max="2584" width="9.140625" style="65" hidden="1"/>
    <col min="2585" max="2585" width="3.140625" style="65" customWidth="1"/>
    <col min="2586" max="2810" width="9.140625" style="65" hidden="1"/>
    <col min="2811" max="2811" width="12" style="65" customWidth="1"/>
    <col min="2812" max="2812" width="11.42578125" style="65" customWidth="1"/>
    <col min="2813" max="2813" width="22.42578125" style="65" customWidth="1"/>
    <col min="2814" max="2814" width="22.28515625" style="65" customWidth="1"/>
    <col min="2815" max="2815" width="9.42578125" style="65" customWidth="1"/>
    <col min="2816" max="2818" width="9.140625" style="65" hidden="1" customWidth="1"/>
    <col min="2819" max="2819" width="14.140625" style="65" customWidth="1"/>
    <col min="2820" max="2820" width="9.140625" style="65" hidden="1" customWidth="1"/>
    <col min="2821" max="2821" width="12" style="65" customWidth="1"/>
    <col min="2822" max="2822" width="9.140625" style="65" hidden="1" customWidth="1"/>
    <col min="2823" max="2824" width="8.140625" style="65" customWidth="1"/>
    <col min="2825" max="2826" width="8.7109375" style="65" customWidth="1"/>
    <col min="2827" max="2827" width="1.5703125" style="65" customWidth="1"/>
    <col min="2828" max="2828" width="7.5703125" style="65" customWidth="1"/>
    <col min="2829" max="2829" width="5.7109375" style="65" customWidth="1"/>
    <col min="2830" max="2831" width="9.140625" style="65" hidden="1"/>
    <col min="2832" max="2832" width="5.85546875" style="65" customWidth="1"/>
    <col min="2833" max="2833" width="6" style="65" customWidth="1"/>
    <col min="2834" max="2834" width="6.28515625" style="65" customWidth="1"/>
    <col min="2835" max="2835" width="5.85546875" style="65" customWidth="1"/>
    <col min="2836" max="2836" width="6.42578125" style="65" customWidth="1"/>
    <col min="2837" max="2837" width="6.7109375" style="65" customWidth="1"/>
    <col min="2838" max="2838" width="6" style="65" customWidth="1"/>
    <col min="2839" max="2840" width="9.140625" style="65" hidden="1"/>
    <col min="2841" max="2841" width="3.140625" style="65" customWidth="1"/>
    <col min="2842" max="3066" width="9.140625" style="65" hidden="1"/>
    <col min="3067" max="3067" width="12" style="65" customWidth="1"/>
    <col min="3068" max="3068" width="11.42578125" style="65" customWidth="1"/>
    <col min="3069" max="3069" width="22.42578125" style="65" customWidth="1"/>
    <col min="3070" max="3070" width="22.28515625" style="65" customWidth="1"/>
    <col min="3071" max="3071" width="9.42578125" style="65" customWidth="1"/>
    <col min="3072" max="3074" width="9.140625" style="65" hidden="1" customWidth="1"/>
    <col min="3075" max="3075" width="14.140625" style="65" customWidth="1"/>
    <col min="3076" max="3076" width="9.140625" style="65" hidden="1" customWidth="1"/>
    <col min="3077" max="3077" width="12" style="65" customWidth="1"/>
    <col min="3078" max="3078" width="9.140625" style="65" hidden="1" customWidth="1"/>
    <col min="3079" max="3080" width="8.140625" style="65" customWidth="1"/>
    <col min="3081" max="3082" width="8.7109375" style="65" customWidth="1"/>
    <col min="3083" max="3083" width="1.5703125" style="65" customWidth="1"/>
    <col min="3084" max="3084" width="7.5703125" style="65" customWidth="1"/>
    <col min="3085" max="3085" width="5.7109375" style="65" customWidth="1"/>
    <col min="3086" max="3087" width="9.140625" style="65" hidden="1"/>
    <col min="3088" max="3088" width="5.85546875" style="65" customWidth="1"/>
    <col min="3089" max="3089" width="6" style="65" customWidth="1"/>
    <col min="3090" max="3090" width="6.28515625" style="65" customWidth="1"/>
    <col min="3091" max="3091" width="5.85546875" style="65" customWidth="1"/>
    <col min="3092" max="3092" width="6.42578125" style="65" customWidth="1"/>
    <col min="3093" max="3093" width="6.7109375" style="65" customWidth="1"/>
    <col min="3094" max="3094" width="6" style="65" customWidth="1"/>
    <col min="3095" max="3096" width="9.140625" style="65" hidden="1"/>
    <col min="3097" max="3097" width="3.140625" style="65" customWidth="1"/>
    <col min="3098" max="3322" width="9.140625" style="65" hidden="1"/>
    <col min="3323" max="3323" width="12" style="65" customWidth="1"/>
    <col min="3324" max="3324" width="11.42578125" style="65" customWidth="1"/>
    <col min="3325" max="3325" width="22.42578125" style="65" customWidth="1"/>
    <col min="3326" max="3326" width="22.28515625" style="65" customWidth="1"/>
    <col min="3327" max="3327" width="9.42578125" style="65" customWidth="1"/>
    <col min="3328" max="3330" width="9.140625" style="65" hidden="1" customWidth="1"/>
    <col min="3331" max="3331" width="14.140625" style="65" customWidth="1"/>
    <col min="3332" max="3332" width="9.140625" style="65" hidden="1" customWidth="1"/>
    <col min="3333" max="3333" width="12" style="65" customWidth="1"/>
    <col min="3334" max="3334" width="9.140625" style="65" hidden="1" customWidth="1"/>
    <col min="3335" max="3336" width="8.140625" style="65" customWidth="1"/>
    <col min="3337" max="3338" width="8.7109375" style="65" customWidth="1"/>
    <col min="3339" max="3339" width="1.5703125" style="65" customWidth="1"/>
    <col min="3340" max="3340" width="7.5703125" style="65" customWidth="1"/>
    <col min="3341" max="3341" width="5.7109375" style="65" customWidth="1"/>
    <col min="3342" max="3343" width="9.140625" style="65" hidden="1"/>
    <col min="3344" max="3344" width="5.85546875" style="65" customWidth="1"/>
    <col min="3345" max="3345" width="6" style="65" customWidth="1"/>
    <col min="3346" max="3346" width="6.28515625" style="65" customWidth="1"/>
    <col min="3347" max="3347" width="5.85546875" style="65" customWidth="1"/>
    <col min="3348" max="3348" width="6.42578125" style="65" customWidth="1"/>
    <col min="3349" max="3349" width="6.7109375" style="65" customWidth="1"/>
    <col min="3350" max="3350" width="6" style="65" customWidth="1"/>
    <col min="3351" max="3352" width="9.140625" style="65" hidden="1"/>
    <col min="3353" max="3353" width="3.140625" style="65" customWidth="1"/>
    <col min="3354" max="3578" width="9.140625" style="65" hidden="1"/>
    <col min="3579" max="3579" width="12" style="65" customWidth="1"/>
    <col min="3580" max="3580" width="11.42578125" style="65" customWidth="1"/>
    <col min="3581" max="3581" width="22.42578125" style="65" customWidth="1"/>
    <col min="3582" max="3582" width="22.28515625" style="65" customWidth="1"/>
    <col min="3583" max="3583" width="9.42578125" style="65" customWidth="1"/>
    <col min="3584" max="3586" width="9.140625" style="65" hidden="1" customWidth="1"/>
    <col min="3587" max="3587" width="14.140625" style="65" customWidth="1"/>
    <col min="3588" max="3588" width="9.140625" style="65" hidden="1" customWidth="1"/>
    <col min="3589" max="3589" width="12" style="65" customWidth="1"/>
    <col min="3590" max="3590" width="9.140625" style="65" hidden="1" customWidth="1"/>
    <col min="3591" max="3592" width="8.140625" style="65" customWidth="1"/>
    <col min="3593" max="3594" width="8.7109375" style="65" customWidth="1"/>
    <col min="3595" max="3595" width="1.5703125" style="65" customWidth="1"/>
    <col min="3596" max="3596" width="7.5703125" style="65" customWidth="1"/>
    <col min="3597" max="3597" width="5.7109375" style="65" customWidth="1"/>
    <col min="3598" max="3599" width="9.140625" style="65" hidden="1"/>
    <col min="3600" max="3600" width="5.85546875" style="65" customWidth="1"/>
    <col min="3601" max="3601" width="6" style="65" customWidth="1"/>
    <col min="3602" max="3602" width="6.28515625" style="65" customWidth="1"/>
    <col min="3603" max="3603" width="5.85546875" style="65" customWidth="1"/>
    <col min="3604" max="3604" width="6.42578125" style="65" customWidth="1"/>
    <col min="3605" max="3605" width="6.7109375" style="65" customWidth="1"/>
    <col min="3606" max="3606" width="6" style="65" customWidth="1"/>
    <col min="3607" max="3608" width="9.140625" style="65" hidden="1"/>
    <col min="3609" max="3609" width="3.140625" style="65" customWidth="1"/>
    <col min="3610" max="3834" width="9.140625" style="65" hidden="1"/>
    <col min="3835" max="3835" width="12" style="65" customWidth="1"/>
    <col min="3836" max="3836" width="11.42578125" style="65" customWidth="1"/>
    <col min="3837" max="3837" width="22.42578125" style="65" customWidth="1"/>
    <col min="3838" max="3838" width="22.28515625" style="65" customWidth="1"/>
    <col min="3839" max="3839" width="9.42578125" style="65" customWidth="1"/>
    <col min="3840" max="3842" width="9.140625" style="65" hidden="1" customWidth="1"/>
    <col min="3843" max="3843" width="14.140625" style="65" customWidth="1"/>
    <col min="3844" max="3844" width="9.140625" style="65" hidden="1" customWidth="1"/>
    <col min="3845" max="3845" width="12" style="65" customWidth="1"/>
    <col min="3846" max="3846" width="9.140625" style="65" hidden="1" customWidth="1"/>
    <col min="3847" max="3848" width="8.140625" style="65" customWidth="1"/>
    <col min="3849" max="3850" width="8.7109375" style="65" customWidth="1"/>
    <col min="3851" max="3851" width="1.5703125" style="65" customWidth="1"/>
    <col min="3852" max="3852" width="7.5703125" style="65" customWidth="1"/>
    <col min="3853" max="3853" width="5.7109375" style="65" customWidth="1"/>
    <col min="3854" max="3855" width="9.140625" style="65" hidden="1"/>
    <col min="3856" max="3856" width="5.85546875" style="65" customWidth="1"/>
    <col min="3857" max="3857" width="6" style="65" customWidth="1"/>
    <col min="3858" max="3858" width="6.28515625" style="65" customWidth="1"/>
    <col min="3859" max="3859" width="5.85546875" style="65" customWidth="1"/>
    <col min="3860" max="3860" width="6.42578125" style="65" customWidth="1"/>
    <col min="3861" max="3861" width="6.7109375" style="65" customWidth="1"/>
    <col min="3862" max="3862" width="6" style="65" customWidth="1"/>
    <col min="3863" max="3864" width="9.140625" style="65" hidden="1"/>
    <col min="3865" max="3865" width="3.140625" style="65" customWidth="1"/>
    <col min="3866" max="4090" width="9.140625" style="65" hidden="1"/>
    <col min="4091" max="4091" width="12" style="65" customWidth="1"/>
    <col min="4092" max="4092" width="11.42578125" style="65" customWidth="1"/>
    <col min="4093" max="4093" width="22.42578125" style="65" customWidth="1"/>
    <col min="4094" max="4094" width="22.28515625" style="65" customWidth="1"/>
    <col min="4095" max="4095" width="9.42578125" style="65" customWidth="1"/>
    <col min="4096" max="4098" width="9.140625" style="65" hidden="1" customWidth="1"/>
    <col min="4099" max="4099" width="14.140625" style="65" customWidth="1"/>
    <col min="4100" max="4100" width="9.140625" style="65" hidden="1" customWidth="1"/>
    <col min="4101" max="4101" width="12" style="65" customWidth="1"/>
    <col min="4102" max="4102" width="9.140625" style="65" hidden="1" customWidth="1"/>
    <col min="4103" max="4104" width="8.140625" style="65" customWidth="1"/>
    <col min="4105" max="4106" width="8.7109375" style="65" customWidth="1"/>
    <col min="4107" max="4107" width="1.5703125" style="65" customWidth="1"/>
    <col min="4108" max="4108" width="7.5703125" style="65" customWidth="1"/>
    <col min="4109" max="4109" width="5.7109375" style="65" customWidth="1"/>
    <col min="4110" max="4111" width="9.140625" style="65" hidden="1"/>
    <col min="4112" max="4112" width="5.85546875" style="65" customWidth="1"/>
    <col min="4113" max="4113" width="6" style="65" customWidth="1"/>
    <col min="4114" max="4114" width="6.28515625" style="65" customWidth="1"/>
    <col min="4115" max="4115" width="5.85546875" style="65" customWidth="1"/>
    <col min="4116" max="4116" width="6.42578125" style="65" customWidth="1"/>
    <col min="4117" max="4117" width="6.7109375" style="65" customWidth="1"/>
    <col min="4118" max="4118" width="6" style="65" customWidth="1"/>
    <col min="4119" max="4120" width="9.140625" style="65" hidden="1"/>
    <col min="4121" max="4121" width="3.140625" style="65" customWidth="1"/>
    <col min="4122" max="4346" width="9.140625" style="65" hidden="1"/>
    <col min="4347" max="4347" width="12" style="65" customWidth="1"/>
    <col min="4348" max="4348" width="11.42578125" style="65" customWidth="1"/>
    <col min="4349" max="4349" width="22.42578125" style="65" customWidth="1"/>
    <col min="4350" max="4350" width="22.28515625" style="65" customWidth="1"/>
    <col min="4351" max="4351" width="9.42578125" style="65" customWidth="1"/>
    <col min="4352" max="4354" width="9.140625" style="65" hidden="1" customWidth="1"/>
    <col min="4355" max="4355" width="14.140625" style="65" customWidth="1"/>
    <col min="4356" max="4356" width="9.140625" style="65" hidden="1" customWidth="1"/>
    <col min="4357" max="4357" width="12" style="65" customWidth="1"/>
    <col min="4358" max="4358" width="9.140625" style="65" hidden="1" customWidth="1"/>
    <col min="4359" max="4360" width="8.140625" style="65" customWidth="1"/>
    <col min="4361" max="4362" width="8.7109375" style="65" customWidth="1"/>
    <col min="4363" max="4363" width="1.5703125" style="65" customWidth="1"/>
    <col min="4364" max="4364" width="7.5703125" style="65" customWidth="1"/>
    <col min="4365" max="4365" width="5.7109375" style="65" customWidth="1"/>
    <col min="4366" max="4367" width="9.140625" style="65" hidden="1"/>
    <col min="4368" max="4368" width="5.85546875" style="65" customWidth="1"/>
    <col min="4369" max="4369" width="6" style="65" customWidth="1"/>
    <col min="4370" max="4370" width="6.28515625" style="65" customWidth="1"/>
    <col min="4371" max="4371" width="5.85546875" style="65" customWidth="1"/>
    <col min="4372" max="4372" width="6.42578125" style="65" customWidth="1"/>
    <col min="4373" max="4373" width="6.7109375" style="65" customWidth="1"/>
    <col min="4374" max="4374" width="6" style="65" customWidth="1"/>
    <col min="4375" max="4376" width="9.140625" style="65" hidden="1"/>
    <col min="4377" max="4377" width="3.140625" style="65" customWidth="1"/>
    <col min="4378" max="4602" width="9.140625" style="65" hidden="1"/>
    <col min="4603" max="4603" width="12" style="65" customWidth="1"/>
    <col min="4604" max="4604" width="11.42578125" style="65" customWidth="1"/>
    <col min="4605" max="4605" width="22.42578125" style="65" customWidth="1"/>
    <col min="4606" max="4606" width="22.28515625" style="65" customWidth="1"/>
    <col min="4607" max="4607" width="9.42578125" style="65" customWidth="1"/>
    <col min="4608" max="4610" width="9.140625" style="65" hidden="1" customWidth="1"/>
    <col min="4611" max="4611" width="14.140625" style="65" customWidth="1"/>
    <col min="4612" max="4612" width="9.140625" style="65" hidden="1" customWidth="1"/>
    <col min="4613" max="4613" width="12" style="65" customWidth="1"/>
    <col min="4614" max="4614" width="9.140625" style="65" hidden="1" customWidth="1"/>
    <col min="4615" max="4616" width="8.140625" style="65" customWidth="1"/>
    <col min="4617" max="4618" width="8.7109375" style="65" customWidth="1"/>
    <col min="4619" max="4619" width="1.5703125" style="65" customWidth="1"/>
    <col min="4620" max="4620" width="7.5703125" style="65" customWidth="1"/>
    <col min="4621" max="4621" width="5.7109375" style="65" customWidth="1"/>
    <col min="4622" max="4623" width="9.140625" style="65" hidden="1"/>
    <col min="4624" max="4624" width="5.85546875" style="65" customWidth="1"/>
    <col min="4625" max="4625" width="6" style="65" customWidth="1"/>
    <col min="4626" max="4626" width="6.28515625" style="65" customWidth="1"/>
    <col min="4627" max="4627" width="5.85546875" style="65" customWidth="1"/>
    <col min="4628" max="4628" width="6.42578125" style="65" customWidth="1"/>
    <col min="4629" max="4629" width="6.7109375" style="65" customWidth="1"/>
    <col min="4630" max="4630" width="6" style="65" customWidth="1"/>
    <col min="4631" max="4632" width="9.140625" style="65" hidden="1"/>
    <col min="4633" max="4633" width="3.140625" style="65" customWidth="1"/>
    <col min="4634" max="4858" width="9.140625" style="65" hidden="1"/>
    <col min="4859" max="4859" width="12" style="65" customWidth="1"/>
    <col min="4860" max="4860" width="11.42578125" style="65" customWidth="1"/>
    <col min="4861" max="4861" width="22.42578125" style="65" customWidth="1"/>
    <col min="4862" max="4862" width="22.28515625" style="65" customWidth="1"/>
    <col min="4863" max="4863" width="9.42578125" style="65" customWidth="1"/>
    <col min="4864" max="4866" width="9.140625" style="65" hidden="1" customWidth="1"/>
    <col min="4867" max="4867" width="14.140625" style="65" customWidth="1"/>
    <col min="4868" max="4868" width="9.140625" style="65" hidden="1" customWidth="1"/>
    <col min="4869" max="4869" width="12" style="65" customWidth="1"/>
    <col min="4870" max="4870" width="9.140625" style="65" hidden="1" customWidth="1"/>
    <col min="4871" max="4872" width="8.140625" style="65" customWidth="1"/>
    <col min="4873" max="4874" width="8.7109375" style="65" customWidth="1"/>
    <col min="4875" max="4875" width="1.5703125" style="65" customWidth="1"/>
    <col min="4876" max="4876" width="7.5703125" style="65" customWidth="1"/>
    <col min="4877" max="4877" width="5.7109375" style="65" customWidth="1"/>
    <col min="4878" max="4879" width="9.140625" style="65" hidden="1"/>
    <col min="4880" max="4880" width="5.85546875" style="65" customWidth="1"/>
    <col min="4881" max="4881" width="6" style="65" customWidth="1"/>
    <col min="4882" max="4882" width="6.28515625" style="65" customWidth="1"/>
    <col min="4883" max="4883" width="5.85546875" style="65" customWidth="1"/>
    <col min="4884" max="4884" width="6.42578125" style="65" customWidth="1"/>
    <col min="4885" max="4885" width="6.7109375" style="65" customWidth="1"/>
    <col min="4886" max="4886" width="6" style="65" customWidth="1"/>
    <col min="4887" max="4888" width="9.140625" style="65" hidden="1"/>
    <col min="4889" max="4889" width="3.140625" style="65" customWidth="1"/>
    <col min="4890" max="5114" width="9.140625" style="65" hidden="1"/>
    <col min="5115" max="5115" width="12" style="65" customWidth="1"/>
    <col min="5116" max="5116" width="11.42578125" style="65" customWidth="1"/>
    <col min="5117" max="5117" width="22.42578125" style="65" customWidth="1"/>
    <col min="5118" max="5118" width="22.28515625" style="65" customWidth="1"/>
    <col min="5119" max="5119" width="9.42578125" style="65" customWidth="1"/>
    <col min="5120" max="5122" width="9.140625" style="65" hidden="1" customWidth="1"/>
    <col min="5123" max="5123" width="14.140625" style="65" customWidth="1"/>
    <col min="5124" max="5124" width="9.140625" style="65" hidden="1" customWidth="1"/>
    <col min="5125" max="5125" width="12" style="65" customWidth="1"/>
    <col min="5126" max="5126" width="9.140625" style="65" hidden="1" customWidth="1"/>
    <col min="5127" max="5128" width="8.140625" style="65" customWidth="1"/>
    <col min="5129" max="5130" width="8.7109375" style="65" customWidth="1"/>
    <col min="5131" max="5131" width="1.5703125" style="65" customWidth="1"/>
    <col min="5132" max="5132" width="7.5703125" style="65" customWidth="1"/>
    <col min="5133" max="5133" width="5.7109375" style="65" customWidth="1"/>
    <col min="5134" max="5135" width="9.140625" style="65" hidden="1"/>
    <col min="5136" max="5136" width="5.85546875" style="65" customWidth="1"/>
    <col min="5137" max="5137" width="6" style="65" customWidth="1"/>
    <col min="5138" max="5138" width="6.28515625" style="65" customWidth="1"/>
    <col min="5139" max="5139" width="5.85546875" style="65" customWidth="1"/>
    <col min="5140" max="5140" width="6.42578125" style="65" customWidth="1"/>
    <col min="5141" max="5141" width="6.7109375" style="65" customWidth="1"/>
    <col min="5142" max="5142" width="6" style="65" customWidth="1"/>
    <col min="5143" max="5144" width="9.140625" style="65" hidden="1"/>
    <col min="5145" max="5145" width="3.140625" style="65" customWidth="1"/>
    <col min="5146" max="5370" width="9.140625" style="65" hidden="1"/>
    <col min="5371" max="5371" width="12" style="65" customWidth="1"/>
    <col min="5372" max="5372" width="11.42578125" style="65" customWidth="1"/>
    <col min="5373" max="5373" width="22.42578125" style="65" customWidth="1"/>
    <col min="5374" max="5374" width="22.28515625" style="65" customWidth="1"/>
    <col min="5375" max="5375" width="9.42578125" style="65" customWidth="1"/>
    <col min="5376" max="5378" width="9.140625" style="65" hidden="1" customWidth="1"/>
    <col min="5379" max="5379" width="14.140625" style="65" customWidth="1"/>
    <col min="5380" max="5380" width="9.140625" style="65" hidden="1" customWidth="1"/>
    <col min="5381" max="5381" width="12" style="65" customWidth="1"/>
    <col min="5382" max="5382" width="9.140625" style="65" hidden="1" customWidth="1"/>
    <col min="5383" max="5384" width="8.140625" style="65" customWidth="1"/>
    <col min="5385" max="5386" width="8.7109375" style="65" customWidth="1"/>
    <col min="5387" max="5387" width="1.5703125" style="65" customWidth="1"/>
    <col min="5388" max="5388" width="7.5703125" style="65" customWidth="1"/>
    <col min="5389" max="5389" width="5.7109375" style="65" customWidth="1"/>
    <col min="5390" max="5391" width="9.140625" style="65" hidden="1"/>
    <col min="5392" max="5392" width="5.85546875" style="65" customWidth="1"/>
    <col min="5393" max="5393" width="6" style="65" customWidth="1"/>
    <col min="5394" max="5394" width="6.28515625" style="65" customWidth="1"/>
    <col min="5395" max="5395" width="5.85546875" style="65" customWidth="1"/>
    <col min="5396" max="5396" width="6.42578125" style="65" customWidth="1"/>
    <col min="5397" max="5397" width="6.7109375" style="65" customWidth="1"/>
    <col min="5398" max="5398" width="6" style="65" customWidth="1"/>
    <col min="5399" max="5400" width="9.140625" style="65" hidden="1"/>
    <col min="5401" max="5401" width="3.140625" style="65" customWidth="1"/>
    <col min="5402" max="5626" width="9.140625" style="65" hidden="1"/>
    <col min="5627" max="5627" width="12" style="65" customWidth="1"/>
    <col min="5628" max="5628" width="11.42578125" style="65" customWidth="1"/>
    <col min="5629" max="5629" width="22.42578125" style="65" customWidth="1"/>
    <col min="5630" max="5630" width="22.28515625" style="65" customWidth="1"/>
    <col min="5631" max="5631" width="9.42578125" style="65" customWidth="1"/>
    <col min="5632" max="5634" width="9.140625" style="65" hidden="1" customWidth="1"/>
    <col min="5635" max="5635" width="14.140625" style="65" customWidth="1"/>
    <col min="5636" max="5636" width="9.140625" style="65" hidden="1" customWidth="1"/>
    <col min="5637" max="5637" width="12" style="65" customWidth="1"/>
    <col min="5638" max="5638" width="9.140625" style="65" hidden="1" customWidth="1"/>
    <col min="5639" max="5640" width="8.140625" style="65" customWidth="1"/>
    <col min="5641" max="5642" width="8.7109375" style="65" customWidth="1"/>
    <col min="5643" max="5643" width="1.5703125" style="65" customWidth="1"/>
    <col min="5644" max="5644" width="7.5703125" style="65" customWidth="1"/>
    <col min="5645" max="5645" width="5.7109375" style="65" customWidth="1"/>
    <col min="5646" max="5647" width="9.140625" style="65" hidden="1"/>
    <col min="5648" max="5648" width="5.85546875" style="65" customWidth="1"/>
    <col min="5649" max="5649" width="6" style="65" customWidth="1"/>
    <col min="5650" max="5650" width="6.28515625" style="65" customWidth="1"/>
    <col min="5651" max="5651" width="5.85546875" style="65" customWidth="1"/>
    <col min="5652" max="5652" width="6.42578125" style="65" customWidth="1"/>
    <col min="5653" max="5653" width="6.7109375" style="65" customWidth="1"/>
    <col min="5654" max="5654" width="6" style="65" customWidth="1"/>
    <col min="5655" max="5656" width="9.140625" style="65" hidden="1"/>
    <col min="5657" max="5657" width="3.140625" style="65" customWidth="1"/>
    <col min="5658" max="5882" width="9.140625" style="65" hidden="1"/>
    <col min="5883" max="5883" width="12" style="65" customWidth="1"/>
    <col min="5884" max="5884" width="11.42578125" style="65" customWidth="1"/>
    <col min="5885" max="5885" width="22.42578125" style="65" customWidth="1"/>
    <col min="5886" max="5886" width="22.28515625" style="65" customWidth="1"/>
    <col min="5887" max="5887" width="9.42578125" style="65" customWidth="1"/>
    <col min="5888" max="5890" width="9.140625" style="65" hidden="1" customWidth="1"/>
    <col min="5891" max="5891" width="14.140625" style="65" customWidth="1"/>
    <col min="5892" max="5892" width="9.140625" style="65" hidden="1" customWidth="1"/>
    <col min="5893" max="5893" width="12" style="65" customWidth="1"/>
    <col min="5894" max="5894" width="9.140625" style="65" hidden="1" customWidth="1"/>
    <col min="5895" max="5896" width="8.140625" style="65" customWidth="1"/>
    <col min="5897" max="5898" width="8.7109375" style="65" customWidth="1"/>
    <col min="5899" max="5899" width="1.5703125" style="65" customWidth="1"/>
    <col min="5900" max="5900" width="7.5703125" style="65" customWidth="1"/>
    <col min="5901" max="5901" width="5.7109375" style="65" customWidth="1"/>
    <col min="5902" max="5903" width="9.140625" style="65" hidden="1"/>
    <col min="5904" max="5904" width="5.85546875" style="65" customWidth="1"/>
    <col min="5905" max="5905" width="6" style="65" customWidth="1"/>
    <col min="5906" max="5906" width="6.28515625" style="65" customWidth="1"/>
    <col min="5907" max="5907" width="5.85546875" style="65" customWidth="1"/>
    <col min="5908" max="5908" width="6.42578125" style="65" customWidth="1"/>
    <col min="5909" max="5909" width="6.7109375" style="65" customWidth="1"/>
    <col min="5910" max="5910" width="6" style="65" customWidth="1"/>
    <col min="5911" max="5912" width="9.140625" style="65" hidden="1"/>
    <col min="5913" max="5913" width="3.140625" style="65" customWidth="1"/>
    <col min="5914" max="6138" width="9.140625" style="65" hidden="1"/>
    <col min="6139" max="6139" width="12" style="65" customWidth="1"/>
    <col min="6140" max="6140" width="11.42578125" style="65" customWidth="1"/>
    <col min="6141" max="6141" width="22.42578125" style="65" customWidth="1"/>
    <col min="6142" max="6142" width="22.28515625" style="65" customWidth="1"/>
    <col min="6143" max="6143" width="9.42578125" style="65" customWidth="1"/>
    <col min="6144" max="6146" width="9.140625" style="65" hidden="1" customWidth="1"/>
    <col min="6147" max="6147" width="14.140625" style="65" customWidth="1"/>
    <col min="6148" max="6148" width="9.140625" style="65" hidden="1" customWidth="1"/>
    <col min="6149" max="6149" width="12" style="65" customWidth="1"/>
    <col min="6150" max="6150" width="9.140625" style="65" hidden="1" customWidth="1"/>
    <col min="6151" max="6152" width="8.140625" style="65" customWidth="1"/>
    <col min="6153" max="6154" width="8.7109375" style="65" customWidth="1"/>
    <col min="6155" max="6155" width="1.5703125" style="65" customWidth="1"/>
    <col min="6156" max="6156" width="7.5703125" style="65" customWidth="1"/>
    <col min="6157" max="6157" width="5.7109375" style="65" customWidth="1"/>
    <col min="6158" max="6159" width="9.140625" style="65" hidden="1"/>
    <col min="6160" max="6160" width="5.85546875" style="65" customWidth="1"/>
    <col min="6161" max="6161" width="6" style="65" customWidth="1"/>
    <col min="6162" max="6162" width="6.28515625" style="65" customWidth="1"/>
    <col min="6163" max="6163" width="5.85546875" style="65" customWidth="1"/>
    <col min="6164" max="6164" width="6.42578125" style="65" customWidth="1"/>
    <col min="6165" max="6165" width="6.7109375" style="65" customWidth="1"/>
    <col min="6166" max="6166" width="6" style="65" customWidth="1"/>
    <col min="6167" max="6168" width="9.140625" style="65" hidden="1"/>
    <col min="6169" max="6169" width="3.140625" style="65" customWidth="1"/>
    <col min="6170" max="6394" width="9.140625" style="65" hidden="1"/>
    <col min="6395" max="6395" width="12" style="65" customWidth="1"/>
    <col min="6396" max="6396" width="11.42578125" style="65" customWidth="1"/>
    <col min="6397" max="6397" width="22.42578125" style="65" customWidth="1"/>
    <col min="6398" max="6398" width="22.28515625" style="65" customWidth="1"/>
    <col min="6399" max="6399" width="9.42578125" style="65" customWidth="1"/>
    <col min="6400" max="6402" width="9.140625" style="65" hidden="1" customWidth="1"/>
    <col min="6403" max="6403" width="14.140625" style="65" customWidth="1"/>
    <col min="6404" max="6404" width="9.140625" style="65" hidden="1" customWidth="1"/>
    <col min="6405" max="6405" width="12" style="65" customWidth="1"/>
    <col min="6406" max="6406" width="9.140625" style="65" hidden="1" customWidth="1"/>
    <col min="6407" max="6408" width="8.140625" style="65" customWidth="1"/>
    <col min="6409" max="6410" width="8.7109375" style="65" customWidth="1"/>
    <col min="6411" max="6411" width="1.5703125" style="65" customWidth="1"/>
    <col min="6412" max="6412" width="7.5703125" style="65" customWidth="1"/>
    <col min="6413" max="6413" width="5.7109375" style="65" customWidth="1"/>
    <col min="6414" max="6415" width="9.140625" style="65" hidden="1"/>
    <col min="6416" max="6416" width="5.85546875" style="65" customWidth="1"/>
    <col min="6417" max="6417" width="6" style="65" customWidth="1"/>
    <col min="6418" max="6418" width="6.28515625" style="65" customWidth="1"/>
    <col min="6419" max="6419" width="5.85546875" style="65" customWidth="1"/>
    <col min="6420" max="6420" width="6.42578125" style="65" customWidth="1"/>
    <col min="6421" max="6421" width="6.7109375" style="65" customWidth="1"/>
    <col min="6422" max="6422" width="6" style="65" customWidth="1"/>
    <col min="6423" max="6424" width="9.140625" style="65" hidden="1"/>
    <col min="6425" max="6425" width="3.140625" style="65" customWidth="1"/>
    <col min="6426" max="6650" width="9.140625" style="65" hidden="1"/>
    <col min="6651" max="6651" width="12" style="65" customWidth="1"/>
    <col min="6652" max="6652" width="11.42578125" style="65" customWidth="1"/>
    <col min="6653" max="6653" width="22.42578125" style="65" customWidth="1"/>
    <col min="6654" max="6654" width="22.28515625" style="65" customWidth="1"/>
    <col min="6655" max="6655" width="9.42578125" style="65" customWidth="1"/>
    <col min="6656" max="6658" width="9.140625" style="65" hidden="1" customWidth="1"/>
    <col min="6659" max="6659" width="14.140625" style="65" customWidth="1"/>
    <col min="6660" max="6660" width="9.140625" style="65" hidden="1" customWidth="1"/>
    <col min="6661" max="6661" width="12" style="65" customWidth="1"/>
    <col min="6662" max="6662" width="9.140625" style="65" hidden="1" customWidth="1"/>
    <col min="6663" max="6664" width="8.140625" style="65" customWidth="1"/>
    <col min="6665" max="6666" width="8.7109375" style="65" customWidth="1"/>
    <col min="6667" max="6667" width="1.5703125" style="65" customWidth="1"/>
    <col min="6668" max="6668" width="7.5703125" style="65" customWidth="1"/>
    <col min="6669" max="6669" width="5.7109375" style="65" customWidth="1"/>
    <col min="6670" max="6671" width="9.140625" style="65" hidden="1"/>
    <col min="6672" max="6672" width="5.85546875" style="65" customWidth="1"/>
    <col min="6673" max="6673" width="6" style="65" customWidth="1"/>
    <col min="6674" max="6674" width="6.28515625" style="65" customWidth="1"/>
    <col min="6675" max="6675" width="5.85546875" style="65" customWidth="1"/>
    <col min="6676" max="6676" width="6.42578125" style="65" customWidth="1"/>
    <col min="6677" max="6677" width="6.7109375" style="65" customWidth="1"/>
    <col min="6678" max="6678" width="6" style="65" customWidth="1"/>
    <col min="6679" max="6680" width="9.140625" style="65" hidden="1"/>
    <col min="6681" max="6681" width="3.140625" style="65" customWidth="1"/>
    <col min="6682" max="6906" width="9.140625" style="65" hidden="1"/>
    <col min="6907" max="6907" width="12" style="65" customWidth="1"/>
    <col min="6908" max="6908" width="11.42578125" style="65" customWidth="1"/>
    <col min="6909" max="6909" width="22.42578125" style="65" customWidth="1"/>
    <col min="6910" max="6910" width="22.28515625" style="65" customWidth="1"/>
    <col min="6911" max="6911" width="9.42578125" style="65" customWidth="1"/>
    <col min="6912" max="6914" width="9.140625" style="65" hidden="1" customWidth="1"/>
    <col min="6915" max="6915" width="14.140625" style="65" customWidth="1"/>
    <col min="6916" max="6916" width="9.140625" style="65" hidden="1" customWidth="1"/>
    <col min="6917" max="6917" width="12" style="65" customWidth="1"/>
    <col min="6918" max="6918" width="9.140625" style="65" hidden="1" customWidth="1"/>
    <col min="6919" max="6920" width="8.140625" style="65" customWidth="1"/>
    <col min="6921" max="6922" width="8.7109375" style="65" customWidth="1"/>
    <col min="6923" max="6923" width="1.5703125" style="65" customWidth="1"/>
    <col min="6924" max="6924" width="7.5703125" style="65" customWidth="1"/>
    <col min="6925" max="6925" width="5.7109375" style="65" customWidth="1"/>
    <col min="6926" max="6927" width="9.140625" style="65" hidden="1"/>
    <col min="6928" max="6928" width="5.85546875" style="65" customWidth="1"/>
    <col min="6929" max="6929" width="6" style="65" customWidth="1"/>
    <col min="6930" max="6930" width="6.28515625" style="65" customWidth="1"/>
    <col min="6931" max="6931" width="5.85546875" style="65" customWidth="1"/>
    <col min="6932" max="6932" width="6.42578125" style="65" customWidth="1"/>
    <col min="6933" max="6933" width="6.7109375" style="65" customWidth="1"/>
    <col min="6934" max="6934" width="6" style="65" customWidth="1"/>
    <col min="6935" max="6936" width="9.140625" style="65" hidden="1"/>
    <col min="6937" max="6937" width="3.140625" style="65" customWidth="1"/>
    <col min="6938" max="7162" width="9.140625" style="65" hidden="1"/>
    <col min="7163" max="7163" width="12" style="65" customWidth="1"/>
    <col min="7164" max="7164" width="11.42578125" style="65" customWidth="1"/>
    <col min="7165" max="7165" width="22.42578125" style="65" customWidth="1"/>
    <col min="7166" max="7166" width="22.28515625" style="65" customWidth="1"/>
    <col min="7167" max="7167" width="9.42578125" style="65" customWidth="1"/>
    <col min="7168" max="7170" width="9.140625" style="65" hidden="1" customWidth="1"/>
    <col min="7171" max="7171" width="14.140625" style="65" customWidth="1"/>
    <col min="7172" max="7172" width="9.140625" style="65" hidden="1" customWidth="1"/>
    <col min="7173" max="7173" width="12" style="65" customWidth="1"/>
    <col min="7174" max="7174" width="9.140625" style="65" hidden="1" customWidth="1"/>
    <col min="7175" max="7176" width="8.140625" style="65" customWidth="1"/>
    <col min="7177" max="7178" width="8.7109375" style="65" customWidth="1"/>
    <col min="7179" max="7179" width="1.5703125" style="65" customWidth="1"/>
    <col min="7180" max="7180" width="7.5703125" style="65" customWidth="1"/>
    <col min="7181" max="7181" width="5.7109375" style="65" customWidth="1"/>
    <col min="7182" max="7183" width="9.140625" style="65" hidden="1"/>
    <col min="7184" max="7184" width="5.85546875" style="65" customWidth="1"/>
    <col min="7185" max="7185" width="6" style="65" customWidth="1"/>
    <col min="7186" max="7186" width="6.28515625" style="65" customWidth="1"/>
    <col min="7187" max="7187" width="5.85546875" style="65" customWidth="1"/>
    <col min="7188" max="7188" width="6.42578125" style="65" customWidth="1"/>
    <col min="7189" max="7189" width="6.7109375" style="65" customWidth="1"/>
    <col min="7190" max="7190" width="6" style="65" customWidth="1"/>
    <col min="7191" max="7192" width="9.140625" style="65" hidden="1"/>
    <col min="7193" max="7193" width="3.140625" style="65" customWidth="1"/>
    <col min="7194" max="7418" width="9.140625" style="65" hidden="1"/>
    <col min="7419" max="7419" width="12" style="65" customWidth="1"/>
    <col min="7420" max="7420" width="11.42578125" style="65" customWidth="1"/>
    <col min="7421" max="7421" width="22.42578125" style="65" customWidth="1"/>
    <col min="7422" max="7422" width="22.28515625" style="65" customWidth="1"/>
    <col min="7423" max="7423" width="9.42578125" style="65" customWidth="1"/>
    <col min="7424" max="7426" width="9.140625" style="65" hidden="1" customWidth="1"/>
    <col min="7427" max="7427" width="14.140625" style="65" customWidth="1"/>
    <col min="7428" max="7428" width="9.140625" style="65" hidden="1" customWidth="1"/>
    <col min="7429" max="7429" width="12" style="65" customWidth="1"/>
    <col min="7430" max="7430" width="9.140625" style="65" hidden="1" customWidth="1"/>
    <col min="7431" max="7432" width="8.140625" style="65" customWidth="1"/>
    <col min="7433" max="7434" width="8.7109375" style="65" customWidth="1"/>
    <col min="7435" max="7435" width="1.5703125" style="65" customWidth="1"/>
    <col min="7436" max="7436" width="7.5703125" style="65" customWidth="1"/>
    <col min="7437" max="7437" width="5.7109375" style="65" customWidth="1"/>
    <col min="7438" max="7439" width="9.140625" style="65" hidden="1"/>
    <col min="7440" max="7440" width="5.85546875" style="65" customWidth="1"/>
    <col min="7441" max="7441" width="6" style="65" customWidth="1"/>
    <col min="7442" max="7442" width="6.28515625" style="65" customWidth="1"/>
    <col min="7443" max="7443" width="5.85546875" style="65" customWidth="1"/>
    <col min="7444" max="7444" width="6.42578125" style="65" customWidth="1"/>
    <col min="7445" max="7445" width="6.7109375" style="65" customWidth="1"/>
    <col min="7446" max="7446" width="6" style="65" customWidth="1"/>
    <col min="7447" max="7448" width="9.140625" style="65" hidden="1"/>
    <col min="7449" max="7449" width="3.140625" style="65" customWidth="1"/>
    <col min="7450" max="7674" width="9.140625" style="65" hidden="1"/>
    <col min="7675" max="7675" width="12" style="65" customWidth="1"/>
    <col min="7676" max="7676" width="11.42578125" style="65" customWidth="1"/>
    <col min="7677" max="7677" width="22.42578125" style="65" customWidth="1"/>
    <col min="7678" max="7678" width="22.28515625" style="65" customWidth="1"/>
    <col min="7679" max="7679" width="9.42578125" style="65" customWidth="1"/>
    <col min="7680" max="7682" width="9.140625" style="65" hidden="1" customWidth="1"/>
    <col min="7683" max="7683" width="14.140625" style="65" customWidth="1"/>
    <col min="7684" max="7684" width="9.140625" style="65" hidden="1" customWidth="1"/>
    <col min="7685" max="7685" width="12" style="65" customWidth="1"/>
    <col min="7686" max="7686" width="9.140625" style="65" hidden="1" customWidth="1"/>
    <col min="7687" max="7688" width="8.140625" style="65" customWidth="1"/>
    <col min="7689" max="7690" width="8.7109375" style="65" customWidth="1"/>
    <col min="7691" max="7691" width="1.5703125" style="65" customWidth="1"/>
    <col min="7692" max="7692" width="7.5703125" style="65" customWidth="1"/>
    <col min="7693" max="7693" width="5.7109375" style="65" customWidth="1"/>
    <col min="7694" max="7695" width="9.140625" style="65" hidden="1"/>
    <col min="7696" max="7696" width="5.85546875" style="65" customWidth="1"/>
    <col min="7697" max="7697" width="6" style="65" customWidth="1"/>
    <col min="7698" max="7698" width="6.28515625" style="65" customWidth="1"/>
    <col min="7699" max="7699" width="5.85546875" style="65" customWidth="1"/>
    <col min="7700" max="7700" width="6.42578125" style="65" customWidth="1"/>
    <col min="7701" max="7701" width="6.7109375" style="65" customWidth="1"/>
    <col min="7702" max="7702" width="6" style="65" customWidth="1"/>
    <col min="7703" max="7704" width="9.140625" style="65" hidden="1"/>
    <col min="7705" max="7705" width="3.140625" style="65" customWidth="1"/>
    <col min="7706" max="7930" width="9.140625" style="65" hidden="1"/>
    <col min="7931" max="7931" width="12" style="65" customWidth="1"/>
    <col min="7932" max="7932" width="11.42578125" style="65" customWidth="1"/>
    <col min="7933" max="7933" width="22.42578125" style="65" customWidth="1"/>
    <col min="7934" max="7934" width="22.28515625" style="65" customWidth="1"/>
    <col min="7935" max="7935" width="9.42578125" style="65" customWidth="1"/>
    <col min="7936" max="7938" width="9.140625" style="65" hidden="1" customWidth="1"/>
    <col min="7939" max="7939" width="14.140625" style="65" customWidth="1"/>
    <col min="7940" max="7940" width="9.140625" style="65" hidden="1" customWidth="1"/>
    <col min="7941" max="7941" width="12" style="65" customWidth="1"/>
    <col min="7942" max="7942" width="9.140625" style="65" hidden="1" customWidth="1"/>
    <col min="7943" max="7944" width="8.140625" style="65" customWidth="1"/>
    <col min="7945" max="7946" width="8.7109375" style="65" customWidth="1"/>
    <col min="7947" max="7947" width="1.5703125" style="65" customWidth="1"/>
    <col min="7948" max="7948" width="7.5703125" style="65" customWidth="1"/>
    <col min="7949" max="7949" width="5.7109375" style="65" customWidth="1"/>
    <col min="7950" max="7951" width="9.140625" style="65" hidden="1"/>
    <col min="7952" max="7952" width="5.85546875" style="65" customWidth="1"/>
    <col min="7953" max="7953" width="6" style="65" customWidth="1"/>
    <col min="7954" max="7954" width="6.28515625" style="65" customWidth="1"/>
    <col min="7955" max="7955" width="5.85546875" style="65" customWidth="1"/>
    <col min="7956" max="7956" width="6.42578125" style="65" customWidth="1"/>
    <col min="7957" max="7957" width="6.7109375" style="65" customWidth="1"/>
    <col min="7958" max="7958" width="6" style="65" customWidth="1"/>
    <col min="7959" max="7960" width="9.140625" style="65" hidden="1"/>
    <col min="7961" max="7961" width="3.140625" style="65" customWidth="1"/>
    <col min="7962" max="8186" width="9.140625" style="65" hidden="1"/>
    <col min="8187" max="8187" width="12" style="65" customWidth="1"/>
    <col min="8188" max="8188" width="11.42578125" style="65" customWidth="1"/>
    <col min="8189" max="8189" width="22.42578125" style="65" customWidth="1"/>
    <col min="8190" max="8190" width="22.28515625" style="65" customWidth="1"/>
    <col min="8191" max="8191" width="9.42578125" style="65" customWidth="1"/>
    <col min="8192" max="8194" width="9.140625" style="65" hidden="1" customWidth="1"/>
    <col min="8195" max="8195" width="14.140625" style="65" customWidth="1"/>
    <col min="8196" max="8196" width="9.140625" style="65" hidden="1" customWidth="1"/>
    <col min="8197" max="8197" width="12" style="65" customWidth="1"/>
    <col min="8198" max="8198" width="9.140625" style="65" hidden="1" customWidth="1"/>
    <col min="8199" max="8200" width="8.140625" style="65" customWidth="1"/>
    <col min="8201" max="8202" width="8.7109375" style="65" customWidth="1"/>
    <col min="8203" max="8203" width="1.5703125" style="65" customWidth="1"/>
    <col min="8204" max="8204" width="7.5703125" style="65" customWidth="1"/>
    <col min="8205" max="8205" width="5.7109375" style="65" customWidth="1"/>
    <col min="8206" max="8207" width="9.140625" style="65" hidden="1"/>
    <col min="8208" max="8208" width="5.85546875" style="65" customWidth="1"/>
    <col min="8209" max="8209" width="6" style="65" customWidth="1"/>
    <col min="8210" max="8210" width="6.28515625" style="65" customWidth="1"/>
    <col min="8211" max="8211" width="5.85546875" style="65" customWidth="1"/>
    <col min="8212" max="8212" width="6.42578125" style="65" customWidth="1"/>
    <col min="8213" max="8213" width="6.7109375" style="65" customWidth="1"/>
    <col min="8214" max="8214" width="6" style="65" customWidth="1"/>
    <col min="8215" max="8216" width="9.140625" style="65" hidden="1"/>
    <col min="8217" max="8217" width="3.140625" style="65" customWidth="1"/>
    <col min="8218" max="8442" width="9.140625" style="65" hidden="1"/>
    <col min="8443" max="8443" width="12" style="65" customWidth="1"/>
    <col min="8444" max="8444" width="11.42578125" style="65" customWidth="1"/>
    <col min="8445" max="8445" width="22.42578125" style="65" customWidth="1"/>
    <col min="8446" max="8446" width="22.28515625" style="65" customWidth="1"/>
    <col min="8447" max="8447" width="9.42578125" style="65" customWidth="1"/>
    <col min="8448" max="8450" width="9.140625" style="65" hidden="1" customWidth="1"/>
    <col min="8451" max="8451" width="14.140625" style="65" customWidth="1"/>
    <col min="8452" max="8452" width="9.140625" style="65" hidden="1" customWidth="1"/>
    <col min="8453" max="8453" width="12" style="65" customWidth="1"/>
    <col min="8454" max="8454" width="9.140625" style="65" hidden="1" customWidth="1"/>
    <col min="8455" max="8456" width="8.140625" style="65" customWidth="1"/>
    <col min="8457" max="8458" width="8.7109375" style="65" customWidth="1"/>
    <col min="8459" max="8459" width="1.5703125" style="65" customWidth="1"/>
    <col min="8460" max="8460" width="7.5703125" style="65" customWidth="1"/>
    <col min="8461" max="8461" width="5.7109375" style="65" customWidth="1"/>
    <col min="8462" max="8463" width="9.140625" style="65" hidden="1"/>
    <col min="8464" max="8464" width="5.85546875" style="65" customWidth="1"/>
    <col min="8465" max="8465" width="6" style="65" customWidth="1"/>
    <col min="8466" max="8466" width="6.28515625" style="65" customWidth="1"/>
    <col min="8467" max="8467" width="5.85546875" style="65" customWidth="1"/>
    <col min="8468" max="8468" width="6.42578125" style="65" customWidth="1"/>
    <col min="8469" max="8469" width="6.7109375" style="65" customWidth="1"/>
    <col min="8470" max="8470" width="6" style="65" customWidth="1"/>
    <col min="8471" max="8472" width="9.140625" style="65" hidden="1"/>
    <col min="8473" max="8473" width="3.140625" style="65" customWidth="1"/>
    <col min="8474" max="8698" width="9.140625" style="65" hidden="1"/>
    <col min="8699" max="8699" width="12" style="65" customWidth="1"/>
    <col min="8700" max="8700" width="11.42578125" style="65" customWidth="1"/>
    <col min="8701" max="8701" width="22.42578125" style="65" customWidth="1"/>
    <col min="8702" max="8702" width="22.28515625" style="65" customWidth="1"/>
    <col min="8703" max="8703" width="9.42578125" style="65" customWidth="1"/>
    <col min="8704" max="8706" width="9.140625" style="65" hidden="1" customWidth="1"/>
    <col min="8707" max="8707" width="14.140625" style="65" customWidth="1"/>
    <col min="8708" max="8708" width="9.140625" style="65" hidden="1" customWidth="1"/>
    <col min="8709" max="8709" width="12" style="65" customWidth="1"/>
    <col min="8710" max="8710" width="9.140625" style="65" hidden="1" customWidth="1"/>
    <col min="8711" max="8712" width="8.140625" style="65" customWidth="1"/>
    <col min="8713" max="8714" width="8.7109375" style="65" customWidth="1"/>
    <col min="8715" max="8715" width="1.5703125" style="65" customWidth="1"/>
    <col min="8716" max="8716" width="7.5703125" style="65" customWidth="1"/>
    <col min="8717" max="8717" width="5.7109375" style="65" customWidth="1"/>
    <col min="8718" max="8719" width="9.140625" style="65" hidden="1"/>
    <col min="8720" max="8720" width="5.85546875" style="65" customWidth="1"/>
    <col min="8721" max="8721" width="6" style="65" customWidth="1"/>
    <col min="8722" max="8722" width="6.28515625" style="65" customWidth="1"/>
    <col min="8723" max="8723" width="5.85546875" style="65" customWidth="1"/>
    <col min="8724" max="8724" width="6.42578125" style="65" customWidth="1"/>
    <col min="8725" max="8725" width="6.7109375" style="65" customWidth="1"/>
    <col min="8726" max="8726" width="6" style="65" customWidth="1"/>
    <col min="8727" max="8728" width="9.140625" style="65" hidden="1"/>
    <col min="8729" max="8729" width="3.140625" style="65" customWidth="1"/>
    <col min="8730" max="8954" width="9.140625" style="65" hidden="1"/>
    <col min="8955" max="8955" width="12" style="65" customWidth="1"/>
    <col min="8956" max="8956" width="11.42578125" style="65" customWidth="1"/>
    <col min="8957" max="8957" width="22.42578125" style="65" customWidth="1"/>
    <col min="8958" max="8958" width="22.28515625" style="65" customWidth="1"/>
    <col min="8959" max="8959" width="9.42578125" style="65" customWidth="1"/>
    <col min="8960" max="8962" width="9.140625" style="65" hidden="1" customWidth="1"/>
    <col min="8963" max="8963" width="14.140625" style="65" customWidth="1"/>
    <col min="8964" max="8964" width="9.140625" style="65" hidden="1" customWidth="1"/>
    <col min="8965" max="8965" width="12" style="65" customWidth="1"/>
    <col min="8966" max="8966" width="9.140625" style="65" hidden="1" customWidth="1"/>
    <col min="8967" max="8968" width="8.140625" style="65" customWidth="1"/>
    <col min="8969" max="8970" width="8.7109375" style="65" customWidth="1"/>
    <col min="8971" max="8971" width="1.5703125" style="65" customWidth="1"/>
    <col min="8972" max="8972" width="7.5703125" style="65" customWidth="1"/>
    <col min="8973" max="8973" width="5.7109375" style="65" customWidth="1"/>
    <col min="8974" max="8975" width="9.140625" style="65" hidden="1"/>
    <col min="8976" max="8976" width="5.85546875" style="65" customWidth="1"/>
    <col min="8977" max="8977" width="6" style="65" customWidth="1"/>
    <col min="8978" max="8978" width="6.28515625" style="65" customWidth="1"/>
    <col min="8979" max="8979" width="5.85546875" style="65" customWidth="1"/>
    <col min="8980" max="8980" width="6.42578125" style="65" customWidth="1"/>
    <col min="8981" max="8981" width="6.7109375" style="65" customWidth="1"/>
    <col min="8982" max="8982" width="6" style="65" customWidth="1"/>
    <col min="8983" max="8984" width="9.140625" style="65" hidden="1"/>
    <col min="8985" max="8985" width="3.140625" style="65" customWidth="1"/>
    <col min="8986" max="9210" width="9.140625" style="65" hidden="1"/>
    <col min="9211" max="9211" width="12" style="65" customWidth="1"/>
    <col min="9212" max="9212" width="11.42578125" style="65" customWidth="1"/>
    <col min="9213" max="9213" width="22.42578125" style="65" customWidth="1"/>
    <col min="9214" max="9214" width="22.28515625" style="65" customWidth="1"/>
    <col min="9215" max="9215" width="9.42578125" style="65" customWidth="1"/>
    <col min="9216" max="9218" width="9.140625" style="65" hidden="1" customWidth="1"/>
    <col min="9219" max="9219" width="14.140625" style="65" customWidth="1"/>
    <col min="9220" max="9220" width="9.140625" style="65" hidden="1" customWidth="1"/>
    <col min="9221" max="9221" width="12" style="65" customWidth="1"/>
    <col min="9222" max="9222" width="9.140625" style="65" hidden="1" customWidth="1"/>
    <col min="9223" max="9224" width="8.140625" style="65" customWidth="1"/>
    <col min="9225" max="9226" width="8.7109375" style="65" customWidth="1"/>
    <col min="9227" max="9227" width="1.5703125" style="65" customWidth="1"/>
    <col min="9228" max="9228" width="7.5703125" style="65" customWidth="1"/>
    <col min="9229" max="9229" width="5.7109375" style="65" customWidth="1"/>
    <col min="9230" max="9231" width="9.140625" style="65" hidden="1"/>
    <col min="9232" max="9232" width="5.85546875" style="65" customWidth="1"/>
    <col min="9233" max="9233" width="6" style="65" customWidth="1"/>
    <col min="9234" max="9234" width="6.28515625" style="65" customWidth="1"/>
    <col min="9235" max="9235" width="5.85546875" style="65" customWidth="1"/>
    <col min="9236" max="9236" width="6.42578125" style="65" customWidth="1"/>
    <col min="9237" max="9237" width="6.7109375" style="65" customWidth="1"/>
    <col min="9238" max="9238" width="6" style="65" customWidth="1"/>
    <col min="9239" max="9240" width="9.140625" style="65" hidden="1"/>
    <col min="9241" max="9241" width="3.140625" style="65" customWidth="1"/>
    <col min="9242" max="9466" width="9.140625" style="65" hidden="1"/>
    <col min="9467" max="9467" width="12" style="65" customWidth="1"/>
    <col min="9468" max="9468" width="11.42578125" style="65" customWidth="1"/>
    <col min="9469" max="9469" width="22.42578125" style="65" customWidth="1"/>
    <col min="9470" max="9470" width="22.28515625" style="65" customWidth="1"/>
    <col min="9471" max="9471" width="9.42578125" style="65" customWidth="1"/>
    <col min="9472" max="9474" width="9.140625" style="65" hidden="1" customWidth="1"/>
    <col min="9475" max="9475" width="14.140625" style="65" customWidth="1"/>
    <col min="9476" max="9476" width="9.140625" style="65" hidden="1" customWidth="1"/>
    <col min="9477" max="9477" width="12" style="65" customWidth="1"/>
    <col min="9478" max="9478" width="9.140625" style="65" hidden="1" customWidth="1"/>
    <col min="9479" max="9480" width="8.140625" style="65" customWidth="1"/>
    <col min="9481" max="9482" width="8.7109375" style="65" customWidth="1"/>
    <col min="9483" max="9483" width="1.5703125" style="65" customWidth="1"/>
    <col min="9484" max="9484" width="7.5703125" style="65" customWidth="1"/>
    <col min="9485" max="9485" width="5.7109375" style="65" customWidth="1"/>
    <col min="9486" max="9487" width="9.140625" style="65" hidden="1"/>
    <col min="9488" max="9488" width="5.85546875" style="65" customWidth="1"/>
    <col min="9489" max="9489" width="6" style="65" customWidth="1"/>
    <col min="9490" max="9490" width="6.28515625" style="65" customWidth="1"/>
    <col min="9491" max="9491" width="5.85546875" style="65" customWidth="1"/>
    <col min="9492" max="9492" width="6.42578125" style="65" customWidth="1"/>
    <col min="9493" max="9493" width="6.7109375" style="65" customWidth="1"/>
    <col min="9494" max="9494" width="6" style="65" customWidth="1"/>
    <col min="9495" max="9496" width="9.140625" style="65" hidden="1"/>
    <col min="9497" max="9497" width="3.140625" style="65" customWidth="1"/>
    <col min="9498" max="9722" width="9.140625" style="65" hidden="1"/>
    <col min="9723" max="9723" width="12" style="65" customWidth="1"/>
    <col min="9724" max="9724" width="11.42578125" style="65" customWidth="1"/>
    <col min="9725" max="9725" width="22.42578125" style="65" customWidth="1"/>
    <col min="9726" max="9726" width="22.28515625" style="65" customWidth="1"/>
    <col min="9727" max="9727" width="9.42578125" style="65" customWidth="1"/>
    <col min="9728" max="9730" width="9.140625" style="65" hidden="1" customWidth="1"/>
    <col min="9731" max="9731" width="14.140625" style="65" customWidth="1"/>
    <col min="9732" max="9732" width="9.140625" style="65" hidden="1" customWidth="1"/>
    <col min="9733" max="9733" width="12" style="65" customWidth="1"/>
    <col min="9734" max="9734" width="9.140625" style="65" hidden="1" customWidth="1"/>
    <col min="9735" max="9736" width="8.140625" style="65" customWidth="1"/>
    <col min="9737" max="9738" width="8.7109375" style="65" customWidth="1"/>
    <col min="9739" max="9739" width="1.5703125" style="65" customWidth="1"/>
    <col min="9740" max="9740" width="7.5703125" style="65" customWidth="1"/>
    <col min="9741" max="9741" width="5.7109375" style="65" customWidth="1"/>
    <col min="9742" max="9743" width="9.140625" style="65" hidden="1"/>
    <col min="9744" max="9744" width="5.85546875" style="65" customWidth="1"/>
    <col min="9745" max="9745" width="6" style="65" customWidth="1"/>
    <col min="9746" max="9746" width="6.28515625" style="65" customWidth="1"/>
    <col min="9747" max="9747" width="5.85546875" style="65" customWidth="1"/>
    <col min="9748" max="9748" width="6.42578125" style="65" customWidth="1"/>
    <col min="9749" max="9749" width="6.7109375" style="65" customWidth="1"/>
    <col min="9750" max="9750" width="6" style="65" customWidth="1"/>
    <col min="9751" max="9752" width="9.140625" style="65" hidden="1"/>
    <col min="9753" max="9753" width="3.140625" style="65" customWidth="1"/>
    <col min="9754" max="9978" width="9.140625" style="65" hidden="1"/>
    <col min="9979" max="9979" width="12" style="65" customWidth="1"/>
    <col min="9980" max="9980" width="11.42578125" style="65" customWidth="1"/>
    <col min="9981" max="9981" width="22.42578125" style="65" customWidth="1"/>
    <col min="9982" max="9982" width="22.28515625" style="65" customWidth="1"/>
    <col min="9983" max="9983" width="9.42578125" style="65" customWidth="1"/>
    <col min="9984" max="9986" width="9.140625" style="65" hidden="1" customWidth="1"/>
    <col min="9987" max="9987" width="14.140625" style="65" customWidth="1"/>
    <col min="9988" max="9988" width="9.140625" style="65" hidden="1" customWidth="1"/>
    <col min="9989" max="9989" width="12" style="65" customWidth="1"/>
    <col min="9990" max="9990" width="9.140625" style="65" hidden="1" customWidth="1"/>
    <col min="9991" max="9992" width="8.140625" style="65" customWidth="1"/>
    <col min="9993" max="9994" width="8.7109375" style="65" customWidth="1"/>
    <col min="9995" max="9995" width="1.5703125" style="65" customWidth="1"/>
    <col min="9996" max="9996" width="7.5703125" style="65" customWidth="1"/>
    <col min="9997" max="9997" width="5.7109375" style="65" customWidth="1"/>
    <col min="9998" max="9999" width="9.140625" style="65" hidden="1"/>
    <col min="10000" max="10000" width="5.85546875" style="65" customWidth="1"/>
    <col min="10001" max="10001" width="6" style="65" customWidth="1"/>
    <col min="10002" max="10002" width="6.28515625" style="65" customWidth="1"/>
    <col min="10003" max="10003" width="5.85546875" style="65" customWidth="1"/>
    <col min="10004" max="10004" width="6.42578125" style="65" customWidth="1"/>
    <col min="10005" max="10005" width="6.7109375" style="65" customWidth="1"/>
    <col min="10006" max="10006" width="6" style="65" customWidth="1"/>
    <col min="10007" max="10008" width="9.140625" style="65" hidden="1"/>
    <col min="10009" max="10009" width="3.140625" style="65" customWidth="1"/>
    <col min="10010" max="10234" width="9.140625" style="65" hidden="1"/>
    <col min="10235" max="10235" width="12" style="65" customWidth="1"/>
    <col min="10236" max="10236" width="11.42578125" style="65" customWidth="1"/>
    <col min="10237" max="10237" width="22.42578125" style="65" customWidth="1"/>
    <col min="10238" max="10238" width="22.28515625" style="65" customWidth="1"/>
    <col min="10239" max="10239" width="9.42578125" style="65" customWidth="1"/>
    <col min="10240" max="10242" width="9.140625" style="65" hidden="1" customWidth="1"/>
    <col min="10243" max="10243" width="14.140625" style="65" customWidth="1"/>
    <col min="10244" max="10244" width="9.140625" style="65" hidden="1" customWidth="1"/>
    <col min="10245" max="10245" width="12" style="65" customWidth="1"/>
    <col min="10246" max="10246" width="9.140625" style="65" hidden="1" customWidth="1"/>
    <col min="10247" max="10248" width="8.140625" style="65" customWidth="1"/>
    <col min="10249" max="10250" width="8.7109375" style="65" customWidth="1"/>
    <col min="10251" max="10251" width="1.5703125" style="65" customWidth="1"/>
    <col min="10252" max="10252" width="7.5703125" style="65" customWidth="1"/>
    <col min="10253" max="10253" width="5.7109375" style="65" customWidth="1"/>
    <col min="10254" max="10255" width="9.140625" style="65" hidden="1"/>
    <col min="10256" max="10256" width="5.85546875" style="65" customWidth="1"/>
    <col min="10257" max="10257" width="6" style="65" customWidth="1"/>
    <col min="10258" max="10258" width="6.28515625" style="65" customWidth="1"/>
    <col min="10259" max="10259" width="5.85546875" style="65" customWidth="1"/>
    <col min="10260" max="10260" width="6.42578125" style="65" customWidth="1"/>
    <col min="10261" max="10261" width="6.7109375" style="65" customWidth="1"/>
    <col min="10262" max="10262" width="6" style="65" customWidth="1"/>
    <col min="10263" max="10264" width="9.140625" style="65" hidden="1"/>
    <col min="10265" max="10265" width="3.140625" style="65" customWidth="1"/>
    <col min="10266" max="10490" width="9.140625" style="65" hidden="1"/>
    <col min="10491" max="10491" width="12" style="65" customWidth="1"/>
    <col min="10492" max="10492" width="11.42578125" style="65" customWidth="1"/>
    <col min="10493" max="10493" width="22.42578125" style="65" customWidth="1"/>
    <col min="10494" max="10494" width="22.28515625" style="65" customWidth="1"/>
    <col min="10495" max="10495" width="9.42578125" style="65" customWidth="1"/>
    <col min="10496" max="10498" width="9.140625" style="65" hidden="1" customWidth="1"/>
    <col min="10499" max="10499" width="14.140625" style="65" customWidth="1"/>
    <col min="10500" max="10500" width="9.140625" style="65" hidden="1" customWidth="1"/>
    <col min="10501" max="10501" width="12" style="65" customWidth="1"/>
    <col min="10502" max="10502" width="9.140625" style="65" hidden="1" customWidth="1"/>
    <col min="10503" max="10504" width="8.140625" style="65" customWidth="1"/>
    <col min="10505" max="10506" width="8.7109375" style="65" customWidth="1"/>
    <col min="10507" max="10507" width="1.5703125" style="65" customWidth="1"/>
    <col min="10508" max="10508" width="7.5703125" style="65" customWidth="1"/>
    <col min="10509" max="10509" width="5.7109375" style="65" customWidth="1"/>
    <col min="10510" max="10511" width="9.140625" style="65" hidden="1"/>
    <col min="10512" max="10512" width="5.85546875" style="65" customWidth="1"/>
    <col min="10513" max="10513" width="6" style="65" customWidth="1"/>
    <col min="10514" max="10514" width="6.28515625" style="65" customWidth="1"/>
    <col min="10515" max="10515" width="5.85546875" style="65" customWidth="1"/>
    <col min="10516" max="10516" width="6.42578125" style="65" customWidth="1"/>
    <col min="10517" max="10517" width="6.7109375" style="65" customWidth="1"/>
    <col min="10518" max="10518" width="6" style="65" customWidth="1"/>
    <col min="10519" max="10520" width="9.140625" style="65" hidden="1"/>
    <col min="10521" max="10521" width="3.140625" style="65" customWidth="1"/>
    <col min="10522" max="10746" width="9.140625" style="65" hidden="1"/>
    <col min="10747" max="10747" width="12" style="65" customWidth="1"/>
    <col min="10748" max="10748" width="11.42578125" style="65" customWidth="1"/>
    <col min="10749" max="10749" width="22.42578125" style="65" customWidth="1"/>
    <col min="10750" max="10750" width="22.28515625" style="65" customWidth="1"/>
    <col min="10751" max="10751" width="9.42578125" style="65" customWidth="1"/>
    <col min="10752" max="10754" width="9.140625" style="65" hidden="1" customWidth="1"/>
    <col min="10755" max="10755" width="14.140625" style="65" customWidth="1"/>
    <col min="10756" max="10756" width="9.140625" style="65" hidden="1" customWidth="1"/>
    <col min="10757" max="10757" width="12" style="65" customWidth="1"/>
    <col min="10758" max="10758" width="9.140625" style="65" hidden="1" customWidth="1"/>
    <col min="10759" max="10760" width="8.140625" style="65" customWidth="1"/>
    <col min="10761" max="10762" width="8.7109375" style="65" customWidth="1"/>
    <col min="10763" max="10763" width="1.5703125" style="65" customWidth="1"/>
    <col min="10764" max="10764" width="7.5703125" style="65" customWidth="1"/>
    <col min="10765" max="10765" width="5.7109375" style="65" customWidth="1"/>
    <col min="10766" max="10767" width="9.140625" style="65" hidden="1"/>
    <col min="10768" max="10768" width="5.85546875" style="65" customWidth="1"/>
    <col min="10769" max="10769" width="6" style="65" customWidth="1"/>
    <col min="10770" max="10770" width="6.28515625" style="65" customWidth="1"/>
    <col min="10771" max="10771" width="5.85546875" style="65" customWidth="1"/>
    <col min="10772" max="10772" width="6.42578125" style="65" customWidth="1"/>
    <col min="10773" max="10773" width="6.7109375" style="65" customWidth="1"/>
    <col min="10774" max="10774" width="6" style="65" customWidth="1"/>
    <col min="10775" max="10776" width="9.140625" style="65" hidden="1"/>
    <col min="10777" max="10777" width="3.140625" style="65" customWidth="1"/>
    <col min="10778" max="11002" width="9.140625" style="65" hidden="1"/>
    <col min="11003" max="11003" width="12" style="65" customWidth="1"/>
    <col min="11004" max="11004" width="11.42578125" style="65" customWidth="1"/>
    <col min="11005" max="11005" width="22.42578125" style="65" customWidth="1"/>
    <col min="11006" max="11006" width="22.28515625" style="65" customWidth="1"/>
    <col min="11007" max="11007" width="9.42578125" style="65" customWidth="1"/>
    <col min="11008" max="11010" width="9.140625" style="65" hidden="1" customWidth="1"/>
    <col min="11011" max="11011" width="14.140625" style="65" customWidth="1"/>
    <col min="11012" max="11012" width="9.140625" style="65" hidden="1" customWidth="1"/>
    <col min="11013" max="11013" width="12" style="65" customWidth="1"/>
    <col min="11014" max="11014" width="9.140625" style="65" hidden="1" customWidth="1"/>
    <col min="11015" max="11016" width="8.140625" style="65" customWidth="1"/>
    <col min="11017" max="11018" width="8.7109375" style="65" customWidth="1"/>
    <col min="11019" max="11019" width="1.5703125" style="65" customWidth="1"/>
    <col min="11020" max="11020" width="7.5703125" style="65" customWidth="1"/>
    <col min="11021" max="11021" width="5.7109375" style="65" customWidth="1"/>
    <col min="11022" max="11023" width="9.140625" style="65" hidden="1"/>
    <col min="11024" max="11024" width="5.85546875" style="65" customWidth="1"/>
    <col min="11025" max="11025" width="6" style="65" customWidth="1"/>
    <col min="11026" max="11026" width="6.28515625" style="65" customWidth="1"/>
    <col min="11027" max="11027" width="5.85546875" style="65" customWidth="1"/>
    <col min="11028" max="11028" width="6.42578125" style="65" customWidth="1"/>
    <col min="11029" max="11029" width="6.7109375" style="65" customWidth="1"/>
    <col min="11030" max="11030" width="6" style="65" customWidth="1"/>
    <col min="11031" max="11032" width="9.140625" style="65" hidden="1"/>
    <col min="11033" max="11033" width="3.140625" style="65" customWidth="1"/>
    <col min="11034" max="11258" width="9.140625" style="65" hidden="1"/>
    <col min="11259" max="11259" width="12" style="65" customWidth="1"/>
    <col min="11260" max="11260" width="11.42578125" style="65" customWidth="1"/>
    <col min="11261" max="11261" width="22.42578125" style="65" customWidth="1"/>
    <col min="11262" max="11262" width="22.28515625" style="65" customWidth="1"/>
    <col min="11263" max="11263" width="9.42578125" style="65" customWidth="1"/>
    <col min="11264" max="11266" width="9.140625" style="65" hidden="1" customWidth="1"/>
    <col min="11267" max="11267" width="14.140625" style="65" customWidth="1"/>
    <col min="11268" max="11268" width="9.140625" style="65" hidden="1" customWidth="1"/>
    <col min="11269" max="11269" width="12" style="65" customWidth="1"/>
    <col min="11270" max="11270" width="9.140625" style="65" hidden="1" customWidth="1"/>
    <col min="11271" max="11272" width="8.140625" style="65" customWidth="1"/>
    <col min="11273" max="11274" width="8.7109375" style="65" customWidth="1"/>
    <col min="11275" max="11275" width="1.5703125" style="65" customWidth="1"/>
    <col min="11276" max="11276" width="7.5703125" style="65" customWidth="1"/>
    <col min="11277" max="11277" width="5.7109375" style="65" customWidth="1"/>
    <col min="11278" max="11279" width="9.140625" style="65" hidden="1"/>
    <col min="11280" max="11280" width="5.85546875" style="65" customWidth="1"/>
    <col min="11281" max="11281" width="6" style="65" customWidth="1"/>
    <col min="11282" max="11282" width="6.28515625" style="65" customWidth="1"/>
    <col min="11283" max="11283" width="5.85546875" style="65" customWidth="1"/>
    <col min="11284" max="11284" width="6.42578125" style="65" customWidth="1"/>
    <col min="11285" max="11285" width="6.7109375" style="65" customWidth="1"/>
    <col min="11286" max="11286" width="6" style="65" customWidth="1"/>
    <col min="11287" max="11288" width="9.140625" style="65" hidden="1"/>
    <col min="11289" max="11289" width="3.140625" style="65" customWidth="1"/>
    <col min="11290" max="11514" width="9.140625" style="65" hidden="1"/>
    <col min="11515" max="11515" width="12" style="65" customWidth="1"/>
    <col min="11516" max="11516" width="11.42578125" style="65" customWidth="1"/>
    <col min="11517" max="11517" width="22.42578125" style="65" customWidth="1"/>
    <col min="11518" max="11518" width="22.28515625" style="65" customWidth="1"/>
    <col min="11519" max="11519" width="9.42578125" style="65" customWidth="1"/>
    <col min="11520" max="11522" width="9.140625" style="65" hidden="1" customWidth="1"/>
    <col min="11523" max="11523" width="14.140625" style="65" customWidth="1"/>
    <col min="11524" max="11524" width="9.140625" style="65" hidden="1" customWidth="1"/>
    <col min="11525" max="11525" width="12" style="65" customWidth="1"/>
    <col min="11526" max="11526" width="9.140625" style="65" hidden="1" customWidth="1"/>
    <col min="11527" max="11528" width="8.140625" style="65" customWidth="1"/>
    <col min="11529" max="11530" width="8.7109375" style="65" customWidth="1"/>
    <col min="11531" max="11531" width="1.5703125" style="65" customWidth="1"/>
    <col min="11532" max="11532" width="7.5703125" style="65" customWidth="1"/>
    <col min="11533" max="11533" width="5.7109375" style="65" customWidth="1"/>
    <col min="11534" max="11535" width="9.140625" style="65" hidden="1"/>
    <col min="11536" max="11536" width="5.85546875" style="65" customWidth="1"/>
    <col min="11537" max="11537" width="6" style="65" customWidth="1"/>
    <col min="11538" max="11538" width="6.28515625" style="65" customWidth="1"/>
    <col min="11539" max="11539" width="5.85546875" style="65" customWidth="1"/>
    <col min="11540" max="11540" width="6.42578125" style="65" customWidth="1"/>
    <col min="11541" max="11541" width="6.7109375" style="65" customWidth="1"/>
    <col min="11542" max="11542" width="6" style="65" customWidth="1"/>
    <col min="11543" max="11544" width="9.140625" style="65" hidden="1"/>
    <col min="11545" max="11545" width="3.140625" style="65" customWidth="1"/>
    <col min="11546" max="11770" width="9.140625" style="65" hidden="1"/>
    <col min="11771" max="11771" width="12" style="65" customWidth="1"/>
    <col min="11772" max="11772" width="11.42578125" style="65" customWidth="1"/>
    <col min="11773" max="11773" width="22.42578125" style="65" customWidth="1"/>
    <col min="11774" max="11774" width="22.28515625" style="65" customWidth="1"/>
    <col min="11775" max="11775" width="9.42578125" style="65" customWidth="1"/>
    <col min="11776" max="11778" width="9.140625" style="65" hidden="1" customWidth="1"/>
    <col min="11779" max="11779" width="14.140625" style="65" customWidth="1"/>
    <col min="11780" max="11780" width="9.140625" style="65" hidden="1" customWidth="1"/>
    <col min="11781" max="11781" width="12" style="65" customWidth="1"/>
    <col min="11782" max="11782" width="9.140625" style="65" hidden="1" customWidth="1"/>
    <col min="11783" max="11784" width="8.140625" style="65" customWidth="1"/>
    <col min="11785" max="11786" width="8.7109375" style="65" customWidth="1"/>
    <col min="11787" max="11787" width="1.5703125" style="65" customWidth="1"/>
    <col min="11788" max="11788" width="7.5703125" style="65" customWidth="1"/>
    <col min="11789" max="11789" width="5.7109375" style="65" customWidth="1"/>
    <col min="11790" max="11791" width="9.140625" style="65" hidden="1"/>
    <col min="11792" max="11792" width="5.85546875" style="65" customWidth="1"/>
    <col min="11793" max="11793" width="6" style="65" customWidth="1"/>
    <col min="11794" max="11794" width="6.28515625" style="65" customWidth="1"/>
    <col min="11795" max="11795" width="5.85546875" style="65" customWidth="1"/>
    <col min="11796" max="11796" width="6.42578125" style="65" customWidth="1"/>
    <col min="11797" max="11797" width="6.7109375" style="65" customWidth="1"/>
    <col min="11798" max="11798" width="6" style="65" customWidth="1"/>
    <col min="11799" max="11800" width="9.140625" style="65" hidden="1"/>
    <col min="11801" max="11801" width="3.140625" style="65" customWidth="1"/>
    <col min="11802" max="12026" width="9.140625" style="65" hidden="1"/>
    <col min="12027" max="12027" width="12" style="65" customWidth="1"/>
    <col min="12028" max="12028" width="11.42578125" style="65" customWidth="1"/>
    <col min="12029" max="12029" width="22.42578125" style="65" customWidth="1"/>
    <col min="12030" max="12030" width="22.28515625" style="65" customWidth="1"/>
    <col min="12031" max="12031" width="9.42578125" style="65" customWidth="1"/>
    <col min="12032" max="12034" width="9.140625" style="65" hidden="1" customWidth="1"/>
    <col min="12035" max="12035" width="14.140625" style="65" customWidth="1"/>
    <col min="12036" max="12036" width="9.140625" style="65" hidden="1" customWidth="1"/>
    <col min="12037" max="12037" width="12" style="65" customWidth="1"/>
    <col min="12038" max="12038" width="9.140625" style="65" hidden="1" customWidth="1"/>
    <col min="12039" max="12040" width="8.140625" style="65" customWidth="1"/>
    <col min="12041" max="12042" width="8.7109375" style="65" customWidth="1"/>
    <col min="12043" max="12043" width="1.5703125" style="65" customWidth="1"/>
    <col min="12044" max="12044" width="7.5703125" style="65" customWidth="1"/>
    <col min="12045" max="12045" width="5.7109375" style="65" customWidth="1"/>
    <col min="12046" max="12047" width="9.140625" style="65" hidden="1"/>
    <col min="12048" max="12048" width="5.85546875" style="65" customWidth="1"/>
    <col min="12049" max="12049" width="6" style="65" customWidth="1"/>
    <col min="12050" max="12050" width="6.28515625" style="65" customWidth="1"/>
    <col min="12051" max="12051" width="5.85546875" style="65" customWidth="1"/>
    <col min="12052" max="12052" width="6.42578125" style="65" customWidth="1"/>
    <col min="12053" max="12053" width="6.7109375" style="65" customWidth="1"/>
    <col min="12054" max="12054" width="6" style="65" customWidth="1"/>
    <col min="12055" max="12056" width="9.140625" style="65" hidden="1"/>
    <col min="12057" max="12057" width="3.140625" style="65" customWidth="1"/>
    <col min="12058" max="12282" width="9.140625" style="65" hidden="1"/>
    <col min="12283" max="12283" width="12" style="65" customWidth="1"/>
    <col min="12284" max="12284" width="11.42578125" style="65" customWidth="1"/>
    <col min="12285" max="12285" width="22.42578125" style="65" customWidth="1"/>
    <col min="12286" max="12286" width="22.28515625" style="65" customWidth="1"/>
    <col min="12287" max="12287" width="9.42578125" style="65" customWidth="1"/>
    <col min="12288" max="12290" width="9.140625" style="65" hidden="1" customWidth="1"/>
    <col min="12291" max="12291" width="14.140625" style="65" customWidth="1"/>
    <col min="12292" max="12292" width="9.140625" style="65" hidden="1" customWidth="1"/>
    <col min="12293" max="12293" width="12" style="65" customWidth="1"/>
    <col min="12294" max="12294" width="9.140625" style="65" hidden="1" customWidth="1"/>
    <col min="12295" max="12296" width="8.140625" style="65" customWidth="1"/>
    <col min="12297" max="12298" width="8.7109375" style="65" customWidth="1"/>
    <col min="12299" max="12299" width="1.5703125" style="65" customWidth="1"/>
    <col min="12300" max="12300" width="7.5703125" style="65" customWidth="1"/>
    <col min="12301" max="12301" width="5.7109375" style="65" customWidth="1"/>
    <col min="12302" max="12303" width="9.140625" style="65" hidden="1"/>
    <col min="12304" max="12304" width="5.85546875" style="65" customWidth="1"/>
    <col min="12305" max="12305" width="6" style="65" customWidth="1"/>
    <col min="12306" max="12306" width="6.28515625" style="65" customWidth="1"/>
    <col min="12307" max="12307" width="5.85546875" style="65" customWidth="1"/>
    <col min="12308" max="12308" width="6.42578125" style="65" customWidth="1"/>
    <col min="12309" max="12309" width="6.7109375" style="65" customWidth="1"/>
    <col min="12310" max="12310" width="6" style="65" customWidth="1"/>
    <col min="12311" max="12312" width="9.140625" style="65" hidden="1"/>
    <col min="12313" max="12313" width="3.140625" style="65" customWidth="1"/>
    <col min="12314" max="12538" width="9.140625" style="65" hidden="1"/>
    <col min="12539" max="12539" width="12" style="65" customWidth="1"/>
    <col min="12540" max="12540" width="11.42578125" style="65" customWidth="1"/>
    <col min="12541" max="12541" width="22.42578125" style="65" customWidth="1"/>
    <col min="12542" max="12542" width="22.28515625" style="65" customWidth="1"/>
    <col min="12543" max="12543" width="9.42578125" style="65" customWidth="1"/>
    <col min="12544" max="12546" width="9.140625" style="65" hidden="1" customWidth="1"/>
    <col min="12547" max="12547" width="14.140625" style="65" customWidth="1"/>
    <col min="12548" max="12548" width="9.140625" style="65" hidden="1" customWidth="1"/>
    <col min="12549" max="12549" width="12" style="65" customWidth="1"/>
    <col min="12550" max="12550" width="9.140625" style="65" hidden="1" customWidth="1"/>
    <col min="12551" max="12552" width="8.140625" style="65" customWidth="1"/>
    <col min="12553" max="12554" width="8.7109375" style="65" customWidth="1"/>
    <col min="12555" max="12555" width="1.5703125" style="65" customWidth="1"/>
    <col min="12556" max="12556" width="7.5703125" style="65" customWidth="1"/>
    <col min="12557" max="12557" width="5.7109375" style="65" customWidth="1"/>
    <col min="12558" max="12559" width="9.140625" style="65" hidden="1"/>
    <col min="12560" max="12560" width="5.85546875" style="65" customWidth="1"/>
    <col min="12561" max="12561" width="6" style="65" customWidth="1"/>
    <col min="12562" max="12562" width="6.28515625" style="65" customWidth="1"/>
    <col min="12563" max="12563" width="5.85546875" style="65" customWidth="1"/>
    <col min="12564" max="12564" width="6.42578125" style="65" customWidth="1"/>
    <col min="12565" max="12565" width="6.7109375" style="65" customWidth="1"/>
    <col min="12566" max="12566" width="6" style="65" customWidth="1"/>
    <col min="12567" max="12568" width="9.140625" style="65" hidden="1"/>
    <col min="12569" max="12569" width="3.140625" style="65" customWidth="1"/>
    <col min="12570" max="12794" width="9.140625" style="65" hidden="1"/>
    <col min="12795" max="12795" width="12" style="65" customWidth="1"/>
    <col min="12796" max="12796" width="11.42578125" style="65" customWidth="1"/>
    <col min="12797" max="12797" width="22.42578125" style="65" customWidth="1"/>
    <col min="12798" max="12798" width="22.28515625" style="65" customWidth="1"/>
    <col min="12799" max="12799" width="9.42578125" style="65" customWidth="1"/>
    <col min="12800" max="12802" width="9.140625" style="65" hidden="1" customWidth="1"/>
    <col min="12803" max="12803" width="14.140625" style="65" customWidth="1"/>
    <col min="12804" max="12804" width="9.140625" style="65" hidden="1" customWidth="1"/>
    <col min="12805" max="12805" width="12" style="65" customWidth="1"/>
    <col min="12806" max="12806" width="9.140625" style="65" hidden="1" customWidth="1"/>
    <col min="12807" max="12808" width="8.140625" style="65" customWidth="1"/>
    <col min="12809" max="12810" width="8.7109375" style="65" customWidth="1"/>
    <col min="12811" max="12811" width="1.5703125" style="65" customWidth="1"/>
    <col min="12812" max="12812" width="7.5703125" style="65" customWidth="1"/>
    <col min="12813" max="12813" width="5.7109375" style="65" customWidth="1"/>
    <col min="12814" max="12815" width="9.140625" style="65" hidden="1"/>
    <col min="12816" max="12816" width="5.85546875" style="65" customWidth="1"/>
    <col min="12817" max="12817" width="6" style="65" customWidth="1"/>
    <col min="12818" max="12818" width="6.28515625" style="65" customWidth="1"/>
    <col min="12819" max="12819" width="5.85546875" style="65" customWidth="1"/>
    <col min="12820" max="12820" width="6.42578125" style="65" customWidth="1"/>
    <col min="12821" max="12821" width="6.7109375" style="65" customWidth="1"/>
    <col min="12822" max="12822" width="6" style="65" customWidth="1"/>
    <col min="12823" max="12824" width="9.140625" style="65" hidden="1"/>
    <col min="12825" max="12825" width="3.140625" style="65" customWidth="1"/>
    <col min="12826" max="13050" width="9.140625" style="65" hidden="1"/>
    <col min="13051" max="13051" width="12" style="65" customWidth="1"/>
    <col min="13052" max="13052" width="11.42578125" style="65" customWidth="1"/>
    <col min="13053" max="13053" width="22.42578125" style="65" customWidth="1"/>
    <col min="13054" max="13054" width="22.28515625" style="65" customWidth="1"/>
    <col min="13055" max="13055" width="9.42578125" style="65" customWidth="1"/>
    <col min="13056" max="13058" width="9.140625" style="65" hidden="1" customWidth="1"/>
    <col min="13059" max="13059" width="14.140625" style="65" customWidth="1"/>
    <col min="13060" max="13060" width="9.140625" style="65" hidden="1" customWidth="1"/>
    <col min="13061" max="13061" width="12" style="65" customWidth="1"/>
    <col min="13062" max="13062" width="9.140625" style="65" hidden="1" customWidth="1"/>
    <col min="13063" max="13064" width="8.140625" style="65" customWidth="1"/>
    <col min="13065" max="13066" width="8.7109375" style="65" customWidth="1"/>
    <col min="13067" max="13067" width="1.5703125" style="65" customWidth="1"/>
    <col min="13068" max="13068" width="7.5703125" style="65" customWidth="1"/>
    <col min="13069" max="13069" width="5.7109375" style="65" customWidth="1"/>
    <col min="13070" max="13071" width="9.140625" style="65" hidden="1"/>
    <col min="13072" max="13072" width="5.85546875" style="65" customWidth="1"/>
    <col min="13073" max="13073" width="6" style="65" customWidth="1"/>
    <col min="13074" max="13074" width="6.28515625" style="65" customWidth="1"/>
    <col min="13075" max="13075" width="5.85546875" style="65" customWidth="1"/>
    <col min="13076" max="13076" width="6.42578125" style="65" customWidth="1"/>
    <col min="13077" max="13077" width="6.7109375" style="65" customWidth="1"/>
    <col min="13078" max="13078" width="6" style="65" customWidth="1"/>
    <col min="13079" max="13080" width="9.140625" style="65" hidden="1"/>
    <col min="13081" max="13081" width="3.140625" style="65" customWidth="1"/>
    <col min="13082" max="13306" width="9.140625" style="65" hidden="1"/>
    <col min="13307" max="13307" width="12" style="65" customWidth="1"/>
    <col min="13308" max="13308" width="11.42578125" style="65" customWidth="1"/>
    <col min="13309" max="13309" width="22.42578125" style="65" customWidth="1"/>
    <col min="13310" max="13310" width="22.28515625" style="65" customWidth="1"/>
    <col min="13311" max="13311" width="9.42578125" style="65" customWidth="1"/>
    <col min="13312" max="13314" width="9.140625" style="65" hidden="1" customWidth="1"/>
    <col min="13315" max="13315" width="14.140625" style="65" customWidth="1"/>
    <col min="13316" max="13316" width="9.140625" style="65" hidden="1" customWidth="1"/>
    <col min="13317" max="13317" width="12" style="65" customWidth="1"/>
    <col min="13318" max="13318" width="9.140625" style="65" hidden="1" customWidth="1"/>
    <col min="13319" max="13320" width="8.140625" style="65" customWidth="1"/>
    <col min="13321" max="13322" width="8.7109375" style="65" customWidth="1"/>
    <col min="13323" max="13323" width="1.5703125" style="65" customWidth="1"/>
    <col min="13324" max="13324" width="7.5703125" style="65" customWidth="1"/>
    <col min="13325" max="13325" width="5.7109375" style="65" customWidth="1"/>
    <col min="13326" max="13327" width="9.140625" style="65" hidden="1"/>
    <col min="13328" max="13328" width="5.85546875" style="65" customWidth="1"/>
    <col min="13329" max="13329" width="6" style="65" customWidth="1"/>
    <col min="13330" max="13330" width="6.28515625" style="65" customWidth="1"/>
    <col min="13331" max="13331" width="5.85546875" style="65" customWidth="1"/>
    <col min="13332" max="13332" width="6.42578125" style="65" customWidth="1"/>
    <col min="13333" max="13333" width="6.7109375" style="65" customWidth="1"/>
    <col min="13334" max="13334" width="6" style="65" customWidth="1"/>
    <col min="13335" max="13336" width="9.140625" style="65" hidden="1"/>
    <col min="13337" max="13337" width="3.140625" style="65" customWidth="1"/>
    <col min="13338" max="13562" width="9.140625" style="65" hidden="1"/>
    <col min="13563" max="13563" width="12" style="65" customWidth="1"/>
    <col min="13564" max="13564" width="11.42578125" style="65" customWidth="1"/>
    <col min="13565" max="13565" width="22.42578125" style="65" customWidth="1"/>
    <col min="13566" max="13566" width="22.28515625" style="65" customWidth="1"/>
    <col min="13567" max="13567" width="9.42578125" style="65" customWidth="1"/>
    <col min="13568" max="13570" width="9.140625" style="65" hidden="1" customWidth="1"/>
    <col min="13571" max="13571" width="14.140625" style="65" customWidth="1"/>
    <col min="13572" max="13572" width="9.140625" style="65" hidden="1" customWidth="1"/>
    <col min="13573" max="13573" width="12" style="65" customWidth="1"/>
    <col min="13574" max="13574" width="9.140625" style="65" hidden="1" customWidth="1"/>
    <col min="13575" max="13576" width="8.140625" style="65" customWidth="1"/>
    <col min="13577" max="13578" width="8.7109375" style="65" customWidth="1"/>
    <col min="13579" max="13579" width="1.5703125" style="65" customWidth="1"/>
    <col min="13580" max="13580" width="7.5703125" style="65" customWidth="1"/>
    <col min="13581" max="13581" width="5.7109375" style="65" customWidth="1"/>
    <col min="13582" max="13583" width="9.140625" style="65" hidden="1"/>
    <col min="13584" max="13584" width="5.85546875" style="65" customWidth="1"/>
    <col min="13585" max="13585" width="6" style="65" customWidth="1"/>
    <col min="13586" max="13586" width="6.28515625" style="65" customWidth="1"/>
    <col min="13587" max="13587" width="5.85546875" style="65" customWidth="1"/>
    <col min="13588" max="13588" width="6.42578125" style="65" customWidth="1"/>
    <col min="13589" max="13589" width="6.7109375" style="65" customWidth="1"/>
    <col min="13590" max="13590" width="6" style="65" customWidth="1"/>
    <col min="13591" max="13592" width="9.140625" style="65" hidden="1"/>
    <col min="13593" max="13593" width="3.140625" style="65" customWidth="1"/>
    <col min="13594" max="13818" width="9.140625" style="65" hidden="1"/>
    <col min="13819" max="13819" width="12" style="65" customWidth="1"/>
    <col min="13820" max="13820" width="11.42578125" style="65" customWidth="1"/>
    <col min="13821" max="13821" width="22.42578125" style="65" customWidth="1"/>
    <col min="13822" max="13822" width="22.28515625" style="65" customWidth="1"/>
    <col min="13823" max="13823" width="9.42578125" style="65" customWidth="1"/>
    <col min="13824" max="13826" width="9.140625" style="65" hidden="1" customWidth="1"/>
    <col min="13827" max="13827" width="14.140625" style="65" customWidth="1"/>
    <col min="13828" max="13828" width="9.140625" style="65" hidden="1" customWidth="1"/>
    <col min="13829" max="13829" width="12" style="65" customWidth="1"/>
    <col min="13830" max="13830" width="9.140625" style="65" hidden="1" customWidth="1"/>
    <col min="13831" max="13832" width="8.140625" style="65" customWidth="1"/>
    <col min="13833" max="13834" width="8.7109375" style="65" customWidth="1"/>
    <col min="13835" max="13835" width="1.5703125" style="65" customWidth="1"/>
    <col min="13836" max="13836" width="7.5703125" style="65" customWidth="1"/>
    <col min="13837" max="13837" width="5.7109375" style="65" customWidth="1"/>
    <col min="13838" max="13839" width="9.140625" style="65" hidden="1"/>
    <col min="13840" max="13840" width="5.85546875" style="65" customWidth="1"/>
    <col min="13841" max="13841" width="6" style="65" customWidth="1"/>
    <col min="13842" max="13842" width="6.28515625" style="65" customWidth="1"/>
    <col min="13843" max="13843" width="5.85546875" style="65" customWidth="1"/>
    <col min="13844" max="13844" width="6.42578125" style="65" customWidth="1"/>
    <col min="13845" max="13845" width="6.7109375" style="65" customWidth="1"/>
    <col min="13846" max="13846" width="6" style="65" customWidth="1"/>
    <col min="13847" max="13848" width="9.140625" style="65" hidden="1"/>
    <col min="13849" max="13849" width="3.140625" style="65" customWidth="1"/>
    <col min="13850" max="14074" width="9.140625" style="65" hidden="1"/>
    <col min="14075" max="14075" width="12" style="65" customWidth="1"/>
    <col min="14076" max="14076" width="11.42578125" style="65" customWidth="1"/>
    <col min="14077" max="14077" width="22.42578125" style="65" customWidth="1"/>
    <col min="14078" max="14078" width="22.28515625" style="65" customWidth="1"/>
    <col min="14079" max="14079" width="9.42578125" style="65" customWidth="1"/>
    <col min="14080" max="14082" width="9.140625" style="65" hidden="1" customWidth="1"/>
    <col min="14083" max="14083" width="14.140625" style="65" customWidth="1"/>
    <col min="14084" max="14084" width="9.140625" style="65" hidden="1" customWidth="1"/>
    <col min="14085" max="14085" width="12" style="65" customWidth="1"/>
    <col min="14086" max="14086" width="9.140625" style="65" hidden="1" customWidth="1"/>
    <col min="14087" max="14088" width="8.140625" style="65" customWidth="1"/>
    <col min="14089" max="14090" width="8.7109375" style="65" customWidth="1"/>
    <col min="14091" max="14091" width="1.5703125" style="65" customWidth="1"/>
    <col min="14092" max="14092" width="7.5703125" style="65" customWidth="1"/>
    <col min="14093" max="14093" width="5.7109375" style="65" customWidth="1"/>
    <col min="14094" max="14095" width="9.140625" style="65" hidden="1"/>
    <col min="14096" max="14096" width="5.85546875" style="65" customWidth="1"/>
    <col min="14097" max="14097" width="6" style="65" customWidth="1"/>
    <col min="14098" max="14098" width="6.28515625" style="65" customWidth="1"/>
    <col min="14099" max="14099" width="5.85546875" style="65" customWidth="1"/>
    <col min="14100" max="14100" width="6.42578125" style="65" customWidth="1"/>
    <col min="14101" max="14101" width="6.7109375" style="65" customWidth="1"/>
    <col min="14102" max="14102" width="6" style="65" customWidth="1"/>
    <col min="14103" max="14104" width="9.140625" style="65" hidden="1"/>
    <col min="14105" max="14105" width="3.140625" style="65" customWidth="1"/>
    <col min="14106" max="14330" width="9.140625" style="65" hidden="1"/>
    <col min="14331" max="14331" width="12" style="65" customWidth="1"/>
    <col min="14332" max="14332" width="11.42578125" style="65" customWidth="1"/>
    <col min="14333" max="14333" width="22.42578125" style="65" customWidth="1"/>
    <col min="14334" max="14334" width="22.28515625" style="65" customWidth="1"/>
    <col min="14335" max="14335" width="9.42578125" style="65" customWidth="1"/>
    <col min="14336" max="14338" width="9.140625" style="65" hidden="1" customWidth="1"/>
    <col min="14339" max="14339" width="14.140625" style="65" customWidth="1"/>
    <col min="14340" max="14340" width="9.140625" style="65" hidden="1" customWidth="1"/>
    <col min="14341" max="14341" width="12" style="65" customWidth="1"/>
    <col min="14342" max="14342" width="9.140625" style="65" hidden="1" customWidth="1"/>
    <col min="14343" max="14344" width="8.140625" style="65" customWidth="1"/>
    <col min="14345" max="14346" width="8.7109375" style="65" customWidth="1"/>
    <col min="14347" max="14347" width="1.5703125" style="65" customWidth="1"/>
    <col min="14348" max="14348" width="7.5703125" style="65" customWidth="1"/>
    <col min="14349" max="14349" width="5.7109375" style="65" customWidth="1"/>
    <col min="14350" max="14351" width="9.140625" style="65" hidden="1"/>
    <col min="14352" max="14352" width="5.85546875" style="65" customWidth="1"/>
    <col min="14353" max="14353" width="6" style="65" customWidth="1"/>
    <col min="14354" max="14354" width="6.28515625" style="65" customWidth="1"/>
    <col min="14355" max="14355" width="5.85546875" style="65" customWidth="1"/>
    <col min="14356" max="14356" width="6.42578125" style="65" customWidth="1"/>
    <col min="14357" max="14357" width="6.7109375" style="65" customWidth="1"/>
    <col min="14358" max="14358" width="6" style="65" customWidth="1"/>
    <col min="14359" max="14360" width="9.140625" style="65" hidden="1"/>
    <col min="14361" max="14361" width="3.140625" style="65" customWidth="1"/>
    <col min="14362" max="14586" width="9.140625" style="65" hidden="1"/>
    <col min="14587" max="14587" width="12" style="65" customWidth="1"/>
    <col min="14588" max="14588" width="11.42578125" style="65" customWidth="1"/>
    <col min="14589" max="14589" width="22.42578125" style="65" customWidth="1"/>
    <col min="14590" max="14590" width="22.28515625" style="65" customWidth="1"/>
    <col min="14591" max="14591" width="9.42578125" style="65" customWidth="1"/>
    <col min="14592" max="14594" width="9.140625" style="65" hidden="1" customWidth="1"/>
    <col min="14595" max="14595" width="14.140625" style="65" customWidth="1"/>
    <col min="14596" max="14596" width="9.140625" style="65" hidden="1" customWidth="1"/>
    <col min="14597" max="14597" width="12" style="65" customWidth="1"/>
    <col min="14598" max="14598" width="9.140625" style="65" hidden="1" customWidth="1"/>
    <col min="14599" max="14600" width="8.140625" style="65" customWidth="1"/>
    <col min="14601" max="14602" width="8.7109375" style="65" customWidth="1"/>
    <col min="14603" max="14603" width="1.5703125" style="65" customWidth="1"/>
    <col min="14604" max="14604" width="7.5703125" style="65" customWidth="1"/>
    <col min="14605" max="14605" width="5.7109375" style="65" customWidth="1"/>
    <col min="14606" max="14607" width="9.140625" style="65" hidden="1"/>
    <col min="14608" max="14608" width="5.85546875" style="65" customWidth="1"/>
    <col min="14609" max="14609" width="6" style="65" customWidth="1"/>
    <col min="14610" max="14610" width="6.28515625" style="65" customWidth="1"/>
    <col min="14611" max="14611" width="5.85546875" style="65" customWidth="1"/>
    <col min="14612" max="14612" width="6.42578125" style="65" customWidth="1"/>
    <col min="14613" max="14613" width="6.7109375" style="65" customWidth="1"/>
    <col min="14614" max="14614" width="6" style="65" customWidth="1"/>
    <col min="14615" max="14616" width="9.140625" style="65" hidden="1"/>
    <col min="14617" max="14617" width="3.140625" style="65" customWidth="1"/>
    <col min="14618" max="14842" width="9.140625" style="65" hidden="1"/>
    <col min="14843" max="14843" width="12" style="65" customWidth="1"/>
    <col min="14844" max="14844" width="11.42578125" style="65" customWidth="1"/>
    <col min="14845" max="14845" width="22.42578125" style="65" customWidth="1"/>
    <col min="14846" max="14846" width="22.28515625" style="65" customWidth="1"/>
    <col min="14847" max="14847" width="9.42578125" style="65" customWidth="1"/>
    <col min="14848" max="14850" width="9.140625" style="65" hidden="1" customWidth="1"/>
    <col min="14851" max="14851" width="14.140625" style="65" customWidth="1"/>
    <col min="14852" max="14852" width="9.140625" style="65" hidden="1" customWidth="1"/>
    <col min="14853" max="14853" width="12" style="65" customWidth="1"/>
    <col min="14854" max="14854" width="9.140625" style="65" hidden="1" customWidth="1"/>
    <col min="14855" max="14856" width="8.140625" style="65" customWidth="1"/>
    <col min="14857" max="14858" width="8.7109375" style="65" customWidth="1"/>
    <col min="14859" max="14859" width="1.5703125" style="65" customWidth="1"/>
    <col min="14860" max="14860" width="7.5703125" style="65" customWidth="1"/>
    <col min="14861" max="14861" width="5.7109375" style="65" customWidth="1"/>
    <col min="14862" max="14863" width="9.140625" style="65" hidden="1"/>
    <col min="14864" max="14864" width="5.85546875" style="65" customWidth="1"/>
    <col min="14865" max="14865" width="6" style="65" customWidth="1"/>
    <col min="14866" max="14866" width="6.28515625" style="65" customWidth="1"/>
    <col min="14867" max="14867" width="5.85546875" style="65" customWidth="1"/>
    <col min="14868" max="14868" width="6.42578125" style="65" customWidth="1"/>
    <col min="14869" max="14869" width="6.7109375" style="65" customWidth="1"/>
    <col min="14870" max="14870" width="6" style="65" customWidth="1"/>
    <col min="14871" max="14872" width="9.140625" style="65" hidden="1"/>
    <col min="14873" max="14873" width="3.140625" style="65" customWidth="1"/>
    <col min="14874" max="15098" width="9.140625" style="65" hidden="1"/>
    <col min="15099" max="15099" width="12" style="65" customWidth="1"/>
    <col min="15100" max="15100" width="11.42578125" style="65" customWidth="1"/>
    <col min="15101" max="15101" width="22.42578125" style="65" customWidth="1"/>
    <col min="15102" max="15102" width="22.28515625" style="65" customWidth="1"/>
    <col min="15103" max="15103" width="9.42578125" style="65" customWidth="1"/>
    <col min="15104" max="15106" width="9.140625" style="65" hidden="1" customWidth="1"/>
    <col min="15107" max="15107" width="14.140625" style="65" customWidth="1"/>
    <col min="15108" max="15108" width="9.140625" style="65" hidden="1" customWidth="1"/>
    <col min="15109" max="15109" width="12" style="65" customWidth="1"/>
    <col min="15110" max="15110" width="9.140625" style="65" hidden="1" customWidth="1"/>
    <col min="15111" max="15112" width="8.140625" style="65" customWidth="1"/>
    <col min="15113" max="15114" width="8.7109375" style="65" customWidth="1"/>
    <col min="15115" max="15115" width="1.5703125" style="65" customWidth="1"/>
    <col min="15116" max="15116" width="7.5703125" style="65" customWidth="1"/>
    <col min="15117" max="15117" width="5.7109375" style="65" customWidth="1"/>
    <col min="15118" max="15119" width="9.140625" style="65" hidden="1"/>
    <col min="15120" max="15120" width="5.85546875" style="65" customWidth="1"/>
    <col min="15121" max="15121" width="6" style="65" customWidth="1"/>
    <col min="15122" max="15122" width="6.28515625" style="65" customWidth="1"/>
    <col min="15123" max="15123" width="5.85546875" style="65" customWidth="1"/>
    <col min="15124" max="15124" width="6.42578125" style="65" customWidth="1"/>
    <col min="15125" max="15125" width="6.7109375" style="65" customWidth="1"/>
    <col min="15126" max="15126" width="6" style="65" customWidth="1"/>
    <col min="15127" max="15128" width="9.140625" style="65" hidden="1"/>
    <col min="15129" max="15129" width="3.140625" style="65" customWidth="1"/>
    <col min="15130" max="15354" width="9.140625" style="65" hidden="1"/>
    <col min="15355" max="15355" width="12" style="65" customWidth="1"/>
    <col min="15356" max="15356" width="11.42578125" style="65" customWidth="1"/>
    <col min="15357" max="15357" width="22.42578125" style="65" customWidth="1"/>
    <col min="15358" max="15358" width="22.28515625" style="65" customWidth="1"/>
    <col min="15359" max="15359" width="9.42578125" style="65" customWidth="1"/>
    <col min="15360" max="15362" width="9.140625" style="65" hidden="1" customWidth="1"/>
    <col min="15363" max="15363" width="14.140625" style="65" customWidth="1"/>
    <col min="15364" max="15364" width="9.140625" style="65" hidden="1" customWidth="1"/>
    <col min="15365" max="15365" width="12" style="65" customWidth="1"/>
    <col min="15366" max="15366" width="9.140625" style="65" hidden="1" customWidth="1"/>
    <col min="15367" max="15368" width="8.140625" style="65" customWidth="1"/>
    <col min="15369" max="15370" width="8.7109375" style="65" customWidth="1"/>
    <col min="15371" max="15371" width="1.5703125" style="65" customWidth="1"/>
    <col min="15372" max="15372" width="7.5703125" style="65" customWidth="1"/>
    <col min="15373" max="15373" width="5.7109375" style="65" customWidth="1"/>
    <col min="15374" max="15375" width="9.140625" style="65" hidden="1"/>
    <col min="15376" max="15376" width="5.85546875" style="65" customWidth="1"/>
    <col min="15377" max="15377" width="6" style="65" customWidth="1"/>
    <col min="15378" max="15378" width="6.28515625" style="65" customWidth="1"/>
    <col min="15379" max="15379" width="5.85546875" style="65" customWidth="1"/>
    <col min="15380" max="15380" width="6.42578125" style="65" customWidth="1"/>
    <col min="15381" max="15381" width="6.7109375" style="65" customWidth="1"/>
    <col min="15382" max="15382" width="6" style="65" customWidth="1"/>
    <col min="15383" max="15384" width="9.140625" style="65" hidden="1"/>
    <col min="15385" max="15385" width="3.140625" style="65" customWidth="1"/>
    <col min="15386" max="15610" width="9.140625" style="65" hidden="1"/>
    <col min="15611" max="15611" width="12" style="65" customWidth="1"/>
    <col min="15612" max="15612" width="11.42578125" style="65" customWidth="1"/>
    <col min="15613" max="15613" width="22.42578125" style="65" customWidth="1"/>
    <col min="15614" max="15614" width="22.28515625" style="65" customWidth="1"/>
    <col min="15615" max="15615" width="9.42578125" style="65" customWidth="1"/>
    <col min="15616" max="15618" width="9.140625" style="65" hidden="1" customWidth="1"/>
    <col min="15619" max="15619" width="14.140625" style="65" customWidth="1"/>
    <col min="15620" max="15620" width="9.140625" style="65" hidden="1" customWidth="1"/>
    <col min="15621" max="15621" width="12" style="65" customWidth="1"/>
    <col min="15622" max="15622" width="9.140625" style="65" hidden="1" customWidth="1"/>
    <col min="15623" max="15624" width="8.140625" style="65" customWidth="1"/>
    <col min="15625" max="15626" width="8.7109375" style="65" customWidth="1"/>
    <col min="15627" max="15627" width="1.5703125" style="65" customWidth="1"/>
    <col min="15628" max="15628" width="7.5703125" style="65" customWidth="1"/>
    <col min="15629" max="15629" width="5.7109375" style="65" customWidth="1"/>
    <col min="15630" max="15631" width="9.140625" style="65" hidden="1"/>
    <col min="15632" max="15632" width="5.85546875" style="65" customWidth="1"/>
    <col min="15633" max="15633" width="6" style="65" customWidth="1"/>
    <col min="15634" max="15634" width="6.28515625" style="65" customWidth="1"/>
    <col min="15635" max="15635" width="5.85546875" style="65" customWidth="1"/>
    <col min="15636" max="15636" width="6.42578125" style="65" customWidth="1"/>
    <col min="15637" max="15637" width="6.7109375" style="65" customWidth="1"/>
    <col min="15638" max="15638" width="6" style="65" customWidth="1"/>
    <col min="15639" max="15640" width="9.140625" style="65" hidden="1"/>
    <col min="15641" max="15641" width="3.140625" style="65" customWidth="1"/>
    <col min="15642" max="15866" width="9.140625" style="65" hidden="1"/>
    <col min="15867" max="15867" width="12" style="65" customWidth="1"/>
    <col min="15868" max="15868" width="11.42578125" style="65" customWidth="1"/>
    <col min="15869" max="15869" width="22.42578125" style="65" customWidth="1"/>
    <col min="15870" max="15870" width="22.28515625" style="65" customWidth="1"/>
    <col min="15871" max="15871" width="9.42578125" style="65" customWidth="1"/>
    <col min="15872" max="15874" width="9.140625" style="65" hidden="1" customWidth="1"/>
    <col min="15875" max="15875" width="14.140625" style="65" customWidth="1"/>
    <col min="15876" max="15876" width="9.140625" style="65" hidden="1" customWidth="1"/>
    <col min="15877" max="15877" width="12" style="65" customWidth="1"/>
    <col min="15878" max="15878" width="9.140625" style="65" hidden="1" customWidth="1"/>
    <col min="15879" max="15880" width="8.140625" style="65" customWidth="1"/>
    <col min="15881" max="15882" width="8.7109375" style="65" customWidth="1"/>
    <col min="15883" max="15883" width="1.5703125" style="65" customWidth="1"/>
    <col min="15884" max="15884" width="7.5703125" style="65" customWidth="1"/>
    <col min="15885" max="15885" width="5.7109375" style="65" customWidth="1"/>
    <col min="15886" max="15887" width="9.140625" style="65" hidden="1"/>
    <col min="15888" max="15888" width="5.85546875" style="65" customWidth="1"/>
    <col min="15889" max="15889" width="6" style="65" customWidth="1"/>
    <col min="15890" max="15890" width="6.28515625" style="65" customWidth="1"/>
    <col min="15891" max="15891" width="5.85546875" style="65" customWidth="1"/>
    <col min="15892" max="15892" width="6.42578125" style="65" customWidth="1"/>
    <col min="15893" max="15893" width="6.7109375" style="65" customWidth="1"/>
    <col min="15894" max="15894" width="6" style="65" customWidth="1"/>
    <col min="15895" max="15896" width="9.140625" style="65" hidden="1"/>
    <col min="15897" max="15897" width="3.140625" style="65" customWidth="1"/>
    <col min="15898" max="16122" width="9.140625" style="65" hidden="1"/>
    <col min="16123" max="16123" width="12" style="65" customWidth="1"/>
    <col min="16124" max="16124" width="11.42578125" style="65" customWidth="1"/>
    <col min="16125" max="16125" width="22.42578125" style="65" customWidth="1"/>
    <col min="16126" max="16126" width="22.28515625" style="65" customWidth="1"/>
    <col min="16127" max="16127" width="9.42578125" style="65" customWidth="1"/>
    <col min="16128" max="16130" width="9.140625" style="65" hidden="1" customWidth="1"/>
    <col min="16131" max="16131" width="14.140625" style="65" customWidth="1"/>
    <col min="16132" max="16132" width="9.140625" style="65" hidden="1" customWidth="1"/>
    <col min="16133" max="16133" width="12" style="65" customWidth="1"/>
    <col min="16134" max="16134" width="9.140625" style="65" hidden="1" customWidth="1"/>
    <col min="16135" max="16136" width="8.140625" style="65" customWidth="1"/>
    <col min="16137" max="16138" width="8.7109375" style="65" customWidth="1"/>
    <col min="16139" max="16139" width="1.5703125" style="65" customWidth="1"/>
    <col min="16140" max="16140" width="7.5703125" style="65" customWidth="1"/>
    <col min="16141" max="16141" width="5.7109375" style="65" customWidth="1"/>
    <col min="16142" max="16143" width="9.140625" style="65" hidden="1"/>
    <col min="16144" max="16144" width="5.85546875" style="65" customWidth="1"/>
    <col min="16145" max="16145" width="6" style="65" customWidth="1"/>
    <col min="16146" max="16146" width="6.28515625" style="65" customWidth="1"/>
    <col min="16147" max="16147" width="5.85546875" style="65" customWidth="1"/>
    <col min="16148" max="16148" width="6.42578125" style="65" customWidth="1"/>
    <col min="16149" max="16149" width="6.7109375" style="65" customWidth="1"/>
    <col min="16150" max="16150" width="6" style="65" customWidth="1"/>
    <col min="16151" max="16152" width="9.140625" style="65" hidden="1"/>
    <col min="16153" max="16153" width="3.140625" style="65" customWidth="1"/>
    <col min="16154" max="16384" width="9.140625" style="65" hidden="1"/>
  </cols>
  <sheetData>
    <row r="1" spans="1:29" s="9" customFormat="1" ht="24.75" customHeight="1" x14ac:dyDescent="0.2">
      <c r="A1" s="1" t="s">
        <v>0</v>
      </c>
      <c r="B1" s="2"/>
      <c r="C1" s="3"/>
      <c r="D1" s="135"/>
      <c r="E1" s="135"/>
      <c r="F1" s="135"/>
      <c r="G1" s="4"/>
      <c r="H1" s="4"/>
      <c r="I1" s="4"/>
      <c r="J1" s="4"/>
      <c r="K1" s="5"/>
      <c r="L1" s="6" t="s">
        <v>1</v>
      </c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</row>
    <row r="2" spans="1:29" s="9" customFormat="1" x14ac:dyDescent="0.2">
      <c r="A2" s="10" t="s">
        <v>2</v>
      </c>
      <c r="B2" s="2"/>
      <c r="C2" s="7"/>
      <c r="D2" s="4"/>
      <c r="E2" s="4"/>
      <c r="F2" s="4"/>
      <c r="G2" s="4"/>
      <c r="H2" s="4"/>
      <c r="I2" s="11"/>
      <c r="J2" s="11"/>
      <c r="K2" s="5"/>
      <c r="L2" s="6" t="s">
        <v>3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</row>
    <row r="3" spans="1:29" s="9" customFormat="1" x14ac:dyDescent="0.2">
      <c r="A3" s="7"/>
      <c r="B3" s="2"/>
      <c r="C3" s="12"/>
      <c r="D3" s="4"/>
      <c r="E3" s="4"/>
      <c r="F3" s="4"/>
      <c r="G3" s="4"/>
      <c r="H3" s="4"/>
      <c r="I3" s="4"/>
      <c r="J3" s="4"/>
      <c r="K3" s="5"/>
      <c r="L3" s="13" t="s">
        <v>4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7"/>
      <c r="Z3" s="8"/>
    </row>
    <row r="4" spans="1:29" s="9" customFormat="1" ht="15.75" x14ac:dyDescent="0.25">
      <c r="A4" s="14" t="s">
        <v>5</v>
      </c>
      <c r="B4" s="2"/>
      <c r="C4" s="15"/>
      <c r="D4" s="16"/>
      <c r="E4" s="17" t="s">
        <v>6</v>
      </c>
      <c r="F4" s="4"/>
      <c r="G4" s="4"/>
      <c r="H4" s="4"/>
      <c r="I4" s="4"/>
      <c r="J4" s="4"/>
      <c r="K4" s="5"/>
      <c r="L4" s="18"/>
      <c r="M4" s="19"/>
      <c r="N4" s="19"/>
      <c r="O4" s="19"/>
      <c r="P4" s="7"/>
      <c r="Q4" s="20"/>
      <c r="R4" s="20"/>
      <c r="S4" s="20"/>
      <c r="T4" s="20"/>
      <c r="U4" s="20"/>
      <c r="V4" s="20"/>
      <c r="W4" s="20"/>
      <c r="X4" s="20"/>
      <c r="Y4" s="7"/>
      <c r="Z4" s="8"/>
    </row>
    <row r="5" spans="1:29" s="9" customFormat="1" ht="5.45" customHeight="1" x14ac:dyDescent="0.25">
      <c r="A5" s="14"/>
      <c r="B5" s="2"/>
      <c r="C5" s="15"/>
      <c r="D5" s="10"/>
      <c r="E5" s="4"/>
      <c r="F5" s="4"/>
      <c r="G5" s="4"/>
      <c r="H5" s="4"/>
      <c r="I5" s="4"/>
      <c r="J5" s="4"/>
      <c r="K5" s="5"/>
      <c r="L5" s="19"/>
      <c r="M5" s="19"/>
      <c r="N5" s="19"/>
      <c r="O5" s="19"/>
      <c r="P5" s="7"/>
      <c r="Q5" s="20"/>
      <c r="R5" s="20"/>
      <c r="S5" s="20"/>
      <c r="T5" s="20"/>
      <c r="U5" s="20"/>
      <c r="V5" s="20"/>
      <c r="W5" s="20"/>
      <c r="X5" s="20"/>
      <c r="Y5" s="7"/>
      <c r="Z5" s="8"/>
    </row>
    <row r="6" spans="1:29" s="9" customFormat="1" ht="16.5" thickBot="1" x14ac:dyDescent="0.3">
      <c r="A6" s="14" t="s">
        <v>7</v>
      </c>
      <c r="B6" s="21"/>
      <c r="C6" s="22"/>
      <c r="D6" s="4"/>
      <c r="E6" s="4"/>
      <c r="F6" s="23"/>
      <c r="G6" s="24"/>
      <c r="H6" s="24"/>
      <c r="I6" s="4"/>
      <c r="J6" s="4"/>
      <c r="K6" s="5"/>
      <c r="L6" s="25">
        <f>SUM(L10:L890)</f>
        <v>9262</v>
      </c>
      <c r="M6" s="26"/>
      <c r="N6" s="26"/>
      <c r="O6" s="26"/>
      <c r="P6" s="7"/>
      <c r="Q6" s="19"/>
      <c r="R6" s="19"/>
      <c r="S6" s="19"/>
      <c r="T6" s="19"/>
      <c r="U6" s="19"/>
      <c r="V6" s="19"/>
      <c r="W6" s="19"/>
      <c r="X6" s="19"/>
      <c r="Y6" s="7"/>
      <c r="Z6" s="8"/>
    </row>
    <row r="7" spans="1:29" s="9" customFormat="1" ht="12" customHeight="1" x14ac:dyDescent="0.2">
      <c r="A7" s="7"/>
      <c r="B7" s="21"/>
      <c r="C7" s="22"/>
      <c r="D7" s="22"/>
      <c r="E7" s="22"/>
      <c r="F7" s="22"/>
      <c r="G7" s="22"/>
      <c r="H7" s="22"/>
      <c r="I7" s="22"/>
      <c r="J7" s="22"/>
      <c r="K7" s="27"/>
      <c r="L7" s="28">
        <f>SUM(L10:L1305)</f>
        <v>11536</v>
      </c>
      <c r="M7" s="29">
        <f>SUM(M10:M1305)</f>
        <v>445</v>
      </c>
      <c r="N7" s="29"/>
      <c r="O7" s="29"/>
      <c r="P7" s="29">
        <f t="shared" ref="P7:V7" si="0">SUM(P10:P1305)</f>
        <v>280</v>
      </c>
      <c r="Q7" s="29">
        <f t="shared" si="0"/>
        <v>2559</v>
      </c>
      <c r="R7" s="29">
        <f t="shared" si="0"/>
        <v>2532</v>
      </c>
      <c r="S7" s="29">
        <f t="shared" si="0"/>
        <v>2345</v>
      </c>
      <c r="T7" s="29">
        <f t="shared" si="0"/>
        <v>1834</v>
      </c>
      <c r="U7" s="29">
        <f t="shared" si="0"/>
        <v>1266</v>
      </c>
      <c r="V7" s="29">
        <f t="shared" si="0"/>
        <v>275</v>
      </c>
      <c r="W7" s="29"/>
      <c r="X7" s="29"/>
      <c r="Y7" s="7"/>
      <c r="Z7" s="8"/>
    </row>
    <row r="8" spans="1:29" s="9" customFormat="1" x14ac:dyDescent="0.2">
      <c r="A8" s="30" t="s">
        <v>8</v>
      </c>
      <c r="B8" s="21"/>
      <c r="C8" s="22"/>
      <c r="D8" s="22"/>
      <c r="E8" s="22"/>
      <c r="F8" s="22"/>
      <c r="G8" s="31"/>
      <c r="H8" s="31"/>
      <c r="I8" s="22"/>
      <c r="J8" s="32"/>
      <c r="K8" s="33"/>
      <c r="L8" s="136"/>
      <c r="M8" s="137"/>
      <c r="N8" s="137"/>
      <c r="O8" s="137"/>
      <c r="P8" s="137"/>
      <c r="Q8" s="137"/>
      <c r="R8" s="137"/>
      <c r="S8" s="137"/>
      <c r="T8" s="137"/>
      <c r="U8" s="137"/>
      <c r="V8" s="34"/>
      <c r="W8" s="35"/>
      <c r="X8" s="36"/>
      <c r="Y8" s="7"/>
      <c r="Z8" s="36"/>
      <c r="AA8" s="36">
        <v>33</v>
      </c>
      <c r="AB8" s="36">
        <v>34</v>
      </c>
      <c r="AC8" s="36">
        <v>35</v>
      </c>
    </row>
    <row r="9" spans="1:29" s="49" customFormat="1" ht="26.25" customHeight="1" x14ac:dyDescent="0.2">
      <c r="A9" s="37" t="s">
        <v>9</v>
      </c>
      <c r="B9" s="38" t="s">
        <v>10</v>
      </c>
      <c r="C9" s="38" t="s">
        <v>11</v>
      </c>
      <c r="D9" s="39" t="s">
        <v>12</v>
      </c>
      <c r="E9" s="39" t="s">
        <v>13</v>
      </c>
      <c r="F9" s="39" t="s">
        <v>14</v>
      </c>
      <c r="G9" s="40" t="s">
        <v>15</v>
      </c>
      <c r="H9" s="39" t="s">
        <v>16</v>
      </c>
      <c r="I9" s="39" t="s">
        <v>17</v>
      </c>
      <c r="J9" s="40" t="s">
        <v>18</v>
      </c>
      <c r="K9" s="41"/>
      <c r="L9" s="42" t="s">
        <v>19</v>
      </c>
      <c r="M9" s="43" t="s">
        <v>20</v>
      </c>
      <c r="N9" s="37"/>
      <c r="O9" s="37"/>
      <c r="P9" s="44" t="s">
        <v>21</v>
      </c>
      <c r="Q9" s="44" t="s">
        <v>22</v>
      </c>
      <c r="R9" s="44" t="s">
        <v>23</v>
      </c>
      <c r="S9" s="44" t="s">
        <v>24</v>
      </c>
      <c r="T9" s="44" t="s">
        <v>25</v>
      </c>
      <c r="U9" s="45" t="s">
        <v>26</v>
      </c>
      <c r="V9" s="45" t="s">
        <v>27</v>
      </c>
      <c r="W9" s="46"/>
      <c r="X9" s="46"/>
      <c r="Y9" s="24"/>
      <c r="Z9" s="47"/>
      <c r="AA9" s="47" t="s">
        <v>28</v>
      </c>
      <c r="AB9" s="47" t="s">
        <v>29</v>
      </c>
      <c r="AC9" s="48" t="s">
        <v>30</v>
      </c>
    </row>
    <row r="10" spans="1:29" ht="60" customHeight="1" x14ac:dyDescent="0.2">
      <c r="A10" s="50" t="s">
        <v>31</v>
      </c>
      <c r="B10" s="51"/>
      <c r="C10" s="52" t="s">
        <v>32</v>
      </c>
      <c r="D10" s="53" t="s">
        <v>33</v>
      </c>
      <c r="E10" s="54" t="s">
        <v>34</v>
      </c>
      <c r="F10" s="55" t="s">
        <v>35</v>
      </c>
      <c r="G10" s="56" t="s">
        <v>36</v>
      </c>
      <c r="H10" s="57" t="s">
        <v>37</v>
      </c>
      <c r="I10" s="55" t="s">
        <v>38</v>
      </c>
      <c r="J10" s="57" t="e">
        <f>ROUND(#REF!*2.4,-1)</f>
        <v>#REF!</v>
      </c>
      <c r="K10" s="58"/>
      <c r="L10" s="59">
        <f>70-5</f>
        <v>65</v>
      </c>
      <c r="M10" s="60"/>
      <c r="N10" s="61"/>
      <c r="O10" s="61"/>
      <c r="P10" s="62"/>
      <c r="Q10" s="62">
        <f>17-1</f>
        <v>16</v>
      </c>
      <c r="R10" s="62">
        <f>18-1</f>
        <v>17</v>
      </c>
      <c r="S10" s="62">
        <f>16-1</f>
        <v>15</v>
      </c>
      <c r="T10" s="62">
        <f>13-1</f>
        <v>12</v>
      </c>
      <c r="U10" s="62">
        <f>6-1</f>
        <v>5</v>
      </c>
      <c r="V10" s="62"/>
      <c r="W10" s="63"/>
      <c r="X10" s="63"/>
      <c r="Z10" s="64"/>
      <c r="AA10" s="54"/>
      <c r="AB10" s="54"/>
      <c r="AC10" s="54"/>
    </row>
    <row r="11" spans="1:29" ht="60" customHeight="1" x14ac:dyDescent="0.2">
      <c r="A11" s="50" t="s">
        <v>39</v>
      </c>
      <c r="B11" s="51"/>
      <c r="C11" s="66" t="s">
        <v>40</v>
      </c>
      <c r="D11" s="53" t="s">
        <v>33</v>
      </c>
      <c r="E11" s="54" t="s">
        <v>34</v>
      </c>
      <c r="F11" s="53" t="s">
        <v>33</v>
      </c>
      <c r="G11" s="67" t="s">
        <v>41</v>
      </c>
      <c r="H11" s="57" t="s">
        <v>37</v>
      </c>
      <c r="I11" s="55" t="s">
        <v>38</v>
      </c>
      <c r="J11" s="57" t="e">
        <f>ROUND(#REF!*2.4,-1)</f>
        <v>#REF!</v>
      </c>
      <c r="K11" s="58"/>
      <c r="L11" s="59">
        <f>344-200</f>
        <v>144</v>
      </c>
      <c r="M11" s="60"/>
      <c r="N11" s="61"/>
      <c r="O11" s="61"/>
      <c r="P11" s="62"/>
      <c r="Q11" s="62">
        <f>80-50</f>
        <v>30</v>
      </c>
      <c r="R11" s="62">
        <f>81-50</f>
        <v>31</v>
      </c>
      <c r="S11" s="62">
        <f>82-50</f>
        <v>32</v>
      </c>
      <c r="T11" s="62">
        <f>78-50</f>
        <v>28</v>
      </c>
      <c r="U11" s="62">
        <f>10+10</f>
        <v>20</v>
      </c>
      <c r="V11" s="62">
        <f>2+1</f>
        <v>3</v>
      </c>
      <c r="W11" s="63"/>
      <c r="X11" s="63"/>
      <c r="Z11" s="64"/>
      <c r="AA11" s="54"/>
      <c r="AB11" s="54"/>
      <c r="AC11" s="54"/>
    </row>
    <row r="12" spans="1:29" ht="60" customHeight="1" x14ac:dyDescent="0.2">
      <c r="A12" s="50" t="s">
        <v>42</v>
      </c>
      <c r="B12" s="51"/>
      <c r="C12" s="66" t="s">
        <v>43</v>
      </c>
      <c r="D12" s="53" t="s">
        <v>33</v>
      </c>
      <c r="E12" s="54" t="s">
        <v>34</v>
      </c>
      <c r="F12" s="53" t="s">
        <v>33</v>
      </c>
      <c r="G12" s="67" t="s">
        <v>41</v>
      </c>
      <c r="H12" s="57" t="s">
        <v>37</v>
      </c>
      <c r="I12" s="55" t="s">
        <v>38</v>
      </c>
      <c r="J12" s="57" t="e">
        <f>ROUND(#REF!*2.4,-1)</f>
        <v>#REF!</v>
      </c>
      <c r="K12" s="58"/>
      <c r="L12" s="59">
        <f>230-160</f>
        <v>70</v>
      </c>
      <c r="M12" s="60"/>
      <c r="N12" s="61"/>
      <c r="O12" s="61"/>
      <c r="P12" s="62"/>
      <c r="Q12" s="62">
        <f>55-40</f>
        <v>15</v>
      </c>
      <c r="R12" s="62">
        <f>56-40</f>
        <v>16</v>
      </c>
      <c r="S12" s="62">
        <f>55-40</f>
        <v>15</v>
      </c>
      <c r="T12" s="62">
        <f>56-40</f>
        <v>16</v>
      </c>
      <c r="U12" s="62">
        <f>7</f>
        <v>7</v>
      </c>
      <c r="V12" s="62">
        <f>1</f>
        <v>1</v>
      </c>
      <c r="W12" s="63"/>
      <c r="X12" s="63"/>
      <c r="Z12" s="64"/>
      <c r="AA12" s="54"/>
      <c r="AB12" s="54"/>
      <c r="AC12" s="54"/>
    </row>
    <row r="13" spans="1:29" ht="60" customHeight="1" x14ac:dyDescent="0.2">
      <c r="A13" s="50" t="s">
        <v>44</v>
      </c>
      <c r="B13" s="51"/>
      <c r="C13" s="66" t="s">
        <v>45</v>
      </c>
      <c r="D13" s="53" t="s">
        <v>33</v>
      </c>
      <c r="E13" s="54" t="s">
        <v>34</v>
      </c>
      <c r="F13" s="53" t="s">
        <v>33</v>
      </c>
      <c r="G13" s="67" t="s">
        <v>41</v>
      </c>
      <c r="H13" s="57" t="s">
        <v>37</v>
      </c>
      <c r="I13" s="55" t="s">
        <v>38</v>
      </c>
      <c r="J13" s="57" t="e">
        <f>ROUND(#REF!*2.4,-1)</f>
        <v>#REF!</v>
      </c>
      <c r="K13" s="58"/>
      <c r="L13" s="59">
        <f>146-110</f>
        <v>36</v>
      </c>
      <c r="M13" s="60"/>
      <c r="N13" s="61"/>
      <c r="O13" s="61"/>
      <c r="P13" s="62"/>
      <c r="Q13" s="62">
        <f>27-20</f>
        <v>7</v>
      </c>
      <c r="R13" s="62">
        <f>37-30</f>
        <v>7</v>
      </c>
      <c r="S13" s="62">
        <f>37-30</f>
        <v>7</v>
      </c>
      <c r="T13" s="62">
        <f>37-30</f>
        <v>7</v>
      </c>
      <c r="U13" s="62">
        <f>7</f>
        <v>7</v>
      </c>
      <c r="V13" s="62">
        <f>1</f>
        <v>1</v>
      </c>
      <c r="W13" s="63"/>
      <c r="X13" s="63"/>
      <c r="Z13" s="64"/>
      <c r="AA13" s="54"/>
      <c r="AB13" s="54"/>
      <c r="AC13" s="54"/>
    </row>
    <row r="14" spans="1:29" ht="60" customHeight="1" x14ac:dyDescent="0.2">
      <c r="A14" s="50" t="s">
        <v>46</v>
      </c>
      <c r="B14" s="51"/>
      <c r="C14" s="66" t="s">
        <v>47</v>
      </c>
      <c r="D14" s="57" t="s">
        <v>48</v>
      </c>
      <c r="E14" s="68" t="s">
        <v>34</v>
      </c>
      <c r="F14" s="67" t="s">
        <v>49</v>
      </c>
      <c r="G14" s="67" t="s">
        <v>50</v>
      </c>
      <c r="H14" s="57" t="s">
        <v>37</v>
      </c>
      <c r="I14" s="67" t="s">
        <v>51</v>
      </c>
      <c r="J14" s="57" t="e">
        <f>ROUND(#REF!*2.4,-1)</f>
        <v>#REF!</v>
      </c>
      <c r="K14" s="58"/>
      <c r="L14" s="59">
        <f>207-9</f>
        <v>198</v>
      </c>
      <c r="M14" s="60"/>
      <c r="N14" s="61"/>
      <c r="O14" s="61"/>
      <c r="P14" s="62"/>
      <c r="Q14" s="62">
        <f>48-2</f>
        <v>46</v>
      </c>
      <c r="R14" s="62">
        <f>28-2</f>
        <v>26</v>
      </c>
      <c r="S14" s="62">
        <f>49-2</f>
        <v>47</v>
      </c>
      <c r="T14" s="62">
        <f>44-2</f>
        <v>42</v>
      </c>
      <c r="U14" s="62">
        <f>32-1</f>
        <v>31</v>
      </c>
      <c r="V14" s="62">
        <f>6</f>
        <v>6</v>
      </c>
      <c r="W14" s="63"/>
      <c r="X14" s="63"/>
      <c r="Z14" s="64"/>
      <c r="AA14" s="54"/>
      <c r="AB14" s="54"/>
      <c r="AC14" s="54"/>
    </row>
    <row r="15" spans="1:29" ht="60" customHeight="1" x14ac:dyDescent="0.2">
      <c r="A15" s="50" t="s">
        <v>52</v>
      </c>
      <c r="B15" s="51"/>
      <c r="C15" s="66" t="s">
        <v>53</v>
      </c>
      <c r="D15" s="57" t="s">
        <v>48</v>
      </c>
      <c r="E15" s="54" t="s">
        <v>34</v>
      </c>
      <c r="F15" s="67" t="s">
        <v>49</v>
      </c>
      <c r="G15" s="67" t="s">
        <v>50</v>
      </c>
      <c r="H15" s="57" t="s">
        <v>37</v>
      </c>
      <c r="I15" s="67" t="s">
        <v>51</v>
      </c>
      <c r="J15" s="57" t="e">
        <f>ROUND(#REF!*2.4,-1)</f>
        <v>#REF!</v>
      </c>
      <c r="K15" s="58"/>
      <c r="L15" s="59">
        <f>2-1</f>
        <v>1</v>
      </c>
      <c r="M15" s="60"/>
      <c r="N15" s="61"/>
      <c r="O15" s="61"/>
      <c r="P15" s="62"/>
      <c r="Q15" s="62">
        <f>4-4</f>
        <v>0</v>
      </c>
      <c r="R15" s="62">
        <f>1-1</f>
        <v>0</v>
      </c>
      <c r="S15" s="62">
        <f>1-1</f>
        <v>0</v>
      </c>
      <c r="T15" s="62">
        <f>3-3</f>
        <v>0</v>
      </c>
      <c r="U15" s="62">
        <f>2-1</f>
        <v>1</v>
      </c>
      <c r="V15" s="62">
        <f>1-1</f>
        <v>0</v>
      </c>
      <c r="W15" s="63"/>
      <c r="X15" s="63"/>
      <c r="Z15" s="64"/>
      <c r="AA15" s="54"/>
      <c r="AB15" s="54"/>
      <c r="AC15" s="54"/>
    </row>
    <row r="16" spans="1:29" ht="60" customHeight="1" x14ac:dyDescent="0.2">
      <c r="A16" s="50" t="s">
        <v>54</v>
      </c>
      <c r="B16" s="51"/>
      <c r="C16" s="66" t="s">
        <v>55</v>
      </c>
      <c r="D16" s="57" t="s">
        <v>48</v>
      </c>
      <c r="E16" s="54" t="s">
        <v>34</v>
      </c>
      <c r="F16" s="67" t="s">
        <v>49</v>
      </c>
      <c r="G16" s="67" t="s">
        <v>50</v>
      </c>
      <c r="H16" s="57" t="s">
        <v>37</v>
      </c>
      <c r="I16" s="67" t="s">
        <v>51</v>
      </c>
      <c r="J16" s="57" t="e">
        <f>ROUND(#REF!*2.4,-1)</f>
        <v>#REF!</v>
      </c>
      <c r="K16" s="58"/>
      <c r="L16" s="59">
        <f>63-3</f>
        <v>60</v>
      </c>
      <c r="M16" s="60"/>
      <c r="N16" s="61"/>
      <c r="O16" s="61"/>
      <c r="P16" s="62"/>
      <c r="Q16" s="62">
        <f>12-1</f>
        <v>11</v>
      </c>
      <c r="R16" s="62">
        <f>15-1</f>
        <v>14</v>
      </c>
      <c r="S16" s="62">
        <f>15-1</f>
        <v>14</v>
      </c>
      <c r="T16" s="62">
        <f>12-1</f>
        <v>11</v>
      </c>
      <c r="U16" s="62">
        <f>12-4</f>
        <v>8</v>
      </c>
      <c r="V16" s="62">
        <f>3-1</f>
        <v>2</v>
      </c>
      <c r="W16" s="63"/>
      <c r="X16" s="63"/>
      <c r="Z16" s="64"/>
      <c r="AA16" s="54"/>
      <c r="AB16" s="54"/>
      <c r="AC16" s="54"/>
    </row>
    <row r="17" spans="1:29" ht="60" customHeight="1" x14ac:dyDescent="0.2">
      <c r="A17" s="50" t="s">
        <v>56</v>
      </c>
      <c r="B17" s="51"/>
      <c r="C17" s="66" t="s">
        <v>57</v>
      </c>
      <c r="D17" s="53" t="s">
        <v>58</v>
      </c>
      <c r="E17" s="54" t="s">
        <v>34</v>
      </c>
      <c r="F17" s="55" t="s">
        <v>59</v>
      </c>
      <c r="G17" s="67" t="s">
        <v>50</v>
      </c>
      <c r="H17" s="57" t="s">
        <v>60</v>
      </c>
      <c r="I17" s="55" t="s">
        <v>51</v>
      </c>
      <c r="J17" s="57" t="e">
        <f>ROUND(#REF!*2.4,-1)</f>
        <v>#REF!</v>
      </c>
      <c r="K17" s="58"/>
      <c r="L17" s="59">
        <f>58-2</f>
        <v>56</v>
      </c>
      <c r="M17" s="60"/>
      <c r="N17" s="61"/>
      <c r="O17" s="61"/>
      <c r="P17" s="62">
        <f>16-5</f>
        <v>11</v>
      </c>
      <c r="Q17" s="62">
        <f>15-1</f>
        <v>14</v>
      </c>
      <c r="R17" s="62">
        <f>17-1</f>
        <v>16</v>
      </c>
      <c r="S17" s="62">
        <f>17-5</f>
        <v>12</v>
      </c>
      <c r="T17" s="62">
        <f>7-4</f>
        <v>3</v>
      </c>
      <c r="U17" s="62"/>
      <c r="V17" s="62"/>
      <c r="W17" s="63"/>
      <c r="X17" s="63"/>
      <c r="Z17" s="64"/>
      <c r="AA17" s="54"/>
      <c r="AB17" s="54"/>
      <c r="AC17" s="54"/>
    </row>
    <row r="18" spans="1:29" ht="60" customHeight="1" x14ac:dyDescent="0.2">
      <c r="A18" s="69" t="s">
        <v>61</v>
      </c>
      <c r="B18" s="70"/>
      <c r="C18" s="66" t="s">
        <v>62</v>
      </c>
      <c r="D18" s="53" t="s">
        <v>48</v>
      </c>
      <c r="E18" s="68" t="s">
        <v>34</v>
      </c>
      <c r="F18" s="55" t="s">
        <v>49</v>
      </c>
      <c r="G18" s="67" t="s">
        <v>50</v>
      </c>
      <c r="H18" s="57" t="s">
        <v>37</v>
      </c>
      <c r="I18" s="55" t="s">
        <v>51</v>
      </c>
      <c r="J18" s="57" t="e">
        <f>ROUND(#REF!*2.4,-1)</f>
        <v>#REF!</v>
      </c>
      <c r="K18" s="58"/>
      <c r="L18" s="59">
        <f>97-16</f>
        <v>81</v>
      </c>
      <c r="M18" s="60"/>
      <c r="N18" s="61"/>
      <c r="O18" s="61"/>
      <c r="P18" s="62"/>
      <c r="Q18" s="62">
        <f>17-3</f>
        <v>14</v>
      </c>
      <c r="R18" s="62">
        <f>23-3</f>
        <v>20</v>
      </c>
      <c r="S18" s="62">
        <f>23-3</f>
        <v>20</v>
      </c>
      <c r="T18" s="62">
        <f>24-3</f>
        <v>21</v>
      </c>
      <c r="U18" s="62">
        <f>3-2</f>
        <v>1</v>
      </c>
      <c r="V18" s="62">
        <f>7-2</f>
        <v>5</v>
      </c>
      <c r="W18" s="63"/>
      <c r="X18" s="63"/>
      <c r="Z18" s="71"/>
      <c r="AA18" s="54">
        <v>1420627</v>
      </c>
      <c r="AB18" s="54">
        <v>400</v>
      </c>
      <c r="AC18" s="54"/>
    </row>
    <row r="19" spans="1:29" ht="60" customHeight="1" x14ac:dyDescent="0.2">
      <c r="A19" s="69" t="s">
        <v>63</v>
      </c>
      <c r="B19" s="70"/>
      <c r="C19" s="66" t="s">
        <v>64</v>
      </c>
      <c r="D19" s="53" t="s">
        <v>48</v>
      </c>
      <c r="E19" s="68" t="s">
        <v>34</v>
      </c>
      <c r="F19" s="55" t="s">
        <v>49</v>
      </c>
      <c r="G19" s="67" t="s">
        <v>50</v>
      </c>
      <c r="H19" s="57" t="s">
        <v>65</v>
      </c>
      <c r="I19" s="55" t="s">
        <v>51</v>
      </c>
      <c r="J19" s="57" t="e">
        <f>ROUND(#REF!*2.4,-1)</f>
        <v>#REF!</v>
      </c>
      <c r="K19" s="58"/>
      <c r="L19" s="59">
        <f>52-3</f>
        <v>49</v>
      </c>
      <c r="M19" s="60"/>
      <c r="N19" s="61"/>
      <c r="O19" s="61"/>
      <c r="P19" s="62"/>
      <c r="Q19" s="62">
        <f>14-1</f>
        <v>13</v>
      </c>
      <c r="R19" s="62">
        <f>11-1</f>
        <v>10</v>
      </c>
      <c r="S19" s="62">
        <f>13-1</f>
        <v>12</v>
      </c>
      <c r="T19" s="62">
        <f>11-1</f>
        <v>10</v>
      </c>
      <c r="U19" s="62">
        <f>5-1</f>
        <v>4</v>
      </c>
      <c r="V19" s="62"/>
      <c r="W19" s="63"/>
      <c r="X19" s="63"/>
      <c r="Z19" s="71"/>
      <c r="AA19" s="54"/>
      <c r="AB19" s="54"/>
      <c r="AC19" s="54"/>
    </row>
    <row r="20" spans="1:29" ht="60" customHeight="1" x14ac:dyDescent="0.2">
      <c r="A20" s="69" t="s">
        <v>66</v>
      </c>
      <c r="B20" s="70"/>
      <c r="C20" s="66" t="s">
        <v>64</v>
      </c>
      <c r="D20" s="57" t="s">
        <v>58</v>
      </c>
      <c r="E20" s="68" t="s">
        <v>34</v>
      </c>
      <c r="F20" s="67" t="s">
        <v>59</v>
      </c>
      <c r="G20" s="67" t="s">
        <v>50</v>
      </c>
      <c r="H20" s="57" t="s">
        <v>65</v>
      </c>
      <c r="I20" s="55" t="s">
        <v>51</v>
      </c>
      <c r="J20" s="57" t="e">
        <f>ROUND(#REF!*2.4,-1)</f>
        <v>#REF!</v>
      </c>
      <c r="K20" s="58"/>
      <c r="L20" s="59">
        <f>40-1</f>
        <v>39</v>
      </c>
      <c r="M20" s="60"/>
      <c r="N20" s="61"/>
      <c r="O20" s="61"/>
      <c r="P20" s="62">
        <f>9-1</f>
        <v>8</v>
      </c>
      <c r="Q20" s="62">
        <f>8</f>
        <v>8</v>
      </c>
      <c r="R20" s="62">
        <f>10</f>
        <v>10</v>
      </c>
      <c r="S20" s="62">
        <f>9</f>
        <v>9</v>
      </c>
      <c r="T20" s="62">
        <f>5-1</f>
        <v>4</v>
      </c>
      <c r="U20" s="62"/>
      <c r="V20" s="62"/>
      <c r="W20" s="63"/>
      <c r="X20" s="63"/>
      <c r="Z20" s="71"/>
      <c r="AA20" s="54"/>
      <c r="AB20" s="54"/>
      <c r="AC20" s="54"/>
    </row>
    <row r="21" spans="1:29" ht="60" customHeight="1" x14ac:dyDescent="0.2">
      <c r="A21" s="69" t="s">
        <v>67</v>
      </c>
      <c r="B21" s="70"/>
      <c r="C21" s="66" t="s">
        <v>64</v>
      </c>
      <c r="D21" s="53" t="s">
        <v>48</v>
      </c>
      <c r="E21" s="68" t="s">
        <v>34</v>
      </c>
      <c r="F21" s="55" t="s">
        <v>49</v>
      </c>
      <c r="G21" s="67" t="s">
        <v>68</v>
      </c>
      <c r="H21" s="57" t="s">
        <v>60</v>
      </c>
      <c r="I21" s="55" t="s">
        <v>51</v>
      </c>
      <c r="J21" s="57" t="e">
        <f>ROUND(#REF!*2.4,-1)</f>
        <v>#REF!</v>
      </c>
      <c r="K21" s="58"/>
      <c r="L21" s="59">
        <f>55-5</f>
        <v>50</v>
      </c>
      <c r="M21" s="60"/>
      <c r="N21" s="61"/>
      <c r="O21" s="61"/>
      <c r="P21" s="62"/>
      <c r="Q21" s="62">
        <f>6-1</f>
        <v>5</v>
      </c>
      <c r="R21" s="62">
        <f>12-1</f>
        <v>11</v>
      </c>
      <c r="S21" s="62">
        <f>12-1</f>
        <v>11</v>
      </c>
      <c r="T21" s="62">
        <f>10-1</f>
        <v>9</v>
      </c>
      <c r="U21" s="62">
        <f>8-1</f>
        <v>7</v>
      </c>
      <c r="V21" s="62">
        <f>7-5+5</f>
        <v>7</v>
      </c>
      <c r="W21" s="63"/>
      <c r="X21" s="63"/>
      <c r="Z21" s="71"/>
      <c r="AA21" s="54"/>
      <c r="AB21" s="54"/>
      <c r="AC21" s="54"/>
    </row>
    <row r="22" spans="1:29" ht="60" customHeight="1" x14ac:dyDescent="0.2">
      <c r="A22" s="50" t="s">
        <v>69</v>
      </c>
      <c r="B22" s="51"/>
      <c r="C22" s="66" t="s">
        <v>43</v>
      </c>
      <c r="D22" s="53" t="s">
        <v>48</v>
      </c>
      <c r="E22" s="54" t="s">
        <v>34</v>
      </c>
      <c r="F22" s="55" t="s">
        <v>49</v>
      </c>
      <c r="G22" s="67" t="s">
        <v>50</v>
      </c>
      <c r="H22" s="57" t="s">
        <v>37</v>
      </c>
      <c r="I22" s="55" t="s">
        <v>51</v>
      </c>
      <c r="J22" s="57" t="e">
        <f>ROUND(#REF!*2.4,-1)</f>
        <v>#REF!</v>
      </c>
      <c r="K22" s="58"/>
      <c r="L22" s="59">
        <f>131-2</f>
        <v>129</v>
      </c>
      <c r="M22" s="60"/>
      <c r="N22" s="61"/>
      <c r="O22" s="61"/>
      <c r="P22" s="62"/>
      <c r="Q22" s="62">
        <f>63-30</f>
        <v>33</v>
      </c>
      <c r="R22" s="62">
        <f>71-40</f>
        <v>31</v>
      </c>
      <c r="S22" s="62">
        <f>69-40</f>
        <v>29</v>
      </c>
      <c r="T22" s="62">
        <f>22-1</f>
        <v>21</v>
      </c>
      <c r="U22" s="62">
        <f>13-1</f>
        <v>12</v>
      </c>
      <c r="V22" s="62">
        <f>2-1+1+1</f>
        <v>3</v>
      </c>
      <c r="W22" s="63"/>
      <c r="X22" s="63"/>
      <c r="Z22" s="64"/>
      <c r="AA22" s="54"/>
      <c r="AB22" s="54"/>
      <c r="AC22" s="54"/>
    </row>
    <row r="23" spans="1:29" ht="60" customHeight="1" x14ac:dyDescent="0.2">
      <c r="A23" s="50" t="s">
        <v>70</v>
      </c>
      <c r="B23" s="51"/>
      <c r="C23" s="66" t="s">
        <v>43</v>
      </c>
      <c r="D23" s="53" t="s">
        <v>48</v>
      </c>
      <c r="E23" s="54" t="s">
        <v>34</v>
      </c>
      <c r="F23" s="55" t="s">
        <v>49</v>
      </c>
      <c r="G23" s="67" t="s">
        <v>50</v>
      </c>
      <c r="H23" s="57" t="s">
        <v>60</v>
      </c>
      <c r="I23" s="55" t="s">
        <v>51</v>
      </c>
      <c r="J23" s="57" t="e">
        <f>ROUND(#REF!*2.4,-1)</f>
        <v>#REF!</v>
      </c>
      <c r="K23" s="58"/>
      <c r="L23" s="59">
        <f>482-320</f>
        <v>162</v>
      </c>
      <c r="M23" s="60"/>
      <c r="N23" s="61"/>
      <c r="O23" s="61"/>
      <c r="P23" s="62"/>
      <c r="Q23" s="62">
        <f>116-80</f>
        <v>36</v>
      </c>
      <c r="R23" s="62">
        <f>116-80</f>
        <v>36</v>
      </c>
      <c r="S23" s="62">
        <f>115-80</f>
        <v>35</v>
      </c>
      <c r="T23" s="62">
        <f>110-80</f>
        <v>30</v>
      </c>
      <c r="U23" s="62">
        <f>26-1</f>
        <v>25</v>
      </c>
      <c r="V23" s="62">
        <f>1-1</f>
        <v>0</v>
      </c>
      <c r="W23" s="63"/>
      <c r="X23" s="63"/>
      <c r="Z23" s="64"/>
      <c r="AA23" s="54"/>
      <c r="AB23" s="54"/>
      <c r="AC23" s="54"/>
    </row>
    <row r="24" spans="1:29" ht="60" customHeight="1" x14ac:dyDescent="0.2">
      <c r="A24" s="69" t="s">
        <v>71</v>
      </c>
      <c r="B24" s="70"/>
      <c r="C24" s="66" t="s">
        <v>72</v>
      </c>
      <c r="D24" s="53" t="s">
        <v>48</v>
      </c>
      <c r="E24" s="54" t="s">
        <v>34</v>
      </c>
      <c r="F24" s="55" t="s">
        <v>49</v>
      </c>
      <c r="G24" s="67" t="s">
        <v>50</v>
      </c>
      <c r="H24" s="57" t="s">
        <v>37</v>
      </c>
      <c r="I24" s="55" t="s">
        <v>51</v>
      </c>
      <c r="J24" s="57" t="e">
        <f>ROUND(#REF!*2.4,-1)</f>
        <v>#REF!</v>
      </c>
      <c r="K24" s="58"/>
      <c r="L24" s="59">
        <f>86-20</f>
        <v>66</v>
      </c>
      <c r="M24" s="60"/>
      <c r="N24" s="61"/>
      <c r="O24" s="61"/>
      <c r="P24" s="62"/>
      <c r="Q24" s="62">
        <f>22-5</f>
        <v>17</v>
      </c>
      <c r="R24" s="62">
        <f>28-5</f>
        <v>23</v>
      </c>
      <c r="S24" s="62">
        <f>13-5</f>
        <v>8</v>
      </c>
      <c r="T24" s="62">
        <f>14-3</f>
        <v>11</v>
      </c>
      <c r="U24" s="62">
        <f>9-2</f>
        <v>7</v>
      </c>
      <c r="V24" s="62">
        <f>3-3</f>
        <v>0</v>
      </c>
      <c r="W24" s="63"/>
      <c r="X24" s="63"/>
      <c r="Z24" s="71"/>
      <c r="AA24" s="54"/>
      <c r="AB24" s="54"/>
      <c r="AC24" s="54">
        <v>387</v>
      </c>
    </row>
    <row r="25" spans="1:29" ht="60" customHeight="1" x14ac:dyDescent="0.2">
      <c r="A25" s="69" t="s">
        <v>73</v>
      </c>
      <c r="B25" s="70"/>
      <c r="C25" s="66" t="s">
        <v>74</v>
      </c>
      <c r="D25" s="53" t="s">
        <v>48</v>
      </c>
      <c r="E25" s="54" t="s">
        <v>34</v>
      </c>
      <c r="F25" s="55" t="s">
        <v>49</v>
      </c>
      <c r="G25" s="67" t="s">
        <v>50</v>
      </c>
      <c r="H25" s="57" t="s">
        <v>60</v>
      </c>
      <c r="I25" s="55" t="s">
        <v>51</v>
      </c>
      <c r="J25" s="57" t="e">
        <f>ROUND(#REF!*2.4,-1)</f>
        <v>#REF!</v>
      </c>
      <c r="K25" s="58"/>
      <c r="L25" s="59">
        <f>80-1</f>
        <v>79</v>
      </c>
      <c r="M25" s="60"/>
      <c r="N25" s="61"/>
      <c r="O25" s="61"/>
      <c r="P25" s="62"/>
      <c r="Q25" s="62">
        <f>18-1</f>
        <v>17</v>
      </c>
      <c r="R25" s="62">
        <f>18-1</f>
        <v>17</v>
      </c>
      <c r="S25" s="62">
        <f>20-1</f>
        <v>19</v>
      </c>
      <c r="T25" s="62">
        <f>15-1</f>
        <v>14</v>
      </c>
      <c r="U25" s="62">
        <f>12-1</f>
        <v>11</v>
      </c>
      <c r="V25" s="62">
        <f>2-1</f>
        <v>1</v>
      </c>
      <c r="W25" s="63"/>
      <c r="X25" s="63"/>
      <c r="Z25" s="71"/>
      <c r="AA25" s="54"/>
      <c r="AB25" s="54"/>
      <c r="AC25" s="54"/>
    </row>
    <row r="26" spans="1:29" ht="60" customHeight="1" x14ac:dyDescent="0.2">
      <c r="A26" s="69" t="s">
        <v>75</v>
      </c>
      <c r="B26" s="70"/>
      <c r="C26" s="66" t="s">
        <v>76</v>
      </c>
      <c r="D26" s="53" t="s">
        <v>48</v>
      </c>
      <c r="E26" s="54" t="s">
        <v>34</v>
      </c>
      <c r="F26" s="55" t="s">
        <v>49</v>
      </c>
      <c r="G26" s="67" t="s">
        <v>50</v>
      </c>
      <c r="H26" s="57" t="s">
        <v>60</v>
      </c>
      <c r="I26" s="55" t="s">
        <v>51</v>
      </c>
      <c r="J26" s="57" t="e">
        <f>ROUND(#REF!*2.4,-1)</f>
        <v>#REF!</v>
      </c>
      <c r="K26" s="58"/>
      <c r="L26" s="59">
        <f>105-4</f>
        <v>101</v>
      </c>
      <c r="M26" s="60"/>
      <c r="N26" s="61"/>
      <c r="O26" s="61"/>
      <c r="P26" s="62"/>
      <c r="Q26" s="62">
        <f>23-1</f>
        <v>22</v>
      </c>
      <c r="R26" s="62">
        <f>20-1</f>
        <v>19</v>
      </c>
      <c r="S26" s="62">
        <f>22-1</f>
        <v>21</v>
      </c>
      <c r="T26" s="62">
        <f>20-1</f>
        <v>19</v>
      </c>
      <c r="U26" s="62">
        <f>23-3</f>
        <v>20</v>
      </c>
      <c r="V26" s="62"/>
      <c r="W26" s="63"/>
      <c r="X26" s="63"/>
      <c r="Z26" s="71"/>
      <c r="AA26" s="54"/>
      <c r="AB26" s="54"/>
      <c r="AC26" s="54"/>
    </row>
    <row r="27" spans="1:29" ht="60" customHeight="1" x14ac:dyDescent="0.2">
      <c r="A27" s="69" t="s">
        <v>77</v>
      </c>
      <c r="B27" s="70"/>
      <c r="C27" s="66" t="s">
        <v>78</v>
      </c>
      <c r="D27" s="53" t="s">
        <v>48</v>
      </c>
      <c r="E27" s="54" t="s">
        <v>34</v>
      </c>
      <c r="F27" s="55" t="s">
        <v>49</v>
      </c>
      <c r="G27" s="67" t="s">
        <v>50</v>
      </c>
      <c r="H27" s="57" t="s">
        <v>37</v>
      </c>
      <c r="I27" s="55" t="s">
        <v>51</v>
      </c>
      <c r="J27" s="57" t="e">
        <f>ROUND(#REF!*2.4,-1)</f>
        <v>#REF!</v>
      </c>
      <c r="K27" s="58"/>
      <c r="L27" s="59">
        <f>104-18</f>
        <v>86</v>
      </c>
      <c r="M27" s="60"/>
      <c r="N27" s="61"/>
      <c r="O27" s="61"/>
      <c r="P27" s="62"/>
      <c r="Q27" s="62">
        <f>20-4</f>
        <v>16</v>
      </c>
      <c r="R27" s="62">
        <f>23-4</f>
        <v>19</v>
      </c>
      <c r="S27" s="62">
        <f>23-4</f>
        <v>19</v>
      </c>
      <c r="T27" s="62">
        <f>20-2</f>
        <v>18</v>
      </c>
      <c r="U27" s="62">
        <f>16-2</f>
        <v>14</v>
      </c>
      <c r="V27" s="62">
        <f>2-2</f>
        <v>0</v>
      </c>
      <c r="W27" s="63"/>
      <c r="X27" s="63"/>
      <c r="Z27" s="64"/>
      <c r="AA27" s="54"/>
      <c r="AB27" s="54"/>
      <c r="AC27" s="54"/>
    </row>
    <row r="28" spans="1:29" ht="60" customHeight="1" x14ac:dyDescent="0.2">
      <c r="A28" s="72" t="s">
        <v>79</v>
      </c>
      <c r="B28" s="73"/>
      <c r="C28" s="66" t="s">
        <v>80</v>
      </c>
      <c r="D28" s="57" t="s">
        <v>48</v>
      </c>
      <c r="E28" s="68" t="s">
        <v>34</v>
      </c>
      <c r="F28" s="67" t="s">
        <v>49</v>
      </c>
      <c r="G28" s="67" t="s">
        <v>50</v>
      </c>
      <c r="H28" s="57" t="s">
        <v>37</v>
      </c>
      <c r="I28" s="67" t="s">
        <v>51</v>
      </c>
      <c r="J28" s="57" t="e">
        <f>ROUND(#REF!*2.4,-1)</f>
        <v>#REF!</v>
      </c>
      <c r="K28" s="58"/>
      <c r="L28" s="59">
        <f>96-2</f>
        <v>94</v>
      </c>
      <c r="M28" s="60"/>
      <c r="N28" s="61"/>
      <c r="O28" s="61"/>
      <c r="P28" s="62"/>
      <c r="Q28" s="62">
        <f>21-1</f>
        <v>20</v>
      </c>
      <c r="R28" s="62">
        <f>21-1</f>
        <v>20</v>
      </c>
      <c r="S28" s="62">
        <f>17-1</f>
        <v>16</v>
      </c>
      <c r="T28" s="62">
        <f>23-1</f>
        <v>22</v>
      </c>
      <c r="U28" s="62">
        <f>17-1</f>
        <v>16</v>
      </c>
      <c r="V28" s="62">
        <f>1-1</f>
        <v>0</v>
      </c>
      <c r="W28" s="63"/>
      <c r="X28" s="63"/>
      <c r="Z28" s="64"/>
      <c r="AA28" s="54"/>
      <c r="AB28" s="54"/>
      <c r="AC28" s="54"/>
    </row>
    <row r="29" spans="1:29" ht="60" customHeight="1" x14ac:dyDescent="0.2">
      <c r="A29" s="69" t="s">
        <v>81</v>
      </c>
      <c r="B29" s="73" t="s">
        <v>82</v>
      </c>
      <c r="C29" s="66" t="s">
        <v>83</v>
      </c>
      <c r="D29" s="57" t="s">
        <v>48</v>
      </c>
      <c r="E29" s="68" t="s">
        <v>34</v>
      </c>
      <c r="F29" s="67" t="s">
        <v>49</v>
      </c>
      <c r="G29" s="67" t="s">
        <v>50</v>
      </c>
      <c r="H29" s="57" t="s">
        <v>84</v>
      </c>
      <c r="I29" s="67" t="s">
        <v>51</v>
      </c>
      <c r="J29" s="57" t="e">
        <f>ROUND(#REF!*2.4,-1)</f>
        <v>#REF!</v>
      </c>
      <c r="K29" s="58"/>
      <c r="L29" s="59">
        <f>39-1</f>
        <v>38</v>
      </c>
      <c r="M29" s="60"/>
      <c r="N29" s="61"/>
      <c r="O29" s="61"/>
      <c r="P29" s="62"/>
      <c r="Q29" s="62">
        <f>9-1</f>
        <v>8</v>
      </c>
      <c r="R29" s="62">
        <f>12-1</f>
        <v>11</v>
      </c>
      <c r="S29" s="62">
        <f>10-1</f>
        <v>9</v>
      </c>
      <c r="T29" s="62">
        <f>1-1</f>
        <v>0</v>
      </c>
      <c r="U29" s="62">
        <f>6-1</f>
        <v>5</v>
      </c>
      <c r="V29" s="62">
        <f>6-1</f>
        <v>5</v>
      </c>
      <c r="W29" s="63"/>
      <c r="X29" s="63"/>
      <c r="Z29" s="64"/>
      <c r="AA29" s="54"/>
      <c r="AB29" s="54"/>
      <c r="AC29" s="54"/>
    </row>
    <row r="30" spans="1:29" ht="60" customHeight="1" x14ac:dyDescent="0.2">
      <c r="A30" s="72" t="s">
        <v>85</v>
      </c>
      <c r="B30" s="73" t="s">
        <v>82</v>
      </c>
      <c r="C30" s="66" t="s">
        <v>83</v>
      </c>
      <c r="D30" s="57" t="s">
        <v>48</v>
      </c>
      <c r="E30" s="68" t="s">
        <v>34</v>
      </c>
      <c r="F30" s="67" t="s">
        <v>49</v>
      </c>
      <c r="G30" s="67" t="s">
        <v>50</v>
      </c>
      <c r="H30" s="57" t="s">
        <v>84</v>
      </c>
      <c r="I30" s="67" t="s">
        <v>51</v>
      </c>
      <c r="J30" s="57" t="e">
        <f>ROUND(#REF!*2.4,-1)</f>
        <v>#REF!</v>
      </c>
      <c r="K30" s="58"/>
      <c r="L30" s="59">
        <f>94-5+14+10+9</f>
        <v>122</v>
      </c>
      <c r="M30" s="60"/>
      <c r="N30" s="61"/>
      <c r="O30" s="61"/>
      <c r="P30" s="62"/>
      <c r="Q30" s="62">
        <f>13-1+3+2+2</f>
        <v>19</v>
      </c>
      <c r="R30" s="62">
        <f>21-1+2+2+2</f>
        <v>26</v>
      </c>
      <c r="S30" s="62">
        <f>17-1+3+2+2</f>
        <v>23</v>
      </c>
      <c r="T30" s="62">
        <f>17-1+3+2+2</f>
        <v>23</v>
      </c>
      <c r="U30" s="62">
        <f>16-1+3+2+1</f>
        <v>21</v>
      </c>
      <c r="V30" s="62">
        <f>10-5+5</f>
        <v>10</v>
      </c>
      <c r="W30" s="63"/>
      <c r="X30" s="63"/>
      <c r="Z30" s="64"/>
      <c r="AA30" s="54"/>
      <c r="AB30" s="54"/>
      <c r="AC30" s="54"/>
    </row>
    <row r="31" spans="1:29" ht="60" customHeight="1" x14ac:dyDescent="0.2">
      <c r="A31" s="72" t="s">
        <v>86</v>
      </c>
      <c r="B31" s="74"/>
      <c r="C31" s="66" t="s">
        <v>87</v>
      </c>
      <c r="D31" s="53" t="s">
        <v>48</v>
      </c>
      <c r="E31" s="54" t="s">
        <v>34</v>
      </c>
      <c r="F31" s="55" t="s">
        <v>49</v>
      </c>
      <c r="G31" s="67" t="s">
        <v>50</v>
      </c>
      <c r="H31" s="57" t="s">
        <v>37</v>
      </c>
      <c r="I31" s="55" t="s">
        <v>51</v>
      </c>
      <c r="J31" s="57" t="e">
        <f>ROUND(#REF!*2.4,-1)</f>
        <v>#REF!</v>
      </c>
      <c r="K31" s="58"/>
      <c r="L31" s="59">
        <f>217-1+3</f>
        <v>219</v>
      </c>
      <c r="M31" s="75"/>
      <c r="N31" s="76"/>
      <c r="O31" s="76"/>
      <c r="P31" s="77"/>
      <c r="Q31" s="77">
        <f>47-1</f>
        <v>46</v>
      </c>
      <c r="R31" s="77">
        <f>47-1+1</f>
        <v>47</v>
      </c>
      <c r="S31" s="77">
        <f>41-1+1</f>
        <v>41</v>
      </c>
      <c r="T31" s="77">
        <f>50-1+1</f>
        <v>50</v>
      </c>
      <c r="U31" s="77">
        <f>36-3</f>
        <v>33</v>
      </c>
      <c r="V31" s="77">
        <f>1-1+1+1</f>
        <v>2</v>
      </c>
      <c r="W31" s="63"/>
      <c r="X31" s="63"/>
      <c r="Z31" s="71"/>
      <c r="AA31" s="54"/>
      <c r="AB31" s="54"/>
      <c r="AC31" s="54"/>
    </row>
    <row r="32" spans="1:29" ht="60" customHeight="1" x14ac:dyDescent="0.2">
      <c r="A32" s="69" t="s">
        <v>88</v>
      </c>
      <c r="B32" s="70"/>
      <c r="C32" s="66" t="s">
        <v>89</v>
      </c>
      <c r="D32" s="53" t="s">
        <v>48</v>
      </c>
      <c r="E32" s="68" t="s">
        <v>34</v>
      </c>
      <c r="F32" s="55" t="s">
        <v>49</v>
      </c>
      <c r="G32" s="67" t="s">
        <v>50</v>
      </c>
      <c r="H32" s="57" t="s">
        <v>37</v>
      </c>
      <c r="I32" s="55" t="s">
        <v>51</v>
      </c>
      <c r="J32" s="57" t="e">
        <f>ROUND(#REF!*2.4,-1)</f>
        <v>#REF!</v>
      </c>
      <c r="K32" s="58"/>
      <c r="L32" s="59">
        <f>3-1</f>
        <v>2</v>
      </c>
      <c r="M32" s="60"/>
      <c r="N32" s="61"/>
      <c r="O32" s="61"/>
      <c r="P32" s="62"/>
      <c r="Q32" s="62">
        <f>1-1</f>
        <v>0</v>
      </c>
      <c r="R32" s="62">
        <f>2-1</f>
        <v>1</v>
      </c>
      <c r="S32" s="62">
        <f>1-1+1</f>
        <v>1</v>
      </c>
      <c r="T32" s="62">
        <f>1-1</f>
        <v>0</v>
      </c>
      <c r="U32" s="62">
        <f>1-1</f>
        <v>0</v>
      </c>
      <c r="V32" s="62">
        <f>1-1</f>
        <v>0</v>
      </c>
      <c r="W32" s="63"/>
      <c r="X32" s="63"/>
      <c r="Z32" s="71"/>
      <c r="AA32" s="54"/>
      <c r="AB32" s="54"/>
      <c r="AC32" s="54"/>
    </row>
    <row r="33" spans="1:29" ht="60" customHeight="1" x14ac:dyDescent="0.2">
      <c r="A33" s="69" t="s">
        <v>90</v>
      </c>
      <c r="B33" s="70"/>
      <c r="C33" s="66" t="s">
        <v>91</v>
      </c>
      <c r="D33" s="53" t="s">
        <v>48</v>
      </c>
      <c r="E33" s="68" t="s">
        <v>34</v>
      </c>
      <c r="F33" s="55" t="s">
        <v>49</v>
      </c>
      <c r="G33" s="67" t="s">
        <v>50</v>
      </c>
      <c r="H33" s="57" t="s">
        <v>37</v>
      </c>
      <c r="I33" s="55" t="s">
        <v>51</v>
      </c>
      <c r="J33" s="57" t="e">
        <f>ROUND(#REF!*2.4,-1)</f>
        <v>#REF!</v>
      </c>
      <c r="K33" s="58"/>
      <c r="L33" s="59">
        <f>221-1+2</f>
        <v>222</v>
      </c>
      <c r="M33" s="60"/>
      <c r="N33" s="61"/>
      <c r="O33" s="61"/>
      <c r="P33" s="62"/>
      <c r="Q33" s="62">
        <f>46-1</f>
        <v>45</v>
      </c>
      <c r="R33" s="62">
        <f>54-1+1</f>
        <v>54</v>
      </c>
      <c r="S33" s="62">
        <f>53-2+1</f>
        <v>52</v>
      </c>
      <c r="T33" s="62">
        <f>35-1</f>
        <v>34</v>
      </c>
      <c r="U33" s="62">
        <f>29-1</f>
        <v>28</v>
      </c>
      <c r="V33" s="62">
        <f>10-1</f>
        <v>9</v>
      </c>
      <c r="W33" s="63"/>
      <c r="X33" s="63"/>
      <c r="Z33" s="71"/>
      <c r="AA33" s="54"/>
      <c r="AB33" s="54"/>
      <c r="AC33" s="54"/>
    </row>
    <row r="34" spans="1:29" ht="60" customHeight="1" x14ac:dyDescent="0.2">
      <c r="A34" s="69" t="s">
        <v>92</v>
      </c>
      <c r="B34" s="70"/>
      <c r="C34" s="66" t="s">
        <v>93</v>
      </c>
      <c r="D34" s="53" t="s">
        <v>48</v>
      </c>
      <c r="E34" s="54" t="s">
        <v>34</v>
      </c>
      <c r="F34" s="55" t="s">
        <v>49</v>
      </c>
      <c r="G34" s="67" t="s">
        <v>50</v>
      </c>
      <c r="H34" s="57" t="s">
        <v>60</v>
      </c>
      <c r="I34" s="55" t="s">
        <v>51</v>
      </c>
      <c r="J34" s="57" t="e">
        <f>ROUND(#REF!*2.4,-1)</f>
        <v>#REF!</v>
      </c>
      <c r="K34" s="58"/>
      <c r="L34" s="59">
        <f>70-6+14+10+10</f>
        <v>98</v>
      </c>
      <c r="M34" s="60"/>
      <c r="N34" s="61"/>
      <c r="O34" s="61"/>
      <c r="P34" s="62"/>
      <c r="Q34" s="62">
        <f>8-1+2+2+2</f>
        <v>13</v>
      </c>
      <c r="R34" s="62">
        <f>11-1+3+2+2</f>
        <v>17</v>
      </c>
      <c r="S34" s="62">
        <f>13-1+3+2+2</f>
        <v>19</v>
      </c>
      <c r="T34" s="62">
        <f>10-1+3+2+2</f>
        <v>16</v>
      </c>
      <c r="U34" s="62">
        <f>9-1+3+2+2</f>
        <v>15</v>
      </c>
      <c r="V34" s="62">
        <f>19-1</f>
        <v>18</v>
      </c>
      <c r="W34" s="63"/>
      <c r="X34" s="63"/>
      <c r="Z34" s="71"/>
      <c r="AA34" s="54"/>
      <c r="AB34" s="54"/>
      <c r="AC34" s="54"/>
    </row>
    <row r="35" spans="1:29" ht="60" customHeight="1" x14ac:dyDescent="0.2">
      <c r="A35" s="69" t="s">
        <v>94</v>
      </c>
      <c r="B35" s="70"/>
      <c r="C35" s="66" t="s">
        <v>93</v>
      </c>
      <c r="D35" s="57" t="s">
        <v>58</v>
      </c>
      <c r="E35" s="54" t="s">
        <v>34</v>
      </c>
      <c r="F35" s="67" t="s">
        <v>59</v>
      </c>
      <c r="G35" s="67" t="s">
        <v>50</v>
      </c>
      <c r="H35" s="57" t="s">
        <v>60</v>
      </c>
      <c r="I35" s="55" t="s">
        <v>51</v>
      </c>
      <c r="J35" s="57" t="e">
        <f>ROUND(#REF!*2.4,-1)</f>
        <v>#REF!</v>
      </c>
      <c r="K35" s="58"/>
      <c r="L35" s="59">
        <f>11-1+10</f>
        <v>20</v>
      </c>
      <c r="M35" s="60"/>
      <c r="N35" s="61"/>
      <c r="O35" s="61"/>
      <c r="P35" s="62">
        <f>3-1+2</f>
        <v>4</v>
      </c>
      <c r="Q35" s="62">
        <f>3-1+2</f>
        <v>4</v>
      </c>
      <c r="R35" s="62">
        <f>4-1+1+2</f>
        <v>6</v>
      </c>
      <c r="S35" s="62">
        <f>4-2+2</f>
        <v>4</v>
      </c>
      <c r="T35" s="62">
        <f>2-2+2</f>
        <v>2</v>
      </c>
      <c r="U35" s="62"/>
      <c r="V35" s="62"/>
      <c r="W35" s="63"/>
      <c r="X35" s="63"/>
      <c r="Z35" s="71"/>
      <c r="AA35" s="54"/>
      <c r="AB35" s="54"/>
      <c r="AC35" s="54"/>
    </row>
    <row r="36" spans="1:29" ht="60" customHeight="1" x14ac:dyDescent="0.2">
      <c r="A36" s="50" t="s">
        <v>95</v>
      </c>
      <c r="B36" s="51"/>
      <c r="C36" s="66" t="s">
        <v>96</v>
      </c>
      <c r="D36" s="53" t="s">
        <v>48</v>
      </c>
      <c r="E36" s="68" t="s">
        <v>34</v>
      </c>
      <c r="F36" s="55" t="s">
        <v>49</v>
      </c>
      <c r="G36" s="67" t="s">
        <v>50</v>
      </c>
      <c r="H36" s="57" t="s">
        <v>37</v>
      </c>
      <c r="I36" s="55" t="s">
        <v>51</v>
      </c>
      <c r="J36" s="57" t="e">
        <f>ROUND(#REF!*2.4,-1)</f>
        <v>#REF!</v>
      </c>
      <c r="K36" s="58"/>
      <c r="L36" s="59">
        <f>169-1</f>
        <v>168</v>
      </c>
      <c r="M36" s="60"/>
      <c r="N36" s="61"/>
      <c r="O36" s="61"/>
      <c r="P36" s="62"/>
      <c r="Q36" s="62">
        <f>36-1</f>
        <v>35</v>
      </c>
      <c r="R36" s="62">
        <f>36-1</f>
        <v>35</v>
      </c>
      <c r="S36" s="62">
        <f>38-1</f>
        <v>37</v>
      </c>
      <c r="T36" s="62">
        <f>37-1</f>
        <v>36</v>
      </c>
      <c r="U36" s="62">
        <f>23-1</f>
        <v>22</v>
      </c>
      <c r="V36" s="62">
        <f>3</f>
        <v>3</v>
      </c>
      <c r="W36" s="63"/>
      <c r="X36" s="63"/>
      <c r="Z36" s="64"/>
      <c r="AA36" s="54"/>
      <c r="AB36" s="54"/>
      <c r="AC36" s="54"/>
    </row>
    <row r="37" spans="1:29" ht="60" customHeight="1" x14ac:dyDescent="0.2">
      <c r="A37" s="50" t="s">
        <v>97</v>
      </c>
      <c r="B37" s="51"/>
      <c r="C37" s="66" t="s">
        <v>96</v>
      </c>
      <c r="D37" s="53" t="s">
        <v>58</v>
      </c>
      <c r="E37" s="54" t="s">
        <v>34</v>
      </c>
      <c r="F37" s="55" t="s">
        <v>59</v>
      </c>
      <c r="G37" s="67" t="s">
        <v>50</v>
      </c>
      <c r="H37" s="57" t="s">
        <v>37</v>
      </c>
      <c r="I37" s="55" t="s">
        <v>51</v>
      </c>
      <c r="J37" s="57" t="e">
        <f>ROUND(#REF!*2.4,-1)</f>
        <v>#REF!</v>
      </c>
      <c r="K37" s="58"/>
      <c r="L37" s="59">
        <f>74-16</f>
        <v>58</v>
      </c>
      <c r="M37" s="60"/>
      <c r="N37" s="61"/>
      <c r="O37" s="61"/>
      <c r="P37" s="62">
        <f>11-4</f>
        <v>7</v>
      </c>
      <c r="Q37" s="62">
        <f>16-4</f>
        <v>12</v>
      </c>
      <c r="R37" s="62">
        <f>18-4</f>
        <v>14</v>
      </c>
      <c r="S37" s="62">
        <f>19-2</f>
        <v>17</v>
      </c>
      <c r="T37" s="62">
        <f>10-2</f>
        <v>8</v>
      </c>
      <c r="U37" s="62"/>
      <c r="V37" s="62"/>
      <c r="W37" s="63"/>
      <c r="X37" s="63"/>
      <c r="Z37" s="64"/>
      <c r="AA37" s="54"/>
      <c r="AB37" s="54"/>
      <c r="AC37" s="54"/>
    </row>
    <row r="38" spans="1:29" ht="60" customHeight="1" x14ac:dyDescent="0.2">
      <c r="A38" s="69" t="s">
        <v>98</v>
      </c>
      <c r="B38" s="70"/>
      <c r="C38" s="66" t="s">
        <v>99</v>
      </c>
      <c r="D38" s="53" t="s">
        <v>48</v>
      </c>
      <c r="E38" s="54" t="s">
        <v>34</v>
      </c>
      <c r="F38" s="55" t="s">
        <v>49</v>
      </c>
      <c r="G38" s="67" t="s">
        <v>50</v>
      </c>
      <c r="H38" s="57" t="s">
        <v>37</v>
      </c>
      <c r="I38" s="55" t="s">
        <v>51</v>
      </c>
      <c r="J38" s="57" t="e">
        <f>ROUND(#REF!*2.4,-1)</f>
        <v>#REF!</v>
      </c>
      <c r="K38" s="58"/>
      <c r="L38" s="59">
        <f>89-1</f>
        <v>88</v>
      </c>
      <c r="M38" s="60"/>
      <c r="N38" s="61"/>
      <c r="O38" s="61"/>
      <c r="P38" s="62"/>
      <c r="Q38" s="62">
        <f>19-1</f>
        <v>18</v>
      </c>
      <c r="R38" s="62">
        <f>23-1</f>
        <v>22</v>
      </c>
      <c r="S38" s="62">
        <f>20-1</f>
        <v>19</v>
      </c>
      <c r="T38" s="62">
        <f>19-3</f>
        <v>16</v>
      </c>
      <c r="U38" s="62">
        <f>14-1</f>
        <v>13</v>
      </c>
      <c r="V38" s="62">
        <f>1-1</f>
        <v>0</v>
      </c>
      <c r="W38" s="63"/>
      <c r="X38" s="63"/>
      <c r="Z38" s="64"/>
      <c r="AA38" s="54">
        <v>1410566</v>
      </c>
      <c r="AB38" s="54">
        <v>424</v>
      </c>
      <c r="AC38" s="54">
        <v>399</v>
      </c>
    </row>
    <row r="39" spans="1:29" ht="60" customHeight="1" x14ac:dyDescent="0.2">
      <c r="A39" s="69" t="s">
        <v>100</v>
      </c>
      <c r="B39" s="78"/>
      <c r="C39" s="66" t="s">
        <v>101</v>
      </c>
      <c r="D39" s="57" t="s">
        <v>48</v>
      </c>
      <c r="E39" s="54" t="s">
        <v>34</v>
      </c>
      <c r="F39" s="67" t="s">
        <v>49</v>
      </c>
      <c r="G39" s="67" t="s">
        <v>50</v>
      </c>
      <c r="H39" s="57" t="s">
        <v>84</v>
      </c>
      <c r="I39" s="67" t="s">
        <v>51</v>
      </c>
      <c r="J39" s="57" t="e">
        <f>ROUND(#REF!*2.4,-1)</f>
        <v>#REF!</v>
      </c>
      <c r="K39" s="58"/>
      <c r="L39" s="59">
        <f>2-2+2+2</f>
        <v>4</v>
      </c>
      <c r="M39" s="60"/>
      <c r="N39" s="61"/>
      <c r="O39" s="61"/>
      <c r="P39" s="62"/>
      <c r="Q39" s="62">
        <f>1-1</f>
        <v>0</v>
      </c>
      <c r="R39" s="62">
        <f>1-1</f>
        <v>0</v>
      </c>
      <c r="S39" s="62">
        <f>1-1+1</f>
        <v>1</v>
      </c>
      <c r="T39" s="62">
        <f>1-1+2+1</f>
        <v>3</v>
      </c>
      <c r="U39" s="62">
        <f>2-2</f>
        <v>0</v>
      </c>
      <c r="V39" s="62"/>
      <c r="W39" s="63"/>
      <c r="X39" s="63"/>
      <c r="Z39" s="64"/>
      <c r="AA39" s="54"/>
      <c r="AB39" s="54"/>
      <c r="AC39" s="54"/>
    </row>
    <row r="40" spans="1:29" ht="60" customHeight="1" x14ac:dyDescent="0.2">
      <c r="A40" s="50" t="s">
        <v>102</v>
      </c>
      <c r="B40" s="51"/>
      <c r="C40" s="66" t="s">
        <v>43</v>
      </c>
      <c r="D40" s="53" t="s">
        <v>48</v>
      </c>
      <c r="E40" s="54" t="s">
        <v>34</v>
      </c>
      <c r="F40" s="55" t="s">
        <v>49</v>
      </c>
      <c r="G40" s="67" t="s">
        <v>50</v>
      </c>
      <c r="H40" s="57" t="s">
        <v>103</v>
      </c>
      <c r="I40" s="55" t="s">
        <v>51</v>
      </c>
      <c r="J40" s="57" t="e">
        <f>ROUND(#REF!*2.4,-1)</f>
        <v>#REF!</v>
      </c>
      <c r="K40" s="58"/>
      <c r="L40" s="59">
        <f>37-2+2</f>
        <v>37</v>
      </c>
      <c r="M40" s="60"/>
      <c r="N40" s="61"/>
      <c r="O40" s="61"/>
      <c r="P40" s="62"/>
      <c r="Q40" s="62">
        <f>14-1</f>
        <v>13</v>
      </c>
      <c r="R40" s="62">
        <f>13-6</f>
        <v>7</v>
      </c>
      <c r="S40" s="62">
        <f>5-1+1</f>
        <v>5</v>
      </c>
      <c r="T40" s="62">
        <f>7-1</f>
        <v>6</v>
      </c>
      <c r="U40" s="62">
        <f>6-1+1</f>
        <v>6</v>
      </c>
      <c r="V40" s="62">
        <f>1-1</f>
        <v>0</v>
      </c>
      <c r="W40" s="63"/>
      <c r="X40" s="63"/>
      <c r="Z40" s="64"/>
      <c r="AA40" s="54"/>
      <c r="AB40" s="54"/>
      <c r="AC40" s="54"/>
    </row>
    <row r="41" spans="1:29" ht="60" customHeight="1" x14ac:dyDescent="0.2">
      <c r="A41" s="69" t="s">
        <v>104</v>
      </c>
      <c r="B41" s="70"/>
      <c r="C41" s="66" t="s">
        <v>105</v>
      </c>
      <c r="D41" s="53" t="s">
        <v>48</v>
      </c>
      <c r="E41" s="54" t="s">
        <v>34</v>
      </c>
      <c r="F41" s="55" t="s">
        <v>49</v>
      </c>
      <c r="G41" s="67" t="s">
        <v>50</v>
      </c>
      <c r="H41" s="57" t="s">
        <v>37</v>
      </c>
      <c r="I41" s="55" t="s">
        <v>51</v>
      </c>
      <c r="J41" s="57" t="e">
        <f>ROUND(#REF!*2.4,-1)</f>
        <v>#REF!</v>
      </c>
      <c r="K41" s="58"/>
      <c r="L41" s="59">
        <f>76-2+1</f>
        <v>75</v>
      </c>
      <c r="M41" s="60"/>
      <c r="N41" s="61"/>
      <c r="O41" s="61"/>
      <c r="P41" s="62"/>
      <c r="Q41" s="62">
        <f>11-1</f>
        <v>10</v>
      </c>
      <c r="R41" s="62">
        <f>17-1</f>
        <v>16</v>
      </c>
      <c r="S41" s="62">
        <f>16-1+1</f>
        <v>16</v>
      </c>
      <c r="T41" s="62">
        <f>16-3+1</f>
        <v>14</v>
      </c>
      <c r="U41" s="62">
        <f>19-1</f>
        <v>18</v>
      </c>
      <c r="V41" s="62">
        <f>2-1</f>
        <v>1</v>
      </c>
      <c r="W41" s="63"/>
      <c r="X41" s="63"/>
      <c r="Z41" s="64"/>
      <c r="AA41" s="54"/>
      <c r="AB41" s="54"/>
      <c r="AC41" s="54"/>
    </row>
    <row r="42" spans="1:29" ht="60" customHeight="1" x14ac:dyDescent="0.2">
      <c r="A42" s="69" t="s">
        <v>106</v>
      </c>
      <c r="B42" s="74"/>
      <c r="C42" s="66" t="s">
        <v>107</v>
      </c>
      <c r="D42" s="53" t="s">
        <v>48</v>
      </c>
      <c r="E42" s="54" t="s">
        <v>34</v>
      </c>
      <c r="F42" s="55" t="s">
        <v>49</v>
      </c>
      <c r="G42" s="67" t="s">
        <v>50</v>
      </c>
      <c r="H42" s="57" t="s">
        <v>37</v>
      </c>
      <c r="I42" s="55" t="s">
        <v>51</v>
      </c>
      <c r="J42" s="57" t="e">
        <f>ROUND(#REF!*2.4,-1)</f>
        <v>#REF!</v>
      </c>
      <c r="K42" s="58"/>
      <c r="L42" s="59">
        <f>99-3</f>
        <v>96</v>
      </c>
      <c r="M42" s="60"/>
      <c r="N42" s="61"/>
      <c r="O42" s="61"/>
      <c r="P42" s="62"/>
      <c r="Q42" s="62">
        <f>23-3</f>
        <v>20</v>
      </c>
      <c r="R42" s="62">
        <f>23-3</f>
        <v>20</v>
      </c>
      <c r="S42" s="62">
        <f>20-1</f>
        <v>19</v>
      </c>
      <c r="T42" s="62">
        <f>19-1</f>
        <v>18</v>
      </c>
      <c r="U42" s="62">
        <f>20-1</f>
        <v>19</v>
      </c>
      <c r="V42" s="62">
        <f>1-1</f>
        <v>0</v>
      </c>
      <c r="W42" s="63"/>
      <c r="X42" s="63"/>
      <c r="Z42" s="71"/>
      <c r="AA42" s="54"/>
      <c r="AB42" s="54"/>
      <c r="AC42" s="54">
        <v>404</v>
      </c>
    </row>
    <row r="43" spans="1:29" ht="60" customHeight="1" x14ac:dyDescent="0.2">
      <c r="A43" s="69" t="s">
        <v>108</v>
      </c>
      <c r="B43" s="70"/>
      <c r="C43" s="66" t="s">
        <v>109</v>
      </c>
      <c r="D43" s="53" t="s">
        <v>48</v>
      </c>
      <c r="E43" s="54" t="s">
        <v>34</v>
      </c>
      <c r="F43" s="55" t="s">
        <v>49</v>
      </c>
      <c r="G43" s="67" t="s">
        <v>50</v>
      </c>
      <c r="H43" s="57" t="s">
        <v>37</v>
      </c>
      <c r="I43" s="55" t="s">
        <v>51</v>
      </c>
      <c r="J43" s="57" t="e">
        <f>ROUND(#REF!*2.4,-1)</f>
        <v>#REF!</v>
      </c>
      <c r="K43" s="58"/>
      <c r="L43" s="59">
        <f>75-1</f>
        <v>74</v>
      </c>
      <c r="M43" s="60"/>
      <c r="N43" s="61"/>
      <c r="O43" s="61"/>
      <c r="P43" s="62"/>
      <c r="Q43" s="62">
        <f>15-1</f>
        <v>14</v>
      </c>
      <c r="R43" s="62">
        <f>11-1</f>
        <v>10</v>
      </c>
      <c r="S43" s="62">
        <f>16-1</f>
        <v>15</v>
      </c>
      <c r="T43" s="62">
        <f>2-1</f>
        <v>1</v>
      </c>
      <c r="U43" s="62">
        <f>35-1</f>
        <v>34</v>
      </c>
      <c r="V43" s="62">
        <f>2-2</f>
        <v>0</v>
      </c>
      <c r="W43" s="63"/>
      <c r="X43" s="63"/>
      <c r="Z43" s="64"/>
      <c r="AA43" s="54"/>
      <c r="AB43" s="54"/>
      <c r="AC43" s="54"/>
    </row>
    <row r="44" spans="1:29" ht="60" customHeight="1" x14ac:dyDescent="0.2">
      <c r="A44" s="69" t="s">
        <v>110</v>
      </c>
      <c r="B44" s="70"/>
      <c r="C44" s="66" t="s">
        <v>111</v>
      </c>
      <c r="D44" s="53" t="s">
        <v>48</v>
      </c>
      <c r="E44" s="54" t="s">
        <v>34</v>
      </c>
      <c r="F44" s="55" t="s">
        <v>49</v>
      </c>
      <c r="G44" s="67" t="s">
        <v>50</v>
      </c>
      <c r="H44" s="57" t="s">
        <v>60</v>
      </c>
      <c r="I44" s="55" t="s">
        <v>51</v>
      </c>
      <c r="J44" s="57" t="e">
        <f>ROUND(#REF!*2.4,-1)</f>
        <v>#REF!</v>
      </c>
      <c r="K44" s="58"/>
      <c r="L44" s="59">
        <f>84-1</f>
        <v>83</v>
      </c>
      <c r="M44" s="60"/>
      <c r="N44" s="61"/>
      <c r="O44" s="61"/>
      <c r="P44" s="62"/>
      <c r="Q44" s="62">
        <f>11-3+2</f>
        <v>10</v>
      </c>
      <c r="R44" s="62">
        <f>19-2+2</f>
        <v>19</v>
      </c>
      <c r="S44" s="62">
        <f>17-2+2+1</f>
        <v>18</v>
      </c>
      <c r="T44" s="62">
        <f>11-1</f>
        <v>10</v>
      </c>
      <c r="U44" s="62">
        <f>26-2+2</f>
        <v>26</v>
      </c>
      <c r="V44" s="62">
        <f>2-2</f>
        <v>0</v>
      </c>
      <c r="W44" s="63"/>
      <c r="X44" s="63"/>
      <c r="Z44" s="64"/>
      <c r="AA44" s="54">
        <v>1420289</v>
      </c>
      <c r="AB44" s="54">
        <v>345</v>
      </c>
      <c r="AC44" s="54">
        <v>388</v>
      </c>
    </row>
    <row r="45" spans="1:29" ht="60" customHeight="1" x14ac:dyDescent="0.2">
      <c r="A45" s="69" t="s">
        <v>112</v>
      </c>
      <c r="B45" s="70"/>
      <c r="C45" s="66" t="s">
        <v>113</v>
      </c>
      <c r="D45" s="53" t="s">
        <v>48</v>
      </c>
      <c r="E45" s="54" t="s">
        <v>34</v>
      </c>
      <c r="F45" s="55" t="s">
        <v>49</v>
      </c>
      <c r="G45" s="67" t="s">
        <v>50</v>
      </c>
      <c r="H45" s="57" t="s">
        <v>37</v>
      </c>
      <c r="I45" s="55" t="s">
        <v>51</v>
      </c>
      <c r="J45" s="57" t="e">
        <f>ROUND(#REF!*2.4,-1)</f>
        <v>#REF!</v>
      </c>
      <c r="K45" s="58"/>
      <c r="L45" s="59">
        <f>56-3+2+3</f>
        <v>58</v>
      </c>
      <c r="M45" s="60"/>
      <c r="N45" s="61"/>
      <c r="O45" s="61"/>
      <c r="P45" s="62"/>
      <c r="Q45" s="62">
        <f>7-1</f>
        <v>6</v>
      </c>
      <c r="R45" s="62">
        <f>13-1+1</f>
        <v>13</v>
      </c>
      <c r="S45" s="62">
        <f>9-1+1+1</f>
        <v>10</v>
      </c>
      <c r="T45" s="62">
        <f>15-1+1+1</f>
        <v>16</v>
      </c>
      <c r="U45" s="62">
        <f>15-2</f>
        <v>13</v>
      </c>
      <c r="V45" s="62">
        <f>1-1</f>
        <v>0</v>
      </c>
      <c r="W45" s="63"/>
      <c r="X45" s="63"/>
      <c r="Z45" s="64"/>
      <c r="AA45" s="54"/>
      <c r="AB45" s="54"/>
      <c r="AC45" s="54">
        <v>400</v>
      </c>
    </row>
    <row r="46" spans="1:29" ht="60" customHeight="1" x14ac:dyDescent="0.2">
      <c r="A46" s="69" t="s">
        <v>114</v>
      </c>
      <c r="B46" s="74"/>
      <c r="C46" s="66" t="s">
        <v>115</v>
      </c>
      <c r="D46" s="53" t="s">
        <v>58</v>
      </c>
      <c r="E46" s="68" t="s">
        <v>34</v>
      </c>
      <c r="F46" s="55" t="s">
        <v>59</v>
      </c>
      <c r="G46" s="67" t="s">
        <v>50</v>
      </c>
      <c r="H46" s="57" t="s">
        <v>37</v>
      </c>
      <c r="I46" s="55" t="s">
        <v>51</v>
      </c>
      <c r="J46" s="57" t="e">
        <f>ROUND(#REF!*2.4,-1)</f>
        <v>#REF!</v>
      </c>
      <c r="K46" s="58"/>
      <c r="L46" s="59">
        <f>78-7+4</f>
        <v>75</v>
      </c>
      <c r="M46" s="60"/>
      <c r="N46" s="61"/>
      <c r="O46" s="61"/>
      <c r="P46" s="62">
        <f>12-5</f>
        <v>7</v>
      </c>
      <c r="Q46" s="62">
        <f>82-70+5+1</f>
        <v>18</v>
      </c>
      <c r="R46" s="62">
        <f>70-56+5+1</f>
        <v>20</v>
      </c>
      <c r="S46" s="62">
        <f>83-70+2+1</f>
        <v>16</v>
      </c>
      <c r="T46" s="62">
        <f>15-2+1</f>
        <v>14</v>
      </c>
      <c r="U46" s="62">
        <f>2-2</f>
        <v>0</v>
      </c>
      <c r="V46" s="62"/>
      <c r="W46" s="63"/>
      <c r="X46" s="63"/>
      <c r="Z46" s="64"/>
      <c r="AA46" s="54">
        <v>3510610</v>
      </c>
      <c r="AB46" s="54">
        <v>453</v>
      </c>
      <c r="AC46" s="54">
        <v>393</v>
      </c>
    </row>
    <row r="47" spans="1:29" ht="60" hidden="1" customHeight="1" x14ac:dyDescent="0.2">
      <c r="A47" s="69" t="s">
        <v>116</v>
      </c>
      <c r="B47" s="74"/>
      <c r="C47" s="66" t="s">
        <v>115</v>
      </c>
      <c r="D47" s="53" t="s">
        <v>48</v>
      </c>
      <c r="E47" s="68" t="s">
        <v>34</v>
      </c>
      <c r="F47" s="55" t="s">
        <v>49</v>
      </c>
      <c r="G47" s="67" t="s">
        <v>50</v>
      </c>
      <c r="H47" s="57" t="s">
        <v>37</v>
      </c>
      <c r="I47" s="55" t="s">
        <v>51</v>
      </c>
      <c r="J47" s="57" t="e">
        <f>ROUND(#REF!*2.4,-1)</f>
        <v>#REF!</v>
      </c>
      <c r="K47" s="58"/>
      <c r="L47" s="59">
        <f>53-53</f>
        <v>0</v>
      </c>
      <c r="M47" s="60"/>
      <c r="N47" s="61"/>
      <c r="O47" s="61"/>
      <c r="P47" s="62"/>
      <c r="Q47" s="62">
        <f>15-15</f>
        <v>0</v>
      </c>
      <c r="R47" s="62">
        <f>15-15</f>
        <v>0</v>
      </c>
      <c r="S47" s="62">
        <f>10-10</f>
        <v>0</v>
      </c>
      <c r="T47" s="62">
        <f>5-5</f>
        <v>0</v>
      </c>
      <c r="U47" s="62">
        <f>5-5</f>
        <v>0</v>
      </c>
      <c r="V47" s="62">
        <f>3-3</f>
        <v>0</v>
      </c>
      <c r="W47" s="63"/>
      <c r="X47" s="63"/>
      <c r="Z47" s="64"/>
      <c r="AA47" s="54"/>
      <c r="AB47" s="54"/>
      <c r="AC47" s="54"/>
    </row>
    <row r="48" spans="1:29" ht="60" customHeight="1" x14ac:dyDescent="0.2">
      <c r="A48" s="69" t="s">
        <v>117</v>
      </c>
      <c r="B48" s="73"/>
      <c r="C48" s="66" t="s">
        <v>118</v>
      </c>
      <c r="D48" s="57" t="s">
        <v>58</v>
      </c>
      <c r="E48" s="54" t="s">
        <v>34</v>
      </c>
      <c r="F48" s="67" t="s">
        <v>59</v>
      </c>
      <c r="G48" s="67" t="s">
        <v>50</v>
      </c>
      <c r="H48" s="57" t="s">
        <v>37</v>
      </c>
      <c r="I48" s="55" t="s">
        <v>51</v>
      </c>
      <c r="J48" s="57" t="e">
        <f>ROUND(#REF!*2.4,-1)</f>
        <v>#REF!</v>
      </c>
      <c r="K48" s="58"/>
      <c r="L48" s="59">
        <f>18-1+1</f>
        <v>18</v>
      </c>
      <c r="M48" s="60"/>
      <c r="N48" s="61"/>
      <c r="O48" s="61"/>
      <c r="P48" s="62">
        <f>2-1</f>
        <v>1</v>
      </c>
      <c r="Q48" s="62">
        <f>3-3+2+2</f>
        <v>4</v>
      </c>
      <c r="R48" s="62">
        <f>2-2+2+1</f>
        <v>3</v>
      </c>
      <c r="S48" s="62">
        <f>8-1+1</f>
        <v>8</v>
      </c>
      <c r="T48" s="62">
        <f>3-1</f>
        <v>2</v>
      </c>
      <c r="U48" s="62"/>
      <c r="V48" s="62"/>
      <c r="W48" s="63"/>
      <c r="X48" s="63"/>
      <c r="Z48" s="71"/>
      <c r="AA48" s="54"/>
      <c r="AB48" s="54"/>
      <c r="AC48" s="54"/>
    </row>
    <row r="49" spans="1:29" ht="60" customHeight="1" x14ac:dyDescent="0.2">
      <c r="A49" s="50" t="s">
        <v>119</v>
      </c>
      <c r="B49" s="79"/>
      <c r="C49" s="66" t="s">
        <v>120</v>
      </c>
      <c r="D49" s="53" t="s">
        <v>48</v>
      </c>
      <c r="E49" s="54" t="s">
        <v>34</v>
      </c>
      <c r="F49" s="55" t="s">
        <v>121</v>
      </c>
      <c r="G49" s="67" t="s">
        <v>50</v>
      </c>
      <c r="H49" s="57" t="s">
        <v>60</v>
      </c>
      <c r="I49" s="55" t="s">
        <v>51</v>
      </c>
      <c r="J49" s="57" t="e">
        <f>ROUND(#REF!*2.4,-1)</f>
        <v>#REF!</v>
      </c>
      <c r="K49" s="58"/>
      <c r="L49" s="59">
        <f>20-2</f>
        <v>18</v>
      </c>
      <c r="M49" s="80"/>
      <c r="N49" s="61"/>
      <c r="O49" s="61"/>
      <c r="P49" s="63"/>
      <c r="Q49" s="63">
        <f>1-1+1</f>
        <v>1</v>
      </c>
      <c r="R49" s="63">
        <f>2-1</f>
        <v>1</v>
      </c>
      <c r="S49" s="63">
        <f>2-1+2</f>
        <v>3</v>
      </c>
      <c r="T49" s="63">
        <f>8-2</f>
        <v>6</v>
      </c>
      <c r="U49" s="63">
        <f>7-1</f>
        <v>6</v>
      </c>
      <c r="V49" s="63">
        <f>2-1</f>
        <v>1</v>
      </c>
      <c r="W49" s="63"/>
      <c r="X49" s="63"/>
      <c r="Z49" s="64"/>
      <c r="AA49" s="54"/>
      <c r="AB49" s="54"/>
      <c r="AC49" s="54"/>
    </row>
    <row r="50" spans="1:29" ht="60" customHeight="1" x14ac:dyDescent="0.2">
      <c r="A50" s="69" t="s">
        <v>122</v>
      </c>
      <c r="B50" s="74"/>
      <c r="C50" s="66" t="s">
        <v>120</v>
      </c>
      <c r="D50" s="53" t="s">
        <v>48</v>
      </c>
      <c r="E50" s="54" t="s">
        <v>34</v>
      </c>
      <c r="F50" s="55" t="s">
        <v>49</v>
      </c>
      <c r="G50" s="67" t="s">
        <v>50</v>
      </c>
      <c r="H50" s="57" t="s">
        <v>123</v>
      </c>
      <c r="I50" s="55" t="s">
        <v>51</v>
      </c>
      <c r="J50" s="57" t="e">
        <f>ROUND(#REF!*2.4,-1)</f>
        <v>#REF!</v>
      </c>
      <c r="K50" s="58"/>
      <c r="L50" s="59">
        <f>10-2</f>
        <v>8</v>
      </c>
      <c r="M50" s="60"/>
      <c r="N50" s="61"/>
      <c r="O50" s="61"/>
      <c r="P50" s="62"/>
      <c r="Q50" s="62">
        <f>1-1+2</f>
        <v>2</v>
      </c>
      <c r="R50" s="62">
        <f>2-1</f>
        <v>1</v>
      </c>
      <c r="S50" s="62">
        <f>1-1+2</f>
        <v>2</v>
      </c>
      <c r="T50" s="62">
        <f>2-1</f>
        <v>1</v>
      </c>
      <c r="U50" s="62">
        <f>1-1+2</f>
        <v>2</v>
      </c>
      <c r="V50" s="62">
        <f>1-1</f>
        <v>0</v>
      </c>
      <c r="W50" s="63"/>
      <c r="X50" s="63"/>
      <c r="Z50" s="64"/>
      <c r="AA50" s="54"/>
      <c r="AB50" s="54"/>
      <c r="AC50" s="54"/>
    </row>
    <row r="51" spans="1:29" ht="60" hidden="1" customHeight="1" x14ac:dyDescent="0.2">
      <c r="A51" s="50" t="s">
        <v>124</v>
      </c>
      <c r="B51" s="51"/>
      <c r="C51" s="66" t="s">
        <v>125</v>
      </c>
      <c r="D51" s="53" t="s">
        <v>58</v>
      </c>
      <c r="E51" s="54" t="s">
        <v>34</v>
      </c>
      <c r="F51" s="55" t="s">
        <v>59</v>
      </c>
      <c r="G51" s="67" t="s">
        <v>50</v>
      </c>
      <c r="H51" s="57" t="s">
        <v>37</v>
      </c>
      <c r="I51" s="55" t="s">
        <v>51</v>
      </c>
      <c r="J51" s="57" t="e">
        <f>ROUND(#REF!*2.4,-1)</f>
        <v>#REF!</v>
      </c>
      <c r="K51" s="58"/>
      <c r="L51" s="59">
        <f>2-2</f>
        <v>0</v>
      </c>
      <c r="M51" s="60"/>
      <c r="N51" s="61"/>
      <c r="O51" s="61"/>
      <c r="P51" s="62">
        <f>1-1</f>
        <v>0</v>
      </c>
      <c r="Q51" s="62">
        <f>1-1</f>
        <v>0</v>
      </c>
      <c r="R51" s="62">
        <f>1-1</f>
        <v>0</v>
      </c>
      <c r="S51" s="62">
        <f>1-1</f>
        <v>0</v>
      </c>
      <c r="T51" s="62">
        <f>1-1</f>
        <v>0</v>
      </c>
      <c r="U51" s="62"/>
      <c r="V51" s="62"/>
      <c r="W51" s="63"/>
      <c r="X51" s="63"/>
      <c r="Z51" s="64"/>
      <c r="AA51" s="54"/>
      <c r="AB51" s="54"/>
      <c r="AC51" s="54"/>
    </row>
    <row r="52" spans="1:29" ht="60" customHeight="1" x14ac:dyDescent="0.2">
      <c r="A52" s="69" t="s">
        <v>126</v>
      </c>
      <c r="B52" s="74"/>
      <c r="C52" s="66" t="s">
        <v>127</v>
      </c>
      <c r="D52" s="57" t="s">
        <v>58</v>
      </c>
      <c r="E52" s="54" t="s">
        <v>34</v>
      </c>
      <c r="F52" s="67" t="s">
        <v>59</v>
      </c>
      <c r="G52" s="67" t="s">
        <v>50</v>
      </c>
      <c r="H52" s="57" t="s">
        <v>128</v>
      </c>
      <c r="I52" s="67" t="s">
        <v>51</v>
      </c>
      <c r="J52" s="57" t="e">
        <f>ROUND(#REF!*2.4,-1)</f>
        <v>#REF!</v>
      </c>
      <c r="K52" s="58"/>
      <c r="L52" s="59">
        <f>10-2</f>
        <v>8</v>
      </c>
      <c r="M52" s="60"/>
      <c r="N52" s="61"/>
      <c r="O52" s="61"/>
      <c r="P52" s="62">
        <f>5-2</f>
        <v>3</v>
      </c>
      <c r="Q52" s="62">
        <f>1-1</f>
        <v>0</v>
      </c>
      <c r="R52" s="62">
        <f>2-1</f>
        <v>1</v>
      </c>
      <c r="S52" s="62">
        <f>3-1</f>
        <v>2</v>
      </c>
      <c r="T52" s="62">
        <f>4-2</f>
        <v>2</v>
      </c>
      <c r="U52" s="62"/>
      <c r="V52" s="62"/>
      <c r="W52" s="63"/>
      <c r="X52" s="63"/>
      <c r="Z52" s="64"/>
      <c r="AA52" s="54"/>
      <c r="AB52" s="54"/>
      <c r="AC52" s="54"/>
    </row>
    <row r="53" spans="1:29" ht="60" customHeight="1" x14ac:dyDescent="0.2">
      <c r="A53" s="69" t="s">
        <v>129</v>
      </c>
      <c r="B53" s="70"/>
      <c r="C53" s="66" t="s">
        <v>130</v>
      </c>
      <c r="D53" s="53" t="s">
        <v>48</v>
      </c>
      <c r="E53" s="68" t="s">
        <v>34</v>
      </c>
      <c r="F53" s="55" t="s">
        <v>49</v>
      </c>
      <c r="G53" s="67" t="s">
        <v>50</v>
      </c>
      <c r="H53" s="57" t="s">
        <v>60</v>
      </c>
      <c r="I53" s="55" t="s">
        <v>51</v>
      </c>
      <c r="J53" s="57" t="e">
        <f>ROUND(#REF!*2.4,-1)</f>
        <v>#REF!</v>
      </c>
      <c r="K53" s="58"/>
      <c r="L53" s="59">
        <f>6-1+3+1</f>
        <v>9</v>
      </c>
      <c r="M53" s="60"/>
      <c r="N53" s="61"/>
      <c r="O53" s="61"/>
      <c r="P53" s="62"/>
      <c r="Q53" s="62">
        <f>6-1</f>
        <v>5</v>
      </c>
      <c r="R53" s="62">
        <f>1-1+1</f>
        <v>1</v>
      </c>
      <c r="S53" s="62">
        <f>1-1+1</f>
        <v>1</v>
      </c>
      <c r="T53" s="62">
        <f>1-1+1+1</f>
        <v>2</v>
      </c>
      <c r="U53" s="62">
        <f>1-1+1-1</f>
        <v>0</v>
      </c>
      <c r="V53" s="62">
        <f>3-3</f>
        <v>0</v>
      </c>
      <c r="W53" s="63"/>
      <c r="X53" s="63"/>
      <c r="Z53" s="71"/>
      <c r="AA53" s="54">
        <v>1420627</v>
      </c>
      <c r="AB53" s="54">
        <v>400</v>
      </c>
      <c r="AC53" s="54"/>
    </row>
    <row r="54" spans="1:29" ht="60" hidden="1" customHeight="1" x14ac:dyDescent="0.2">
      <c r="A54" s="69" t="s">
        <v>131</v>
      </c>
      <c r="B54" s="70"/>
      <c r="C54" s="66" t="s">
        <v>127</v>
      </c>
      <c r="D54" s="53" t="s">
        <v>48</v>
      </c>
      <c r="E54" s="54" t="s">
        <v>34</v>
      </c>
      <c r="F54" s="55" t="s">
        <v>49</v>
      </c>
      <c r="G54" s="67" t="s">
        <v>50</v>
      </c>
      <c r="H54" s="57" t="s">
        <v>132</v>
      </c>
      <c r="I54" s="55" t="s">
        <v>51</v>
      </c>
      <c r="J54" s="57" t="e">
        <f>ROUND(#REF!*2.4,-1)</f>
        <v>#REF!</v>
      </c>
      <c r="K54" s="58"/>
      <c r="L54" s="59">
        <f>2-2</f>
        <v>0</v>
      </c>
      <c r="M54" s="60"/>
      <c r="N54" s="61"/>
      <c r="O54" s="61"/>
      <c r="P54" s="62"/>
      <c r="Q54" s="62">
        <f>1-1</f>
        <v>0</v>
      </c>
      <c r="R54" s="62">
        <f>1-1</f>
        <v>0</v>
      </c>
      <c r="S54" s="62">
        <f>1-1</f>
        <v>0</v>
      </c>
      <c r="T54" s="62">
        <f>1-1</f>
        <v>0</v>
      </c>
      <c r="U54" s="62"/>
      <c r="V54" s="62"/>
      <c r="W54" s="63"/>
      <c r="X54" s="63"/>
      <c r="Z54" s="71"/>
      <c r="AA54" s="54"/>
      <c r="AB54" s="54"/>
      <c r="AC54" s="54"/>
    </row>
    <row r="55" spans="1:29" ht="60" customHeight="1" x14ac:dyDescent="0.2">
      <c r="A55" s="69" t="s">
        <v>133</v>
      </c>
      <c r="B55" s="70"/>
      <c r="C55" s="66" t="s">
        <v>127</v>
      </c>
      <c r="D55" s="57" t="s">
        <v>134</v>
      </c>
      <c r="E55" s="54" t="s">
        <v>34</v>
      </c>
      <c r="F55" s="67" t="s">
        <v>135</v>
      </c>
      <c r="G55" s="67" t="s">
        <v>136</v>
      </c>
      <c r="H55" s="57" t="s">
        <v>137</v>
      </c>
      <c r="I55" s="55" t="s">
        <v>51</v>
      </c>
      <c r="J55" s="57" t="e">
        <f>ROUND(#REF!*2.4,-1)</f>
        <v>#REF!</v>
      </c>
      <c r="K55" s="58"/>
      <c r="L55" s="59">
        <f>14-1</f>
        <v>13</v>
      </c>
      <c r="M55" s="60"/>
      <c r="N55" s="61"/>
      <c r="O55" s="61"/>
      <c r="P55" s="62">
        <f>6-1</f>
        <v>5</v>
      </c>
      <c r="Q55" s="62">
        <f>4-1</f>
        <v>3</v>
      </c>
      <c r="R55" s="62">
        <f>6-1</f>
        <v>5</v>
      </c>
      <c r="S55" s="62">
        <f>1-1</f>
        <v>0</v>
      </c>
      <c r="T55" s="62">
        <f>1-1</f>
        <v>0</v>
      </c>
      <c r="U55" s="62"/>
      <c r="V55" s="62"/>
      <c r="W55" s="63"/>
      <c r="X55" s="63"/>
      <c r="Z55" s="71"/>
      <c r="AA55" s="54"/>
      <c r="AB55" s="54"/>
      <c r="AC55" s="54"/>
    </row>
    <row r="56" spans="1:29" ht="60" hidden="1" customHeight="1" x14ac:dyDescent="0.2">
      <c r="A56" s="69" t="s">
        <v>138</v>
      </c>
      <c r="B56" s="70"/>
      <c r="C56" s="66" t="s">
        <v>127</v>
      </c>
      <c r="D56" s="53" t="s">
        <v>58</v>
      </c>
      <c r="E56" s="54" t="s">
        <v>34</v>
      </c>
      <c r="F56" s="67"/>
      <c r="G56" s="67"/>
      <c r="H56" s="57"/>
      <c r="I56" s="55" t="s">
        <v>51</v>
      </c>
      <c r="J56" s="57"/>
      <c r="K56" s="58"/>
      <c r="L56" s="59">
        <f>1-1</f>
        <v>0</v>
      </c>
      <c r="M56" s="60"/>
      <c r="N56" s="61"/>
      <c r="O56" s="61"/>
      <c r="P56" s="62">
        <f>30-30</f>
        <v>0</v>
      </c>
      <c r="Q56" s="62">
        <f>30-30</f>
        <v>0</v>
      </c>
      <c r="R56" s="62">
        <f>29-29</f>
        <v>0</v>
      </c>
      <c r="S56" s="62">
        <f>1-1</f>
        <v>0</v>
      </c>
      <c r="T56" s="62">
        <f>30-30</f>
        <v>0</v>
      </c>
      <c r="U56" s="62"/>
      <c r="V56" s="62"/>
      <c r="W56" s="63"/>
      <c r="X56" s="63"/>
      <c r="Z56" s="71"/>
      <c r="AA56" s="54"/>
      <c r="AB56" s="54"/>
      <c r="AC56" s="54"/>
    </row>
    <row r="57" spans="1:29" ht="60" customHeight="1" x14ac:dyDescent="0.2">
      <c r="A57" s="69" t="s">
        <v>139</v>
      </c>
      <c r="B57" s="70"/>
      <c r="C57" s="66" t="s">
        <v>140</v>
      </c>
      <c r="D57" s="53" t="s">
        <v>48</v>
      </c>
      <c r="E57" s="54" t="s">
        <v>34</v>
      </c>
      <c r="F57" s="55" t="s">
        <v>49</v>
      </c>
      <c r="G57" s="67" t="s">
        <v>50</v>
      </c>
      <c r="H57" s="57" t="s">
        <v>37</v>
      </c>
      <c r="I57" s="55" t="s">
        <v>51</v>
      </c>
      <c r="J57" s="57" t="e">
        <f>ROUND(#REF!*2.4,-1)</f>
        <v>#REF!</v>
      </c>
      <c r="K57" s="58"/>
      <c r="L57" s="59">
        <f>66-1</f>
        <v>65</v>
      </c>
      <c r="M57" s="60"/>
      <c r="N57" s="61"/>
      <c r="O57" s="61"/>
      <c r="P57" s="62"/>
      <c r="Q57" s="62">
        <f>8-6</f>
        <v>2</v>
      </c>
      <c r="R57" s="62">
        <f>13-6</f>
        <v>7</v>
      </c>
      <c r="S57" s="62">
        <f>18-1</f>
        <v>17</v>
      </c>
      <c r="T57" s="62">
        <f>21-6</f>
        <v>15</v>
      </c>
      <c r="U57" s="62">
        <f>20-15+15+1+3</f>
        <v>24</v>
      </c>
      <c r="V57" s="62">
        <f>1-1</f>
        <v>0</v>
      </c>
      <c r="W57" s="63"/>
      <c r="X57" s="63"/>
      <c r="Z57" s="71"/>
      <c r="AA57" s="54"/>
      <c r="AB57" s="54"/>
      <c r="AC57" s="54">
        <v>386</v>
      </c>
    </row>
    <row r="58" spans="1:29" ht="60" customHeight="1" x14ac:dyDescent="0.2">
      <c r="A58" s="69" t="s">
        <v>141</v>
      </c>
      <c r="B58" s="74"/>
      <c r="C58" s="66" t="s">
        <v>142</v>
      </c>
      <c r="D58" s="53" t="s">
        <v>48</v>
      </c>
      <c r="E58" s="54" t="s">
        <v>34</v>
      </c>
      <c r="F58" s="55" t="s">
        <v>49</v>
      </c>
      <c r="G58" s="67" t="s">
        <v>50</v>
      </c>
      <c r="H58" s="57" t="s">
        <v>103</v>
      </c>
      <c r="I58" s="55" t="s">
        <v>51</v>
      </c>
      <c r="J58" s="57" t="e">
        <f>ROUND(#REF!*2.4,-1)</f>
        <v>#REF!</v>
      </c>
      <c r="K58" s="58"/>
      <c r="L58" s="59">
        <f>36-3</f>
        <v>33</v>
      </c>
      <c r="M58" s="60"/>
      <c r="N58" s="61"/>
      <c r="O58" s="61"/>
      <c r="P58" s="62"/>
      <c r="Q58" s="62">
        <f>5-1</f>
        <v>4</v>
      </c>
      <c r="R58" s="62">
        <f>2-1</f>
        <v>1</v>
      </c>
      <c r="S58" s="62">
        <f>7-1</f>
        <v>6</v>
      </c>
      <c r="T58" s="62">
        <f>23-20+2</f>
        <v>5</v>
      </c>
      <c r="U58" s="62">
        <f>15-1+1+2</f>
        <v>17</v>
      </c>
      <c r="V58" s="62">
        <f>1-1</f>
        <v>0</v>
      </c>
      <c r="W58" s="63"/>
      <c r="X58" s="63"/>
      <c r="Z58" s="64"/>
      <c r="AA58" s="54"/>
      <c r="AB58" s="54"/>
      <c r="AC58" s="54"/>
    </row>
    <row r="59" spans="1:29" ht="60" customHeight="1" x14ac:dyDescent="0.2">
      <c r="A59" s="69" t="s">
        <v>143</v>
      </c>
      <c r="B59" s="74"/>
      <c r="C59" s="66" t="s">
        <v>142</v>
      </c>
      <c r="D59" s="53" t="s">
        <v>58</v>
      </c>
      <c r="E59" s="54" t="s">
        <v>34</v>
      </c>
      <c r="F59" s="55" t="s">
        <v>59</v>
      </c>
      <c r="G59" s="67" t="s">
        <v>50</v>
      </c>
      <c r="H59" s="57" t="s">
        <v>123</v>
      </c>
      <c r="I59" s="55" t="s">
        <v>51</v>
      </c>
      <c r="J59" s="57" t="e">
        <f>ROUND(#REF!*2.4,-1)</f>
        <v>#REF!</v>
      </c>
      <c r="K59" s="58"/>
      <c r="L59" s="59">
        <f>17-1</f>
        <v>16</v>
      </c>
      <c r="M59" s="60"/>
      <c r="N59" s="61"/>
      <c r="O59" s="61"/>
      <c r="P59" s="62">
        <f>4-1+2</f>
        <v>5</v>
      </c>
      <c r="Q59" s="62">
        <f>6-1</f>
        <v>5</v>
      </c>
      <c r="R59" s="62">
        <f>2-2+2</f>
        <v>2</v>
      </c>
      <c r="S59" s="62">
        <f>2-2+1</f>
        <v>1</v>
      </c>
      <c r="T59" s="62">
        <f>2-1+2</f>
        <v>3</v>
      </c>
      <c r="U59" s="62"/>
      <c r="V59" s="62"/>
      <c r="W59" s="63"/>
      <c r="X59" s="63"/>
      <c r="Z59" s="64"/>
      <c r="AA59" s="54"/>
      <c r="AB59" s="54"/>
      <c r="AC59" s="54"/>
    </row>
    <row r="60" spans="1:29" ht="60" customHeight="1" x14ac:dyDescent="0.2">
      <c r="A60" s="81" t="s">
        <v>144</v>
      </c>
      <c r="B60" s="70"/>
      <c r="C60" s="66" t="s">
        <v>72</v>
      </c>
      <c r="D60" s="57" t="s">
        <v>48</v>
      </c>
      <c r="E60" s="54" t="s">
        <v>34</v>
      </c>
      <c r="F60" s="67" t="s">
        <v>49</v>
      </c>
      <c r="G60" s="67" t="s">
        <v>68</v>
      </c>
      <c r="H60" s="57" t="s">
        <v>37</v>
      </c>
      <c r="I60" s="67" t="s">
        <v>51</v>
      </c>
      <c r="J60" s="57" t="e">
        <f>ROUND(#REF!*2.4,-1)</f>
        <v>#REF!</v>
      </c>
      <c r="K60" s="58"/>
      <c r="L60" s="59">
        <f>7-2</f>
        <v>5</v>
      </c>
      <c r="M60" s="60"/>
      <c r="N60" s="61"/>
      <c r="O60" s="61"/>
      <c r="P60" s="62"/>
      <c r="Q60" s="62">
        <f>3-1</f>
        <v>2</v>
      </c>
      <c r="R60" s="62">
        <f>2-1</f>
        <v>1</v>
      </c>
      <c r="S60" s="62">
        <f>1-1+1</f>
        <v>1</v>
      </c>
      <c r="T60" s="62">
        <f t="shared" ref="T60:V61" si="1">1-1</f>
        <v>0</v>
      </c>
      <c r="U60" s="62">
        <f t="shared" si="1"/>
        <v>0</v>
      </c>
      <c r="V60" s="62">
        <f>1-1+1</f>
        <v>1</v>
      </c>
      <c r="W60" s="63"/>
      <c r="X60" s="63"/>
      <c r="Z60" s="64"/>
      <c r="AA60" s="54">
        <v>3610595</v>
      </c>
      <c r="AB60" s="54">
        <v>388</v>
      </c>
      <c r="AC60" s="54"/>
    </row>
    <row r="61" spans="1:29" ht="60" hidden="1" customHeight="1" x14ac:dyDescent="0.2">
      <c r="A61" s="50" t="s">
        <v>145</v>
      </c>
      <c r="B61" s="51"/>
      <c r="C61" s="66" t="s">
        <v>43</v>
      </c>
      <c r="D61" s="53" t="s">
        <v>48</v>
      </c>
      <c r="E61" s="68" t="s">
        <v>34</v>
      </c>
      <c r="F61" s="55" t="s">
        <v>49</v>
      </c>
      <c r="G61" s="67" t="s">
        <v>50</v>
      </c>
      <c r="H61" s="57" t="s">
        <v>137</v>
      </c>
      <c r="I61" s="55" t="s">
        <v>51</v>
      </c>
      <c r="J61" s="57" t="e">
        <f>ROUND(#REF!*2.4,-1)</f>
        <v>#REF!</v>
      </c>
      <c r="K61" s="58"/>
      <c r="L61" s="59">
        <f>1-1</f>
        <v>0</v>
      </c>
      <c r="M61" s="60"/>
      <c r="N61" s="61"/>
      <c r="O61" s="61"/>
      <c r="P61" s="62"/>
      <c r="Q61" s="62">
        <f>1-1</f>
        <v>0</v>
      </c>
      <c r="R61" s="62">
        <f t="shared" ref="Q61:T62" si="2">1-1</f>
        <v>0</v>
      </c>
      <c r="S61" s="62">
        <f>1-1</f>
        <v>0</v>
      </c>
      <c r="T61" s="62">
        <f t="shared" si="1"/>
        <v>0</v>
      </c>
      <c r="U61" s="62">
        <f t="shared" si="1"/>
        <v>0</v>
      </c>
      <c r="V61" s="62">
        <f t="shared" si="1"/>
        <v>0</v>
      </c>
      <c r="W61" s="63"/>
      <c r="X61" s="63"/>
      <c r="Z61" s="64"/>
      <c r="AA61" s="54"/>
      <c r="AB61" s="54"/>
      <c r="AC61" s="54"/>
    </row>
    <row r="62" spans="1:29" ht="60" hidden="1" customHeight="1" x14ac:dyDescent="0.2">
      <c r="A62" s="50" t="s">
        <v>146</v>
      </c>
      <c r="B62" s="51"/>
      <c r="C62" s="66" t="s">
        <v>43</v>
      </c>
      <c r="D62" s="53" t="s">
        <v>48</v>
      </c>
      <c r="E62" s="54" t="s">
        <v>34</v>
      </c>
      <c r="F62" s="55" t="s">
        <v>49</v>
      </c>
      <c r="G62" s="67" t="s">
        <v>50</v>
      </c>
      <c r="H62" s="57" t="s">
        <v>147</v>
      </c>
      <c r="I62" s="55" t="s">
        <v>51</v>
      </c>
      <c r="J62" s="57" t="e">
        <f>ROUND(#REF!*2.4,-1)</f>
        <v>#REF!</v>
      </c>
      <c r="K62" s="58"/>
      <c r="L62" s="59">
        <f>1-1</f>
        <v>0</v>
      </c>
      <c r="M62" s="60"/>
      <c r="N62" s="61"/>
      <c r="O62" s="61"/>
      <c r="P62" s="62"/>
      <c r="Q62" s="62">
        <f t="shared" si="2"/>
        <v>0</v>
      </c>
      <c r="R62" s="62">
        <f t="shared" si="2"/>
        <v>0</v>
      </c>
      <c r="S62" s="62">
        <f t="shared" si="2"/>
        <v>0</v>
      </c>
      <c r="T62" s="62">
        <f>2-2</f>
        <v>0</v>
      </c>
      <c r="U62" s="62">
        <f>1-1+1-1</f>
        <v>0</v>
      </c>
      <c r="V62" s="62">
        <f>1-1</f>
        <v>0</v>
      </c>
      <c r="W62" s="63"/>
      <c r="X62" s="63"/>
      <c r="Z62" s="64"/>
      <c r="AA62" s="54"/>
      <c r="AB62" s="54"/>
      <c r="AC62" s="54"/>
    </row>
    <row r="63" spans="1:29" ht="60" hidden="1" customHeight="1" x14ac:dyDescent="0.2">
      <c r="A63" s="50" t="s">
        <v>148</v>
      </c>
      <c r="B63" s="51"/>
      <c r="C63" s="66" t="s">
        <v>43</v>
      </c>
      <c r="D63" s="53" t="s">
        <v>48</v>
      </c>
      <c r="E63" s="54" t="s">
        <v>34</v>
      </c>
      <c r="F63" s="55" t="s">
        <v>49</v>
      </c>
      <c r="G63" s="67" t="s">
        <v>50</v>
      </c>
      <c r="H63" s="57" t="s">
        <v>149</v>
      </c>
      <c r="I63" s="55" t="s">
        <v>51</v>
      </c>
      <c r="J63" s="57" t="e">
        <f>ROUND(#REF!*2.4,-1)</f>
        <v>#REF!</v>
      </c>
      <c r="K63" s="58"/>
      <c r="L63" s="59">
        <f>2-2</f>
        <v>0</v>
      </c>
      <c r="M63" s="60"/>
      <c r="N63" s="61"/>
      <c r="O63" s="61"/>
      <c r="P63" s="62"/>
      <c r="Q63" s="62">
        <f>2-2</f>
        <v>0</v>
      </c>
      <c r="R63" s="62"/>
      <c r="S63" s="62"/>
      <c r="T63" s="62"/>
      <c r="U63" s="62"/>
      <c r="V63" s="62"/>
      <c r="W63" s="63"/>
      <c r="X63" s="63"/>
      <c r="Z63" s="64"/>
      <c r="AA63" s="54"/>
      <c r="AB63" s="54"/>
      <c r="AC63" s="54"/>
    </row>
    <row r="64" spans="1:29" ht="60" hidden="1" customHeight="1" x14ac:dyDescent="0.2">
      <c r="A64" s="50" t="s">
        <v>150</v>
      </c>
      <c r="B64" s="51"/>
      <c r="C64" s="66" t="s">
        <v>43</v>
      </c>
      <c r="D64" s="53" t="s">
        <v>48</v>
      </c>
      <c r="E64" s="54" t="s">
        <v>34</v>
      </c>
      <c r="F64" s="55" t="s">
        <v>49</v>
      </c>
      <c r="G64" s="67" t="s">
        <v>50</v>
      </c>
      <c r="H64" s="57" t="s">
        <v>151</v>
      </c>
      <c r="I64" s="55" t="s">
        <v>51</v>
      </c>
      <c r="J64" s="57" t="e">
        <f>ROUND(#REF!*2.4,-1)</f>
        <v>#REF!</v>
      </c>
      <c r="K64" s="58"/>
      <c r="L64" s="59">
        <f>1-1</f>
        <v>0</v>
      </c>
      <c r="M64" s="60"/>
      <c r="N64" s="61"/>
      <c r="O64" s="61"/>
      <c r="P64" s="62"/>
      <c r="Q64" s="62">
        <f>3-3</f>
        <v>0</v>
      </c>
      <c r="R64" s="62">
        <f>2-2</f>
        <v>0</v>
      </c>
      <c r="S64" s="62">
        <f>1-1+1-1</f>
        <v>0</v>
      </c>
      <c r="T64" s="62">
        <f>1-1</f>
        <v>0</v>
      </c>
      <c r="U64" s="62">
        <f>1-1</f>
        <v>0</v>
      </c>
      <c r="V64" s="62"/>
      <c r="W64" s="63"/>
      <c r="X64" s="63"/>
      <c r="Z64" s="64"/>
      <c r="AA64" s="54"/>
      <c r="AB64" s="54"/>
      <c r="AC64" s="54"/>
    </row>
    <row r="65" spans="1:29" ht="60" customHeight="1" x14ac:dyDescent="0.2">
      <c r="A65" s="50" t="s">
        <v>152</v>
      </c>
      <c r="B65" s="51"/>
      <c r="C65" s="66" t="s">
        <v>43</v>
      </c>
      <c r="D65" s="53" t="s">
        <v>48</v>
      </c>
      <c r="E65" s="54" t="s">
        <v>34</v>
      </c>
      <c r="F65" s="55" t="s">
        <v>49</v>
      </c>
      <c r="G65" s="67" t="s">
        <v>68</v>
      </c>
      <c r="H65" s="57" t="s">
        <v>60</v>
      </c>
      <c r="I65" s="55" t="s">
        <v>51</v>
      </c>
      <c r="J65" s="57" t="e">
        <f>ROUND(#REF!*2.4,-1)</f>
        <v>#REF!</v>
      </c>
      <c r="K65" s="58"/>
      <c r="L65" s="59">
        <f>1-1+3+1+65</f>
        <v>69</v>
      </c>
      <c r="M65" s="60"/>
      <c r="N65" s="61"/>
      <c r="O65" s="61"/>
      <c r="P65" s="62"/>
      <c r="Q65" s="62">
        <f>3-3+3</f>
        <v>3</v>
      </c>
      <c r="R65" s="62">
        <f>23</f>
        <v>23</v>
      </c>
      <c r="S65" s="62">
        <f>15</f>
        <v>15</v>
      </c>
      <c r="T65" s="62">
        <f>8</f>
        <v>8</v>
      </c>
      <c r="U65" s="62">
        <f>2-2+1+10</f>
        <v>11</v>
      </c>
      <c r="V65" s="62">
        <f>9</f>
        <v>9</v>
      </c>
      <c r="W65" s="63"/>
      <c r="X65" s="63"/>
      <c r="Z65" s="64"/>
      <c r="AA65" s="54"/>
      <c r="AB65" s="54"/>
      <c r="AC65" s="54"/>
    </row>
    <row r="66" spans="1:29" ht="60" customHeight="1" x14ac:dyDescent="0.2">
      <c r="A66" s="50" t="s">
        <v>153</v>
      </c>
      <c r="B66" s="51"/>
      <c r="C66" s="66" t="s">
        <v>43</v>
      </c>
      <c r="D66" s="53" t="s">
        <v>48</v>
      </c>
      <c r="E66" s="54" t="s">
        <v>34</v>
      </c>
      <c r="F66" s="55" t="s">
        <v>49</v>
      </c>
      <c r="G66" s="67" t="s">
        <v>68</v>
      </c>
      <c r="H66" s="57" t="s">
        <v>137</v>
      </c>
      <c r="I66" s="55" t="s">
        <v>51</v>
      </c>
      <c r="J66" s="57" t="e">
        <f>ROUND(#REF!*2.4,-1)</f>
        <v>#REF!</v>
      </c>
      <c r="K66" s="58"/>
      <c r="L66" s="59">
        <f>38-25+25</f>
        <v>38</v>
      </c>
      <c r="M66" s="60"/>
      <c r="N66" s="61"/>
      <c r="O66" s="61"/>
      <c r="P66" s="62"/>
      <c r="Q66" s="62">
        <f>7-5+5</f>
        <v>7</v>
      </c>
      <c r="R66" s="62">
        <f>7-5+5</f>
        <v>7</v>
      </c>
      <c r="S66" s="62">
        <f>9-5+5</f>
        <v>9</v>
      </c>
      <c r="T66" s="62">
        <f>7-5+5</f>
        <v>7</v>
      </c>
      <c r="U66" s="62">
        <f>8-5+5</f>
        <v>8</v>
      </c>
      <c r="V66" s="62"/>
      <c r="W66" s="63"/>
      <c r="X66" s="63"/>
      <c r="Z66" s="64"/>
      <c r="AA66" s="54"/>
      <c r="AB66" s="54"/>
      <c r="AC66" s="54"/>
    </row>
    <row r="67" spans="1:29" ht="60" customHeight="1" x14ac:dyDescent="0.2">
      <c r="A67" s="50" t="s">
        <v>154</v>
      </c>
      <c r="B67" s="51"/>
      <c r="C67" s="66" t="s">
        <v>155</v>
      </c>
      <c r="D67" s="53" t="s">
        <v>48</v>
      </c>
      <c r="E67" s="54" t="s">
        <v>34</v>
      </c>
      <c r="F67" s="55" t="s">
        <v>49</v>
      </c>
      <c r="G67" s="67" t="s">
        <v>50</v>
      </c>
      <c r="H67" s="57" t="s">
        <v>37</v>
      </c>
      <c r="I67" s="55" t="s">
        <v>51</v>
      </c>
      <c r="J67" s="57" t="e">
        <f>ROUND(#REF!*2.4,-1)</f>
        <v>#REF!</v>
      </c>
      <c r="K67" s="58"/>
      <c r="L67" s="59">
        <f>3-1</f>
        <v>2</v>
      </c>
      <c r="M67" s="60"/>
      <c r="N67" s="61"/>
      <c r="O67" s="61"/>
      <c r="P67" s="62"/>
      <c r="Q67" s="62">
        <f>1-1</f>
        <v>0</v>
      </c>
      <c r="R67" s="62">
        <f>1-1</f>
        <v>0</v>
      </c>
      <c r="S67" s="62">
        <f>1-1+2-1</f>
        <v>1</v>
      </c>
      <c r="T67" s="62">
        <f>2-1</f>
        <v>1</v>
      </c>
      <c r="U67" s="62">
        <f>1-1</f>
        <v>0</v>
      </c>
      <c r="V67" s="62">
        <f>2-2</f>
        <v>0</v>
      </c>
      <c r="W67" s="63"/>
      <c r="X67" s="63"/>
      <c r="Z67" s="64"/>
      <c r="AA67" s="54"/>
      <c r="AB67" s="54"/>
      <c r="AC67" s="54"/>
    </row>
    <row r="68" spans="1:29" ht="60" customHeight="1" x14ac:dyDescent="0.2">
      <c r="A68" s="50" t="s">
        <v>156</v>
      </c>
      <c r="B68" s="51"/>
      <c r="C68" s="66" t="s">
        <v>155</v>
      </c>
      <c r="D68" s="53" t="s">
        <v>58</v>
      </c>
      <c r="E68" s="54" t="s">
        <v>34</v>
      </c>
      <c r="F68" s="55" t="s">
        <v>59</v>
      </c>
      <c r="G68" s="67" t="s">
        <v>50</v>
      </c>
      <c r="H68" s="57" t="s">
        <v>37</v>
      </c>
      <c r="I68" s="55" t="s">
        <v>51</v>
      </c>
      <c r="J68" s="57" t="e">
        <f>ROUND(#REF!*2.4,-1)</f>
        <v>#REF!</v>
      </c>
      <c r="K68" s="58"/>
      <c r="L68" s="59">
        <f>19-16</f>
        <v>3</v>
      </c>
      <c r="M68" s="60"/>
      <c r="N68" s="61"/>
      <c r="O68" s="61"/>
      <c r="P68" s="62">
        <f>4-4</f>
        <v>0</v>
      </c>
      <c r="Q68" s="62">
        <f>5-4</f>
        <v>1</v>
      </c>
      <c r="R68" s="62">
        <f>5-4</f>
        <v>1</v>
      </c>
      <c r="S68" s="62">
        <f>4-4</f>
        <v>0</v>
      </c>
      <c r="T68" s="62">
        <f>2-1</f>
        <v>1</v>
      </c>
      <c r="U68" s="62"/>
      <c r="V68" s="62"/>
      <c r="W68" s="63"/>
      <c r="X68" s="63"/>
      <c r="Z68" s="64"/>
      <c r="AA68" s="54"/>
      <c r="AB68" s="54"/>
      <c r="AC68" s="54"/>
    </row>
    <row r="69" spans="1:29" ht="60" hidden="1" customHeight="1" x14ac:dyDescent="0.2">
      <c r="A69" s="69" t="s">
        <v>157</v>
      </c>
      <c r="B69" s="70"/>
      <c r="C69" s="66" t="s">
        <v>78</v>
      </c>
      <c r="D69" s="53" t="s">
        <v>58</v>
      </c>
      <c r="E69" s="54" t="s">
        <v>34</v>
      </c>
      <c r="F69" s="55" t="s">
        <v>59</v>
      </c>
      <c r="G69" s="67" t="s">
        <v>50</v>
      </c>
      <c r="H69" s="57" t="s">
        <v>37</v>
      </c>
      <c r="I69" s="55" t="s">
        <v>51</v>
      </c>
      <c r="J69" s="57" t="e">
        <f>ROUND(#REF!*2.4,-1)</f>
        <v>#REF!</v>
      </c>
      <c r="K69" s="58"/>
      <c r="L69" s="59">
        <f>1-1</f>
        <v>0</v>
      </c>
      <c r="M69" s="60"/>
      <c r="N69" s="61"/>
      <c r="O69" s="61"/>
      <c r="P69" s="62">
        <f>1-1</f>
        <v>0</v>
      </c>
      <c r="Q69" s="62">
        <f>1-1</f>
        <v>0</v>
      </c>
      <c r="R69" s="62">
        <f>2-2</f>
        <v>0</v>
      </c>
      <c r="S69" s="62">
        <f>1-1</f>
        <v>0</v>
      </c>
      <c r="T69" s="62">
        <f>2-1-1</f>
        <v>0</v>
      </c>
      <c r="U69" s="62"/>
      <c r="V69" s="62"/>
      <c r="W69" s="63"/>
      <c r="X69" s="63"/>
      <c r="Z69" s="64"/>
      <c r="AA69" s="54"/>
      <c r="AB69" s="54"/>
      <c r="AC69" s="54"/>
    </row>
    <row r="70" spans="1:29" ht="60" customHeight="1" x14ac:dyDescent="0.2">
      <c r="A70" s="69" t="s">
        <v>158</v>
      </c>
      <c r="B70" s="70"/>
      <c r="C70" s="66" t="s">
        <v>78</v>
      </c>
      <c r="D70" s="53" t="s">
        <v>48</v>
      </c>
      <c r="E70" s="54" t="s">
        <v>34</v>
      </c>
      <c r="F70" s="55" t="s">
        <v>49</v>
      </c>
      <c r="G70" s="67" t="s">
        <v>68</v>
      </c>
      <c r="H70" s="57" t="s">
        <v>37</v>
      </c>
      <c r="I70" s="55" t="s">
        <v>51</v>
      </c>
      <c r="J70" s="57" t="e">
        <f>ROUND(#REF!*2.4,-1)</f>
        <v>#REF!</v>
      </c>
      <c r="K70" s="58"/>
      <c r="L70" s="59">
        <f>38-37</f>
        <v>1</v>
      </c>
      <c r="M70" s="60"/>
      <c r="N70" s="61"/>
      <c r="O70" s="61"/>
      <c r="P70" s="62"/>
      <c r="Q70" s="62">
        <f>5-5</f>
        <v>0</v>
      </c>
      <c r="R70" s="62">
        <f>10-10</f>
        <v>0</v>
      </c>
      <c r="S70" s="62">
        <f>9-9</f>
        <v>0</v>
      </c>
      <c r="T70" s="62">
        <f>8-7</f>
        <v>1</v>
      </c>
      <c r="U70" s="62">
        <f>6-6</f>
        <v>0</v>
      </c>
      <c r="V70" s="62"/>
      <c r="W70" s="63"/>
      <c r="X70" s="63"/>
      <c r="Z70" s="64"/>
      <c r="AA70" s="54"/>
      <c r="AB70" s="54"/>
      <c r="AC70" s="54"/>
    </row>
    <row r="71" spans="1:29" ht="60" hidden="1" customHeight="1" x14ac:dyDescent="0.2">
      <c r="A71" s="69" t="s">
        <v>159</v>
      </c>
      <c r="B71" s="70"/>
      <c r="C71" s="66" t="s">
        <v>99</v>
      </c>
      <c r="D71" s="57" t="s">
        <v>58</v>
      </c>
      <c r="E71" s="54" t="s">
        <v>34</v>
      </c>
      <c r="F71" s="67" t="s">
        <v>59</v>
      </c>
      <c r="G71" s="67" t="s">
        <v>50</v>
      </c>
      <c r="H71" s="57" t="s">
        <v>37</v>
      </c>
      <c r="I71" s="55" t="s">
        <v>51</v>
      </c>
      <c r="J71" s="57" t="e">
        <f>ROUND(#REF!*2.4,-1)</f>
        <v>#REF!</v>
      </c>
      <c r="K71" s="58"/>
      <c r="L71" s="59">
        <f>1-1</f>
        <v>0</v>
      </c>
      <c r="M71" s="60"/>
      <c r="N71" s="61"/>
      <c r="O71" s="61"/>
      <c r="P71" s="62">
        <f>1-1</f>
        <v>0</v>
      </c>
      <c r="Q71" s="62">
        <f>1-1</f>
        <v>0</v>
      </c>
      <c r="R71" s="62">
        <f>1-1</f>
        <v>0</v>
      </c>
      <c r="S71" s="62">
        <f>1-1+1-1</f>
        <v>0</v>
      </c>
      <c r="T71" s="62">
        <f>1-1</f>
        <v>0</v>
      </c>
      <c r="U71" s="62"/>
      <c r="V71" s="62"/>
      <c r="W71" s="63"/>
      <c r="X71" s="63"/>
      <c r="Z71" s="64"/>
      <c r="AA71" s="54"/>
      <c r="AB71" s="54"/>
      <c r="AC71" s="54"/>
    </row>
    <row r="72" spans="1:29" ht="60" customHeight="1" x14ac:dyDescent="0.2">
      <c r="A72" s="69" t="s">
        <v>160</v>
      </c>
      <c r="B72" s="74"/>
      <c r="C72" s="66" t="s">
        <v>99</v>
      </c>
      <c r="D72" s="57" t="s">
        <v>48</v>
      </c>
      <c r="E72" s="54" t="s">
        <v>34</v>
      </c>
      <c r="F72" s="67" t="s">
        <v>49</v>
      </c>
      <c r="G72" s="67" t="s">
        <v>68</v>
      </c>
      <c r="H72" s="57" t="s">
        <v>37</v>
      </c>
      <c r="I72" s="67" t="s">
        <v>51</v>
      </c>
      <c r="J72" s="57" t="e">
        <f>ROUND(#REF!*2.4,-1)</f>
        <v>#REF!</v>
      </c>
      <c r="K72" s="58"/>
      <c r="L72" s="59">
        <f>3-1+1</f>
        <v>3</v>
      </c>
      <c r="M72" s="60"/>
      <c r="N72" s="61"/>
      <c r="O72" s="61"/>
      <c r="P72" s="62"/>
      <c r="Q72" s="62">
        <f>2-1</f>
        <v>1</v>
      </c>
      <c r="R72" s="62">
        <f>1-1</f>
        <v>0</v>
      </c>
      <c r="S72" s="62">
        <f>1-1</f>
        <v>0</v>
      </c>
      <c r="T72" s="62">
        <f>3-3</f>
        <v>0</v>
      </c>
      <c r="U72" s="62">
        <f>1-1+1</f>
        <v>1</v>
      </c>
      <c r="V72" s="62">
        <f>1-1+1</f>
        <v>1</v>
      </c>
      <c r="W72" s="63"/>
      <c r="X72" s="63"/>
      <c r="Z72" s="64"/>
      <c r="AA72" s="54"/>
      <c r="AB72" s="54"/>
    </row>
    <row r="73" spans="1:29" ht="60" customHeight="1" x14ac:dyDescent="0.2">
      <c r="A73" s="69" t="s">
        <v>161</v>
      </c>
      <c r="B73" s="70"/>
      <c r="C73" s="66" t="s">
        <v>162</v>
      </c>
      <c r="D73" s="53" t="s">
        <v>48</v>
      </c>
      <c r="E73" s="54" t="s">
        <v>34</v>
      </c>
      <c r="F73" s="55" t="s">
        <v>49</v>
      </c>
      <c r="G73" s="67" t="s">
        <v>68</v>
      </c>
      <c r="H73" s="57" t="s">
        <v>163</v>
      </c>
      <c r="I73" s="55" t="s">
        <v>51</v>
      </c>
      <c r="J73" s="57" t="e">
        <f>ROUND(#REF!*2.4,-1)</f>
        <v>#REF!</v>
      </c>
      <c r="K73" s="58"/>
      <c r="L73" s="59">
        <f>17-1</f>
        <v>16</v>
      </c>
      <c r="M73" s="60"/>
      <c r="N73" s="61"/>
      <c r="O73" s="61"/>
      <c r="P73" s="62"/>
      <c r="Q73" s="62">
        <f>5-5+5</f>
        <v>5</v>
      </c>
      <c r="R73" s="62">
        <f>2-1</f>
        <v>1</v>
      </c>
      <c r="S73" s="62">
        <f>2-2+2</f>
        <v>2</v>
      </c>
      <c r="T73" s="62">
        <f>4-4+4</f>
        <v>4</v>
      </c>
      <c r="U73" s="62">
        <f>4-4+4</f>
        <v>4</v>
      </c>
      <c r="V73" s="62"/>
      <c r="W73" s="63"/>
      <c r="X73" s="63"/>
      <c r="Z73" s="64"/>
      <c r="AA73" s="54"/>
      <c r="AB73" s="54"/>
      <c r="AC73" s="54"/>
    </row>
    <row r="74" spans="1:29" ht="60" customHeight="1" x14ac:dyDescent="0.2">
      <c r="A74" s="69" t="s">
        <v>164</v>
      </c>
      <c r="B74" s="70"/>
      <c r="C74" s="66" t="s">
        <v>165</v>
      </c>
      <c r="D74" s="53" t="s">
        <v>48</v>
      </c>
      <c r="E74" s="54" t="s">
        <v>34</v>
      </c>
      <c r="F74" s="55" t="s">
        <v>49</v>
      </c>
      <c r="G74" s="67" t="s">
        <v>50</v>
      </c>
      <c r="H74" s="57" t="s">
        <v>37</v>
      </c>
      <c r="I74" s="55" t="s">
        <v>51</v>
      </c>
      <c r="J74" s="57" t="e">
        <f>ROUND(#REF!*2.4,-1)</f>
        <v>#REF!</v>
      </c>
      <c r="K74" s="58"/>
      <c r="L74" s="59">
        <f>149-3</f>
        <v>146</v>
      </c>
      <c r="M74" s="60"/>
      <c r="N74" s="61"/>
      <c r="O74" s="61"/>
      <c r="P74" s="62"/>
      <c r="Q74" s="62">
        <f>30</f>
        <v>30</v>
      </c>
      <c r="R74" s="62">
        <f>31-1</f>
        <v>30</v>
      </c>
      <c r="S74" s="62">
        <f>30-1</f>
        <v>29</v>
      </c>
      <c r="T74" s="62">
        <f>29-1</f>
        <v>28</v>
      </c>
      <c r="U74" s="62">
        <f>19</f>
        <v>19</v>
      </c>
      <c r="V74" s="62">
        <f>10</f>
        <v>10</v>
      </c>
      <c r="W74" s="63"/>
      <c r="X74" s="63"/>
      <c r="Z74" s="64"/>
      <c r="AA74" s="54"/>
      <c r="AB74" s="54"/>
      <c r="AC74" s="54"/>
    </row>
    <row r="75" spans="1:29" ht="60" customHeight="1" x14ac:dyDescent="0.2">
      <c r="A75" s="69" t="s">
        <v>166</v>
      </c>
      <c r="B75" s="70"/>
      <c r="C75" s="66" t="s">
        <v>165</v>
      </c>
      <c r="D75" s="53" t="s">
        <v>48</v>
      </c>
      <c r="E75" s="54" t="s">
        <v>34</v>
      </c>
      <c r="F75" s="55" t="s">
        <v>49</v>
      </c>
      <c r="G75" s="67" t="s">
        <v>68</v>
      </c>
      <c r="H75" s="57" t="s">
        <v>37</v>
      </c>
      <c r="I75" s="55" t="s">
        <v>51</v>
      </c>
      <c r="J75" s="57" t="e">
        <f>ROUND(#REF!*2.4,-1)</f>
        <v>#REF!</v>
      </c>
      <c r="K75" s="58"/>
      <c r="L75" s="59">
        <f>10-6</f>
        <v>4</v>
      </c>
      <c r="M75" s="60"/>
      <c r="N75" s="61"/>
      <c r="O75" s="61"/>
      <c r="P75" s="62"/>
      <c r="Q75" s="62">
        <f>1-1</f>
        <v>0</v>
      </c>
      <c r="R75" s="62">
        <f>1-1</f>
        <v>0</v>
      </c>
      <c r="S75" s="62">
        <f>1-1</f>
        <v>0</v>
      </c>
      <c r="T75" s="62">
        <f>3-1</f>
        <v>2</v>
      </c>
      <c r="U75" s="62">
        <f>3-1</f>
        <v>2</v>
      </c>
      <c r="V75" s="62">
        <f>1-1</f>
        <v>0</v>
      </c>
      <c r="W75" s="63"/>
      <c r="X75" s="63"/>
      <c r="Z75" s="64"/>
      <c r="AA75" s="54"/>
      <c r="AB75" s="54"/>
      <c r="AC75" s="54"/>
    </row>
    <row r="76" spans="1:29" ht="60" customHeight="1" x14ac:dyDescent="0.2">
      <c r="A76" s="69" t="s">
        <v>167</v>
      </c>
      <c r="B76" s="70"/>
      <c r="C76" s="66" t="s">
        <v>168</v>
      </c>
      <c r="D76" s="57" t="s">
        <v>48</v>
      </c>
      <c r="E76" s="68" t="s">
        <v>34</v>
      </c>
      <c r="F76" s="67" t="s">
        <v>49</v>
      </c>
      <c r="G76" s="67" t="s">
        <v>50</v>
      </c>
      <c r="H76" s="57" t="s">
        <v>103</v>
      </c>
      <c r="I76" s="67" t="s">
        <v>51</v>
      </c>
      <c r="J76" s="57" t="e">
        <f>ROUND(#REF!*2.4,-1)</f>
        <v>#REF!</v>
      </c>
      <c r="K76" s="58"/>
      <c r="L76" s="59">
        <f>16-9</f>
        <v>7</v>
      </c>
      <c r="M76" s="60"/>
      <c r="N76" s="61"/>
      <c r="O76" s="61"/>
      <c r="P76" s="62"/>
      <c r="Q76" s="62">
        <f>7-4</f>
        <v>3</v>
      </c>
      <c r="R76" s="62">
        <f>4-3</f>
        <v>1</v>
      </c>
      <c r="S76" s="62">
        <f>5-2</f>
        <v>3</v>
      </c>
      <c r="T76" s="62">
        <f>2-2</f>
        <v>0</v>
      </c>
      <c r="U76" s="62">
        <f>3-3</f>
        <v>0</v>
      </c>
      <c r="V76" s="62">
        <f>1-1</f>
        <v>0</v>
      </c>
      <c r="W76" s="63"/>
      <c r="X76" s="63"/>
      <c r="Z76" s="71"/>
      <c r="AA76" s="54"/>
      <c r="AB76" s="54"/>
      <c r="AC76" s="54"/>
    </row>
    <row r="77" spans="1:29" ht="60" customHeight="1" x14ac:dyDescent="0.2">
      <c r="A77" s="81" t="s">
        <v>169</v>
      </c>
      <c r="B77" s="70"/>
      <c r="C77" s="82" t="s">
        <v>170</v>
      </c>
      <c r="D77" s="57" t="s">
        <v>48</v>
      </c>
      <c r="E77" s="54" t="s">
        <v>34</v>
      </c>
      <c r="F77" s="67" t="s">
        <v>49</v>
      </c>
      <c r="G77" s="67" t="s">
        <v>68</v>
      </c>
      <c r="H77" s="57" t="s">
        <v>37</v>
      </c>
      <c r="I77" s="67" t="s">
        <v>51</v>
      </c>
      <c r="J77" s="57" t="e">
        <f>ROUND(#REF!*2.4,-1)</f>
        <v>#REF!</v>
      </c>
      <c r="K77" s="58"/>
      <c r="L77" s="59">
        <f>10-9</f>
        <v>1</v>
      </c>
      <c r="M77" s="60"/>
      <c r="N77" s="61"/>
      <c r="O77" s="61"/>
      <c r="P77" s="62"/>
      <c r="Q77" s="62">
        <f>3-2</f>
        <v>1</v>
      </c>
      <c r="R77" s="62">
        <f>2-2</f>
        <v>0</v>
      </c>
      <c r="S77" s="62">
        <f>2-2</f>
        <v>0</v>
      </c>
      <c r="T77" s="62">
        <f>1-1</f>
        <v>0</v>
      </c>
      <c r="U77" s="62">
        <f>2-2</f>
        <v>0</v>
      </c>
      <c r="V77" s="62">
        <f>1-1</f>
        <v>0</v>
      </c>
      <c r="W77" s="63"/>
      <c r="X77" s="63"/>
      <c r="Z77" s="64"/>
      <c r="AA77" s="54"/>
      <c r="AB77" s="54"/>
      <c r="AC77" s="54"/>
    </row>
    <row r="78" spans="1:29" ht="60" customHeight="1" x14ac:dyDescent="0.2">
      <c r="A78" s="81" t="s">
        <v>171</v>
      </c>
      <c r="B78" s="70"/>
      <c r="C78" s="82" t="s">
        <v>170</v>
      </c>
      <c r="D78" s="57" t="s">
        <v>48</v>
      </c>
      <c r="E78" s="54" t="s">
        <v>34</v>
      </c>
      <c r="F78" s="67" t="s">
        <v>49</v>
      </c>
      <c r="G78" s="67" t="s">
        <v>68</v>
      </c>
      <c r="H78" s="57" t="s">
        <v>37</v>
      </c>
      <c r="I78" s="67" t="s">
        <v>51</v>
      </c>
      <c r="J78" s="57" t="e">
        <f>ROUND(#REF!*2.4,-1)</f>
        <v>#REF!</v>
      </c>
      <c r="K78" s="58"/>
      <c r="L78" s="59">
        <f>16-1</f>
        <v>15</v>
      </c>
      <c r="M78" s="60"/>
      <c r="N78" s="61"/>
      <c r="O78" s="61"/>
      <c r="P78" s="62"/>
      <c r="Q78" s="62">
        <f>8-1</f>
        <v>7</v>
      </c>
      <c r="R78" s="62">
        <f>2-1+1</f>
        <v>2</v>
      </c>
      <c r="S78" s="62">
        <f>3-2+2</f>
        <v>3</v>
      </c>
      <c r="T78" s="62">
        <f>1-1+1</f>
        <v>1</v>
      </c>
      <c r="U78" s="62">
        <f>2-2+2</f>
        <v>2</v>
      </c>
      <c r="V78" s="62">
        <f>1-1</f>
        <v>0</v>
      </c>
      <c r="W78" s="63"/>
      <c r="X78" s="63"/>
      <c r="Z78" s="64"/>
      <c r="AA78" s="54"/>
      <c r="AB78" s="54"/>
      <c r="AC78" s="54"/>
    </row>
    <row r="79" spans="1:29" ht="60" customHeight="1" x14ac:dyDescent="0.2">
      <c r="A79" s="72" t="s">
        <v>172</v>
      </c>
      <c r="B79" s="73"/>
      <c r="C79" s="66" t="s">
        <v>173</v>
      </c>
      <c r="D79" s="57" t="s">
        <v>48</v>
      </c>
      <c r="E79" s="68" t="s">
        <v>34</v>
      </c>
      <c r="F79" s="67" t="s">
        <v>49</v>
      </c>
      <c r="G79" s="56" t="s">
        <v>36</v>
      </c>
      <c r="H79" s="57" t="s">
        <v>60</v>
      </c>
      <c r="I79" s="67" t="s">
        <v>51</v>
      </c>
      <c r="J79" s="57" t="e">
        <f>ROUND(#REF!*2.4,-1)</f>
        <v>#REF!</v>
      </c>
      <c r="K79" s="58"/>
      <c r="L79" s="59">
        <f>1-1+1</f>
        <v>1</v>
      </c>
      <c r="M79" s="60"/>
      <c r="N79" s="61"/>
      <c r="O79" s="61"/>
      <c r="P79" s="62"/>
      <c r="Q79" s="62">
        <f>2-2</f>
        <v>0</v>
      </c>
      <c r="R79" s="62">
        <f>3-3</f>
        <v>0</v>
      </c>
      <c r="S79" s="62">
        <f>2-2</f>
        <v>0</v>
      </c>
      <c r="T79" s="62">
        <f>1-1+1</f>
        <v>1</v>
      </c>
      <c r="U79" s="62">
        <f>2-2</f>
        <v>0</v>
      </c>
      <c r="V79" s="62"/>
      <c r="W79" s="63"/>
      <c r="X79" s="63"/>
      <c r="Z79" s="64"/>
      <c r="AA79" s="54"/>
      <c r="AB79" s="54"/>
      <c r="AC79" s="54"/>
    </row>
    <row r="80" spans="1:29" ht="60" hidden="1" customHeight="1" x14ac:dyDescent="0.2">
      <c r="A80" s="72" t="s">
        <v>174</v>
      </c>
      <c r="B80" s="73"/>
      <c r="C80" s="66" t="s">
        <v>80</v>
      </c>
      <c r="D80" s="57" t="s">
        <v>58</v>
      </c>
      <c r="E80" s="68" t="s">
        <v>34</v>
      </c>
      <c r="F80" s="67" t="s">
        <v>59</v>
      </c>
      <c r="G80" s="67" t="s">
        <v>50</v>
      </c>
      <c r="H80" s="57" t="s">
        <v>37</v>
      </c>
      <c r="I80" s="67" t="s">
        <v>51</v>
      </c>
      <c r="J80" s="57" t="e">
        <f>ROUND(#REF!*2.4,-1)</f>
        <v>#REF!</v>
      </c>
      <c r="K80" s="58"/>
      <c r="L80" s="59">
        <f>5-5</f>
        <v>0</v>
      </c>
      <c r="M80" s="60"/>
      <c r="N80" s="61"/>
      <c r="O80" s="61"/>
      <c r="P80" s="62">
        <f>1-1+1-1</f>
        <v>0</v>
      </c>
      <c r="Q80" s="62">
        <f>2-2</f>
        <v>0</v>
      </c>
      <c r="R80" s="62">
        <f>2-2</f>
        <v>0</v>
      </c>
      <c r="S80" s="62">
        <f>1-1</f>
        <v>0</v>
      </c>
      <c r="T80" s="62">
        <f>3-3</f>
        <v>0</v>
      </c>
      <c r="U80" s="62"/>
      <c r="V80" s="62"/>
      <c r="W80" s="63"/>
      <c r="X80" s="63"/>
      <c r="Z80" s="64"/>
      <c r="AA80" s="54"/>
      <c r="AB80" s="54"/>
      <c r="AC80" s="54"/>
    </row>
    <row r="81" spans="1:29" ht="60" customHeight="1" x14ac:dyDescent="0.2">
      <c r="A81" s="72" t="s">
        <v>175</v>
      </c>
      <c r="B81" s="73"/>
      <c r="C81" s="66" t="s">
        <v>176</v>
      </c>
      <c r="D81" s="57" t="s">
        <v>48</v>
      </c>
      <c r="E81" s="68" t="s">
        <v>34</v>
      </c>
      <c r="F81" s="67" t="s">
        <v>49</v>
      </c>
      <c r="G81" s="67" t="s">
        <v>50</v>
      </c>
      <c r="H81" s="57" t="s">
        <v>60</v>
      </c>
      <c r="I81" s="67" t="s">
        <v>51</v>
      </c>
      <c r="J81" s="57" t="e">
        <f>ROUND(#REF!*2.4,-1)</f>
        <v>#REF!</v>
      </c>
      <c r="K81" s="58"/>
      <c r="L81" s="59">
        <f>9-1</f>
        <v>8</v>
      </c>
      <c r="M81" s="60"/>
      <c r="N81" s="61"/>
      <c r="O81" s="61"/>
      <c r="P81" s="62"/>
      <c r="Q81" s="62">
        <f>1-1+1</f>
        <v>1</v>
      </c>
      <c r="R81" s="62">
        <f>1-1</f>
        <v>0</v>
      </c>
      <c r="S81" s="62">
        <f>1-1</f>
        <v>0</v>
      </c>
      <c r="T81" s="62">
        <f>1-1+1</f>
        <v>1</v>
      </c>
      <c r="U81" s="62">
        <f>8-2</f>
        <v>6</v>
      </c>
      <c r="V81" s="62">
        <f>1-1</f>
        <v>0</v>
      </c>
      <c r="W81" s="63"/>
      <c r="X81" s="63"/>
      <c r="Z81" s="64"/>
      <c r="AA81" s="54"/>
      <c r="AB81" s="54"/>
      <c r="AC81" s="54"/>
    </row>
    <row r="82" spans="1:29" ht="60" customHeight="1" x14ac:dyDescent="0.2">
      <c r="A82" s="72" t="s">
        <v>177</v>
      </c>
      <c r="B82" s="73"/>
      <c r="C82" s="66" t="s">
        <v>178</v>
      </c>
      <c r="D82" s="57" t="s">
        <v>48</v>
      </c>
      <c r="E82" s="68" t="s">
        <v>34</v>
      </c>
      <c r="F82" s="67" t="s">
        <v>49</v>
      </c>
      <c r="G82" s="67" t="s">
        <v>50</v>
      </c>
      <c r="H82" s="57" t="s">
        <v>60</v>
      </c>
      <c r="I82" s="67" t="s">
        <v>51</v>
      </c>
      <c r="J82" s="57" t="e">
        <f>ROUND(#REF!*2.4,-1)</f>
        <v>#REF!</v>
      </c>
      <c r="K82" s="58"/>
      <c r="L82" s="59">
        <f>1-1+1</f>
        <v>1</v>
      </c>
      <c r="M82" s="60"/>
      <c r="N82" s="61"/>
      <c r="O82" s="61"/>
      <c r="P82" s="62"/>
      <c r="Q82" s="62">
        <f t="shared" ref="Q82:R85" si="3">1-1</f>
        <v>0</v>
      </c>
      <c r="R82" s="62">
        <f t="shared" si="3"/>
        <v>0</v>
      </c>
      <c r="S82" s="62">
        <f>1-1</f>
        <v>0</v>
      </c>
      <c r="T82" s="62">
        <f>1-1+1</f>
        <v>1</v>
      </c>
      <c r="U82" s="62">
        <f>1-1</f>
        <v>0</v>
      </c>
      <c r="V82" s="62"/>
      <c r="W82" s="63"/>
      <c r="X82" s="63"/>
      <c r="Z82" s="64"/>
      <c r="AA82" s="54"/>
      <c r="AB82" s="54"/>
      <c r="AC82" s="54"/>
    </row>
    <row r="83" spans="1:29" ht="60" customHeight="1" x14ac:dyDescent="0.2">
      <c r="A83" s="72" t="s">
        <v>179</v>
      </c>
      <c r="B83" s="73"/>
      <c r="C83" s="66" t="s">
        <v>178</v>
      </c>
      <c r="D83" s="57" t="s">
        <v>58</v>
      </c>
      <c r="E83" s="68" t="s">
        <v>34</v>
      </c>
      <c r="F83" s="67" t="s">
        <v>59</v>
      </c>
      <c r="G83" s="67" t="s">
        <v>50</v>
      </c>
      <c r="H83" s="57" t="s">
        <v>60</v>
      </c>
      <c r="I83" s="67" t="s">
        <v>51</v>
      </c>
      <c r="J83" s="57" t="e">
        <f>ROUND(#REF!*2.4,-1)</f>
        <v>#REF!</v>
      </c>
      <c r="K83" s="58"/>
      <c r="L83" s="59">
        <f>1-1+1+9</f>
        <v>10</v>
      </c>
      <c r="M83" s="60"/>
      <c r="N83" s="61"/>
      <c r="O83" s="61"/>
      <c r="P83" s="62">
        <f>1-1+2</f>
        <v>2</v>
      </c>
      <c r="Q83" s="62">
        <f>1-1+2</f>
        <v>2</v>
      </c>
      <c r="R83" s="62">
        <f>1-1+1</f>
        <v>1</v>
      </c>
      <c r="S83" s="62">
        <f>1-1+2</f>
        <v>2</v>
      </c>
      <c r="T83" s="62">
        <f>1-1+1+2</f>
        <v>3</v>
      </c>
      <c r="U83" s="62"/>
      <c r="V83" s="62"/>
      <c r="W83" s="63"/>
      <c r="X83" s="63"/>
      <c r="Z83" s="64"/>
      <c r="AA83" s="54"/>
      <c r="AB83" s="54"/>
      <c r="AC83" s="54"/>
    </row>
    <row r="84" spans="1:29" ht="60" customHeight="1" x14ac:dyDescent="0.2">
      <c r="A84" s="72" t="s">
        <v>180</v>
      </c>
      <c r="B84" s="73"/>
      <c r="C84" s="66" t="s">
        <v>178</v>
      </c>
      <c r="D84" s="57" t="s">
        <v>48</v>
      </c>
      <c r="E84" s="68" t="s">
        <v>34</v>
      </c>
      <c r="F84" s="67" t="s">
        <v>49</v>
      </c>
      <c r="G84" s="67" t="s">
        <v>68</v>
      </c>
      <c r="H84" s="57" t="s">
        <v>60</v>
      </c>
      <c r="I84" s="67" t="s">
        <v>51</v>
      </c>
      <c r="J84" s="57" t="e">
        <f>ROUND(#REF!*2.4,-1)</f>
        <v>#REF!</v>
      </c>
      <c r="K84" s="58"/>
      <c r="L84" s="59">
        <f>22-1</f>
        <v>21</v>
      </c>
      <c r="M84" s="60"/>
      <c r="N84" s="61"/>
      <c r="O84" s="61"/>
      <c r="P84" s="62"/>
      <c r="Q84" s="62">
        <f>1-1+1</f>
        <v>1</v>
      </c>
      <c r="R84" s="62">
        <f>1-1+2</f>
        <v>2</v>
      </c>
      <c r="S84" s="62">
        <f>2-1</f>
        <v>1</v>
      </c>
      <c r="T84" s="62">
        <f>4-4+4+2</f>
        <v>6</v>
      </c>
      <c r="U84" s="62">
        <f>3-3+3+2</f>
        <v>5</v>
      </c>
      <c r="V84" s="62">
        <f>6-5+5</f>
        <v>6</v>
      </c>
      <c r="W84" s="63"/>
      <c r="X84" s="63"/>
      <c r="Z84" s="64"/>
      <c r="AA84" s="54"/>
      <c r="AB84" s="54"/>
      <c r="AC84" s="54"/>
    </row>
    <row r="85" spans="1:29" ht="60" hidden="1" customHeight="1" x14ac:dyDescent="0.2">
      <c r="A85" s="69" t="s">
        <v>181</v>
      </c>
      <c r="B85" s="51"/>
      <c r="C85" s="66" t="s">
        <v>182</v>
      </c>
      <c r="D85" s="53" t="s">
        <v>58</v>
      </c>
      <c r="E85" s="54" t="s">
        <v>34</v>
      </c>
      <c r="F85" s="55" t="s">
        <v>59</v>
      </c>
      <c r="G85" s="67" t="s">
        <v>50</v>
      </c>
      <c r="H85" s="57" t="s">
        <v>37</v>
      </c>
      <c r="I85" s="55" t="s">
        <v>51</v>
      </c>
      <c r="J85" s="57" t="e">
        <f>ROUND(#REF!*2.4,-1)</f>
        <v>#REF!</v>
      </c>
      <c r="K85" s="58"/>
      <c r="L85" s="59">
        <f>1-1</f>
        <v>0</v>
      </c>
      <c r="M85" s="60"/>
      <c r="N85" s="61"/>
      <c r="O85" s="61"/>
      <c r="P85" s="62">
        <f>1-1</f>
        <v>0</v>
      </c>
      <c r="Q85" s="62">
        <f t="shared" si="3"/>
        <v>0</v>
      </c>
      <c r="R85" s="62">
        <f t="shared" si="3"/>
        <v>0</v>
      </c>
      <c r="S85" s="62">
        <f>1-1</f>
        <v>0</v>
      </c>
      <c r="T85" s="62">
        <f>6-6</f>
        <v>0</v>
      </c>
      <c r="U85" s="62"/>
      <c r="V85" s="62"/>
      <c r="W85" s="63"/>
      <c r="X85" s="63"/>
      <c r="Z85" s="64"/>
      <c r="AA85" s="54"/>
      <c r="AB85" s="54"/>
      <c r="AC85" s="54"/>
    </row>
    <row r="86" spans="1:29" ht="60" customHeight="1" x14ac:dyDescent="0.2">
      <c r="A86" s="72" t="s">
        <v>183</v>
      </c>
      <c r="B86" s="73"/>
      <c r="C86" s="66" t="s">
        <v>184</v>
      </c>
      <c r="D86" s="57" t="s">
        <v>48</v>
      </c>
      <c r="E86" s="68" t="s">
        <v>34</v>
      </c>
      <c r="F86" s="67" t="s">
        <v>49</v>
      </c>
      <c r="G86" s="67" t="s">
        <v>50</v>
      </c>
      <c r="H86" s="57" t="s">
        <v>37</v>
      </c>
      <c r="I86" s="67" t="s">
        <v>51</v>
      </c>
      <c r="J86" s="57" t="e">
        <f>ROUND(#REF!*2.4,-1)</f>
        <v>#REF!</v>
      </c>
      <c r="K86" s="58"/>
      <c r="L86" s="59">
        <f>99-7</f>
        <v>92</v>
      </c>
      <c r="M86" s="60"/>
      <c r="N86" s="61"/>
      <c r="O86" s="61"/>
      <c r="P86" s="62"/>
      <c r="Q86" s="62">
        <f>21</f>
        <v>21</v>
      </c>
      <c r="R86" s="62">
        <f>23-2</f>
        <v>21</v>
      </c>
      <c r="S86" s="62">
        <f>25-2</f>
        <v>23</v>
      </c>
      <c r="T86" s="62">
        <f>18-2</f>
        <v>16</v>
      </c>
      <c r="U86" s="62">
        <f>10-1</f>
        <v>9</v>
      </c>
      <c r="V86" s="62">
        <f>3-1</f>
        <v>2</v>
      </c>
      <c r="W86" s="63"/>
      <c r="X86" s="63"/>
      <c r="Z86" s="64"/>
      <c r="AA86" s="54"/>
      <c r="AB86" s="54"/>
      <c r="AC86" s="54"/>
    </row>
    <row r="87" spans="1:29" ht="60" customHeight="1" x14ac:dyDescent="0.2">
      <c r="A87" s="72" t="s">
        <v>185</v>
      </c>
      <c r="B87" s="73"/>
      <c r="C87" s="66" t="s">
        <v>184</v>
      </c>
      <c r="D87" s="57" t="s">
        <v>58</v>
      </c>
      <c r="E87" s="68" t="s">
        <v>34</v>
      </c>
      <c r="F87" s="67" t="s">
        <v>59</v>
      </c>
      <c r="G87" s="67" t="s">
        <v>50</v>
      </c>
      <c r="H87" s="57" t="s">
        <v>37</v>
      </c>
      <c r="I87" s="67" t="s">
        <v>51</v>
      </c>
      <c r="J87" s="57" t="e">
        <f>ROUND(#REF!*2.4,-1)</f>
        <v>#REF!</v>
      </c>
      <c r="K87" s="58"/>
      <c r="L87" s="59">
        <f>50-1</f>
        <v>49</v>
      </c>
      <c r="M87" s="60"/>
      <c r="N87" s="61"/>
      <c r="O87" s="61"/>
      <c r="P87" s="62">
        <f>10-1</f>
        <v>9</v>
      </c>
      <c r="Q87" s="62">
        <f>10-1</f>
        <v>9</v>
      </c>
      <c r="R87" s="62">
        <f>13-1</f>
        <v>12</v>
      </c>
      <c r="S87" s="62">
        <f>12-1</f>
        <v>11</v>
      </c>
      <c r="T87" s="62">
        <f>8</f>
        <v>8</v>
      </c>
      <c r="U87" s="62"/>
      <c r="V87" s="62"/>
      <c r="W87" s="63"/>
      <c r="X87" s="63"/>
      <c r="Z87" s="64"/>
      <c r="AA87" s="54"/>
      <c r="AB87" s="54"/>
      <c r="AC87" s="54"/>
    </row>
    <row r="88" spans="1:29" ht="60" customHeight="1" x14ac:dyDescent="0.2">
      <c r="A88" s="69" t="s">
        <v>186</v>
      </c>
      <c r="B88" s="74"/>
      <c r="C88" s="66" t="s">
        <v>45</v>
      </c>
      <c r="D88" s="53" t="s">
        <v>48</v>
      </c>
      <c r="E88" s="54" t="s">
        <v>34</v>
      </c>
      <c r="F88" s="55" t="s">
        <v>49</v>
      </c>
      <c r="G88" s="67" t="s">
        <v>50</v>
      </c>
      <c r="H88" s="57" t="s">
        <v>37</v>
      </c>
      <c r="I88" s="55" t="s">
        <v>51</v>
      </c>
      <c r="J88" s="57" t="e">
        <f>ROUND(#REF!*2.4,-1)</f>
        <v>#REF!</v>
      </c>
      <c r="K88" s="58"/>
      <c r="L88" s="59">
        <f>121-7+2+3</f>
        <v>119</v>
      </c>
      <c r="M88" s="60"/>
      <c r="N88" s="61"/>
      <c r="O88" s="61"/>
      <c r="P88" s="62"/>
      <c r="Q88" s="62">
        <f>30-1</f>
        <v>29</v>
      </c>
      <c r="R88" s="62">
        <f>11-2+1</f>
        <v>10</v>
      </c>
      <c r="S88" s="62">
        <f>32-2+1+1</f>
        <v>32</v>
      </c>
      <c r="T88" s="62">
        <f>24-1+1+1</f>
        <v>25</v>
      </c>
      <c r="U88" s="62">
        <f>21-1</f>
        <v>20</v>
      </c>
      <c r="V88" s="62">
        <f>4-1</f>
        <v>3</v>
      </c>
      <c r="W88" s="63"/>
      <c r="X88" s="63"/>
      <c r="Z88" s="71"/>
      <c r="AA88" s="54">
        <v>1410617</v>
      </c>
      <c r="AB88" s="54">
        <v>414</v>
      </c>
      <c r="AC88" s="54"/>
    </row>
    <row r="89" spans="1:29" ht="60" customHeight="1" x14ac:dyDescent="0.2">
      <c r="A89" s="81" t="s">
        <v>187</v>
      </c>
      <c r="B89" s="70"/>
      <c r="C89" s="66" t="s">
        <v>45</v>
      </c>
      <c r="D89" s="57" t="s">
        <v>48</v>
      </c>
      <c r="E89" s="54" t="s">
        <v>34</v>
      </c>
      <c r="F89" s="67" t="s">
        <v>49</v>
      </c>
      <c r="G89" s="67" t="s">
        <v>68</v>
      </c>
      <c r="H89" s="57" t="s">
        <v>37</v>
      </c>
      <c r="I89" s="67" t="s">
        <v>51</v>
      </c>
      <c r="J89" s="57" t="e">
        <f>ROUND(#REF!*2.4,-1)</f>
        <v>#REF!</v>
      </c>
      <c r="K89" s="58"/>
      <c r="L89" s="59">
        <f>12-2</f>
        <v>10</v>
      </c>
      <c r="M89" s="60"/>
      <c r="N89" s="61"/>
      <c r="O89" s="61"/>
      <c r="P89" s="62"/>
      <c r="Q89" s="62">
        <f>1-1</f>
        <v>0</v>
      </c>
      <c r="R89" s="62">
        <f>1-1</f>
        <v>0</v>
      </c>
      <c r="S89" s="62">
        <f>3-3</f>
        <v>0</v>
      </c>
      <c r="T89" s="62">
        <f>1-1</f>
        <v>0</v>
      </c>
      <c r="U89" s="62">
        <f>9-1</f>
        <v>8</v>
      </c>
      <c r="V89" s="62">
        <f>3-1</f>
        <v>2</v>
      </c>
      <c r="W89" s="63"/>
      <c r="X89" s="63"/>
      <c r="Z89" s="71"/>
      <c r="AA89" s="54">
        <v>3610617</v>
      </c>
      <c r="AB89" s="54">
        <v>409</v>
      </c>
      <c r="AC89" s="54"/>
    </row>
    <row r="90" spans="1:29" ht="60" customHeight="1" x14ac:dyDescent="0.2">
      <c r="A90" s="69" t="s">
        <v>188</v>
      </c>
      <c r="B90" s="74"/>
      <c r="C90" s="66" t="s">
        <v>189</v>
      </c>
      <c r="D90" s="53" t="s">
        <v>48</v>
      </c>
      <c r="E90" s="54" t="s">
        <v>34</v>
      </c>
      <c r="F90" s="55" t="s">
        <v>49</v>
      </c>
      <c r="G90" s="67" t="s">
        <v>50</v>
      </c>
      <c r="H90" s="57" t="s">
        <v>147</v>
      </c>
      <c r="I90" s="55" t="s">
        <v>51</v>
      </c>
      <c r="J90" s="57" t="e">
        <f>ROUND(#REF!*2.4,-1)</f>
        <v>#REF!</v>
      </c>
      <c r="K90" s="58"/>
      <c r="L90" s="59">
        <f>39-2</f>
        <v>37</v>
      </c>
      <c r="M90" s="60"/>
      <c r="N90" s="61"/>
      <c r="O90" s="61"/>
      <c r="P90" s="62"/>
      <c r="Q90" s="62">
        <f>6-2+2+2</f>
        <v>8</v>
      </c>
      <c r="R90" s="62">
        <f>10-1</f>
        <v>9</v>
      </c>
      <c r="S90" s="62">
        <f>11-1</f>
        <v>10</v>
      </c>
      <c r="T90" s="62">
        <f>4-2+2+2</f>
        <v>6</v>
      </c>
      <c r="U90" s="62">
        <f>1-1+1+2</f>
        <v>3</v>
      </c>
      <c r="V90" s="62">
        <f>2-1</f>
        <v>1</v>
      </c>
      <c r="W90" s="63"/>
      <c r="X90" s="63"/>
      <c r="Z90" s="64"/>
      <c r="AA90" s="54"/>
      <c r="AB90" s="54"/>
      <c r="AC90" s="54"/>
    </row>
    <row r="91" spans="1:29" ht="60" customHeight="1" x14ac:dyDescent="0.2">
      <c r="A91" s="69" t="s">
        <v>190</v>
      </c>
      <c r="B91" s="74"/>
      <c r="C91" s="66" t="s">
        <v>191</v>
      </c>
      <c r="D91" s="53" t="s">
        <v>48</v>
      </c>
      <c r="E91" s="54" t="s">
        <v>34</v>
      </c>
      <c r="F91" s="55" t="s">
        <v>49</v>
      </c>
      <c r="G91" s="67" t="s">
        <v>50</v>
      </c>
      <c r="H91" s="57" t="s">
        <v>37</v>
      </c>
      <c r="I91" s="55" t="s">
        <v>51</v>
      </c>
      <c r="J91" s="57" t="e">
        <f>ROUND(#REF!*2.4,-1)</f>
        <v>#REF!</v>
      </c>
      <c r="K91" s="58"/>
      <c r="L91" s="59">
        <f>27-1+1</f>
        <v>27</v>
      </c>
      <c r="M91" s="60"/>
      <c r="N91" s="61"/>
      <c r="O91" s="61"/>
      <c r="P91" s="62"/>
      <c r="Q91" s="62">
        <f>8-2</f>
        <v>6</v>
      </c>
      <c r="R91" s="62">
        <f>1-1+1</f>
        <v>1</v>
      </c>
      <c r="S91" s="62">
        <f>2-1+1</f>
        <v>2</v>
      </c>
      <c r="T91" s="62">
        <f>3-1</f>
        <v>2</v>
      </c>
      <c r="U91" s="62">
        <f>17-1</f>
        <v>16</v>
      </c>
      <c r="V91" s="62"/>
      <c r="W91" s="63"/>
      <c r="X91" s="63"/>
      <c r="Z91" s="64"/>
      <c r="AA91" s="54"/>
      <c r="AB91" s="54"/>
      <c r="AC91" s="54">
        <v>382</v>
      </c>
    </row>
    <row r="92" spans="1:29" ht="60" customHeight="1" x14ac:dyDescent="0.2">
      <c r="A92" s="69" t="s">
        <v>192</v>
      </c>
      <c r="B92" s="70"/>
      <c r="C92" s="66" t="s">
        <v>193</v>
      </c>
      <c r="D92" s="53" t="s">
        <v>48</v>
      </c>
      <c r="E92" s="54" t="s">
        <v>34</v>
      </c>
      <c r="F92" s="55" t="s">
        <v>49</v>
      </c>
      <c r="G92" s="67" t="s">
        <v>50</v>
      </c>
      <c r="H92" s="57" t="s">
        <v>37</v>
      </c>
      <c r="I92" s="55" t="s">
        <v>51</v>
      </c>
      <c r="J92" s="57" t="e">
        <f>ROUND(#REF!*2.4,-1)</f>
        <v>#REF!</v>
      </c>
      <c r="K92" s="58"/>
      <c r="L92" s="59">
        <f>196-2+2</f>
        <v>196</v>
      </c>
      <c r="M92" s="60"/>
      <c r="N92" s="61"/>
      <c r="O92" s="61"/>
      <c r="P92" s="62"/>
      <c r="Q92" s="62">
        <f>84-40</f>
        <v>44</v>
      </c>
      <c r="R92" s="62">
        <f>49-1</f>
        <v>48</v>
      </c>
      <c r="S92" s="62">
        <f>48-1+1</f>
        <v>48</v>
      </c>
      <c r="T92" s="62">
        <f>47-20</f>
        <v>27</v>
      </c>
      <c r="U92" s="62">
        <f>22-1+5+1</f>
        <v>27</v>
      </c>
      <c r="V92" s="62">
        <f>2</f>
        <v>2</v>
      </c>
      <c r="W92" s="63"/>
      <c r="X92" s="63"/>
      <c r="Z92" s="64"/>
      <c r="AA92" s="54">
        <v>1410577</v>
      </c>
      <c r="AB92" s="54">
        <v>395</v>
      </c>
      <c r="AC92" s="54">
        <v>385</v>
      </c>
    </row>
    <row r="93" spans="1:29" ht="60" customHeight="1" x14ac:dyDescent="0.2">
      <c r="A93" s="81" t="s">
        <v>194</v>
      </c>
      <c r="B93" s="70"/>
      <c r="C93" s="66" t="s">
        <v>193</v>
      </c>
      <c r="D93" s="57" t="s">
        <v>48</v>
      </c>
      <c r="E93" s="54" t="s">
        <v>34</v>
      </c>
      <c r="F93" s="67" t="s">
        <v>49</v>
      </c>
      <c r="G93" s="67" t="s">
        <v>68</v>
      </c>
      <c r="H93" s="57" t="s">
        <v>37</v>
      </c>
      <c r="I93" s="67" t="s">
        <v>51</v>
      </c>
      <c r="J93" s="57" t="e">
        <f>ROUND(#REF!*2.4,-1)</f>
        <v>#REF!</v>
      </c>
      <c r="K93" s="58"/>
      <c r="L93" s="59">
        <f>37-4</f>
        <v>33</v>
      </c>
      <c r="M93" s="60"/>
      <c r="N93" s="61"/>
      <c r="O93" s="61"/>
      <c r="P93" s="62"/>
      <c r="Q93" s="62">
        <f>7-1+1</f>
        <v>7</v>
      </c>
      <c r="R93" s="62">
        <f>9-1</f>
        <v>8</v>
      </c>
      <c r="S93" s="62">
        <f>7-1</f>
        <v>6</v>
      </c>
      <c r="T93" s="62">
        <f>4-1+1</f>
        <v>4</v>
      </c>
      <c r="U93" s="62">
        <f>7-1</f>
        <v>6</v>
      </c>
      <c r="V93" s="62">
        <f>3-1</f>
        <v>2</v>
      </c>
      <c r="W93" s="63"/>
      <c r="X93" s="63"/>
      <c r="Z93" s="64"/>
      <c r="AA93" s="54">
        <v>3610577</v>
      </c>
      <c r="AB93" s="54">
        <v>385</v>
      </c>
      <c r="AC93" s="54"/>
    </row>
    <row r="94" spans="1:29" ht="60" customHeight="1" x14ac:dyDescent="0.2">
      <c r="A94" s="69" t="s">
        <v>195</v>
      </c>
      <c r="B94" s="74"/>
      <c r="C94" s="66" t="s">
        <v>196</v>
      </c>
      <c r="D94" s="53" t="s">
        <v>48</v>
      </c>
      <c r="E94" s="54" t="s">
        <v>34</v>
      </c>
      <c r="F94" s="55" t="s">
        <v>49</v>
      </c>
      <c r="G94" s="67" t="s">
        <v>50</v>
      </c>
      <c r="H94" s="57" t="s">
        <v>37</v>
      </c>
      <c r="I94" s="55" t="s">
        <v>51</v>
      </c>
      <c r="J94" s="57" t="e">
        <f>ROUND(#REF!*2.4,-1)</f>
        <v>#REF!</v>
      </c>
      <c r="K94" s="58"/>
      <c r="L94" s="59">
        <f>73-1</f>
        <v>72</v>
      </c>
      <c r="M94" s="60"/>
      <c r="N94" s="61"/>
      <c r="O94" s="61"/>
      <c r="P94" s="62"/>
      <c r="Q94" s="62">
        <f>21-6</f>
        <v>15</v>
      </c>
      <c r="R94" s="62">
        <f>20-6</f>
        <v>14</v>
      </c>
      <c r="S94" s="62">
        <f>15-1</f>
        <v>14</v>
      </c>
      <c r="T94" s="62">
        <f>21-6</f>
        <v>15</v>
      </c>
      <c r="U94" s="62">
        <f>17-3</f>
        <v>14</v>
      </c>
      <c r="V94" s="62">
        <f>1-1</f>
        <v>0</v>
      </c>
      <c r="W94" s="63"/>
      <c r="X94" s="63"/>
      <c r="Z94" s="64"/>
      <c r="AA94" s="54">
        <v>1410197</v>
      </c>
      <c r="AB94" s="54">
        <v>348</v>
      </c>
      <c r="AC94" s="54">
        <v>403</v>
      </c>
    </row>
    <row r="95" spans="1:29" ht="60" customHeight="1" x14ac:dyDescent="0.2">
      <c r="A95" s="83" t="s">
        <v>197</v>
      </c>
      <c r="B95" s="74"/>
      <c r="C95" s="66" t="s">
        <v>196</v>
      </c>
      <c r="D95" s="57" t="s">
        <v>48</v>
      </c>
      <c r="E95" s="54" t="s">
        <v>34</v>
      </c>
      <c r="F95" s="67" t="s">
        <v>49</v>
      </c>
      <c r="G95" s="56" t="s">
        <v>36</v>
      </c>
      <c r="H95" s="57" t="s">
        <v>37</v>
      </c>
      <c r="I95" s="67" t="s">
        <v>51</v>
      </c>
      <c r="J95" s="57" t="e">
        <f>ROUND(#REF!*2.4,-1)</f>
        <v>#REF!</v>
      </c>
      <c r="K95" s="58"/>
      <c r="L95" s="59">
        <f>6-1+1</f>
        <v>6</v>
      </c>
      <c r="M95" s="60"/>
      <c r="N95" s="61"/>
      <c r="O95" s="61"/>
      <c r="P95" s="62"/>
      <c r="Q95" s="62">
        <f>6-6+1</f>
        <v>1</v>
      </c>
      <c r="R95" s="62">
        <f>5-5+1</f>
        <v>1</v>
      </c>
      <c r="S95" s="62">
        <f>6-6+1</f>
        <v>1</v>
      </c>
      <c r="T95" s="62">
        <f>2-1+1</f>
        <v>2</v>
      </c>
      <c r="U95" s="62">
        <f>7-7+1</f>
        <v>1</v>
      </c>
      <c r="V95" s="62">
        <f>9-9</f>
        <v>0</v>
      </c>
      <c r="W95" s="63"/>
      <c r="X95" s="63"/>
      <c r="Z95" s="64"/>
      <c r="AA95" s="54"/>
      <c r="AB95" s="54"/>
      <c r="AC95" s="54"/>
    </row>
    <row r="96" spans="1:29" ht="60" customHeight="1" x14ac:dyDescent="0.2">
      <c r="A96" s="69" t="s">
        <v>198</v>
      </c>
      <c r="B96" s="70"/>
      <c r="C96" s="66" t="s">
        <v>199</v>
      </c>
      <c r="D96" s="53" t="s">
        <v>48</v>
      </c>
      <c r="E96" s="68" t="s">
        <v>34</v>
      </c>
      <c r="F96" s="55" t="s">
        <v>49</v>
      </c>
      <c r="G96" s="67" t="s">
        <v>50</v>
      </c>
      <c r="H96" s="57" t="s">
        <v>60</v>
      </c>
      <c r="I96" s="55" t="s">
        <v>51</v>
      </c>
      <c r="J96" s="57" t="e">
        <f>ROUND(#REF!*2.4,-1)</f>
        <v>#REF!</v>
      </c>
      <c r="K96" s="58"/>
      <c r="L96" s="59">
        <f>8-1+4+3+1</f>
        <v>15</v>
      </c>
      <c r="M96" s="60"/>
      <c r="N96" s="61"/>
      <c r="O96" s="61"/>
      <c r="P96" s="62"/>
      <c r="Q96" s="62">
        <f>7-1</f>
        <v>6</v>
      </c>
      <c r="R96" s="62">
        <f>1-1+1+1</f>
        <v>2</v>
      </c>
      <c r="S96" s="62">
        <f>1-1+1+1</f>
        <v>2</v>
      </c>
      <c r="T96" s="62">
        <f>1-1+1+1+1</f>
        <v>3</v>
      </c>
      <c r="U96" s="62">
        <f>1-1+1</f>
        <v>1</v>
      </c>
      <c r="V96" s="62">
        <f>1-1+1</f>
        <v>1</v>
      </c>
      <c r="W96" s="63"/>
      <c r="X96" s="63"/>
      <c r="Z96" s="71"/>
      <c r="AA96" s="54"/>
      <c r="AB96" s="54"/>
      <c r="AC96" s="54"/>
    </row>
    <row r="97" spans="1:29" ht="60" customHeight="1" x14ac:dyDescent="0.2">
      <c r="A97" s="69" t="s">
        <v>200</v>
      </c>
      <c r="B97" s="74"/>
      <c r="C97" s="66" t="s">
        <v>201</v>
      </c>
      <c r="D97" s="53" t="s">
        <v>48</v>
      </c>
      <c r="E97" s="54" t="s">
        <v>34</v>
      </c>
      <c r="F97" s="55" t="s">
        <v>49</v>
      </c>
      <c r="G97" s="67" t="s">
        <v>50</v>
      </c>
      <c r="H97" s="57" t="s">
        <v>37</v>
      </c>
      <c r="I97" s="55" t="s">
        <v>51</v>
      </c>
      <c r="J97" s="57" t="e">
        <f>ROUND(#REF!*2.4,-1)</f>
        <v>#REF!</v>
      </c>
      <c r="K97" s="58"/>
      <c r="L97" s="59">
        <f>149-30+12+3</f>
        <v>134</v>
      </c>
      <c r="M97" s="60"/>
      <c r="N97" s="61"/>
      <c r="O97" s="61"/>
      <c r="P97" s="62"/>
      <c r="Q97" s="62">
        <f>34-6+2</f>
        <v>30</v>
      </c>
      <c r="R97" s="62">
        <f>32-6+2+1</f>
        <v>29</v>
      </c>
      <c r="S97" s="62">
        <f>31-6+2+1</f>
        <v>28</v>
      </c>
      <c r="T97" s="62">
        <f>33-6+2+1</f>
        <v>30</v>
      </c>
      <c r="U97" s="62">
        <f>19-6+2</f>
        <v>15</v>
      </c>
      <c r="V97" s="62">
        <f>2-2+1-1+2</f>
        <v>2</v>
      </c>
      <c r="W97" s="63"/>
      <c r="X97" s="63"/>
      <c r="Z97" s="71"/>
      <c r="AA97" s="54"/>
      <c r="AB97" s="54"/>
      <c r="AC97" s="54">
        <v>389</v>
      </c>
    </row>
    <row r="98" spans="1:29" ht="60" customHeight="1" x14ac:dyDescent="0.2">
      <c r="A98" s="69" t="s">
        <v>202</v>
      </c>
      <c r="B98" s="70"/>
      <c r="C98" s="66" t="s">
        <v>203</v>
      </c>
      <c r="D98" s="53" t="s">
        <v>48</v>
      </c>
      <c r="E98" s="54" t="s">
        <v>34</v>
      </c>
      <c r="F98" s="55" t="s">
        <v>49</v>
      </c>
      <c r="G98" s="67" t="s">
        <v>50</v>
      </c>
      <c r="H98" s="57" t="s">
        <v>37</v>
      </c>
      <c r="I98" s="55" t="s">
        <v>51</v>
      </c>
      <c r="J98" s="57" t="e">
        <f>ROUND(#REF!*2.4,-1)</f>
        <v>#REF!</v>
      </c>
      <c r="K98" s="58"/>
      <c r="L98" s="59">
        <f>4-1</f>
        <v>3</v>
      </c>
      <c r="M98" s="60"/>
      <c r="N98" s="61"/>
      <c r="O98" s="61"/>
      <c r="P98" s="62"/>
      <c r="Q98" s="62">
        <f>1-1</f>
        <v>0</v>
      </c>
      <c r="R98" s="62">
        <f>1-1+1</f>
        <v>1</v>
      </c>
      <c r="S98" s="62">
        <f>1-1</f>
        <v>0</v>
      </c>
      <c r="T98" s="62">
        <f>1-1</f>
        <v>0</v>
      </c>
      <c r="U98" s="62">
        <f>3-1</f>
        <v>2</v>
      </c>
      <c r="V98" s="62"/>
      <c r="W98" s="63"/>
      <c r="X98" s="63"/>
      <c r="Z98" s="71"/>
      <c r="AA98" s="54"/>
      <c r="AB98" s="54"/>
      <c r="AC98" s="54"/>
    </row>
    <row r="99" spans="1:29" ht="60" customHeight="1" x14ac:dyDescent="0.2">
      <c r="A99" s="69" t="s">
        <v>204</v>
      </c>
      <c r="B99" s="74"/>
      <c r="C99" s="66" t="s">
        <v>205</v>
      </c>
      <c r="D99" s="53" t="s">
        <v>48</v>
      </c>
      <c r="E99" s="54" t="s">
        <v>34</v>
      </c>
      <c r="F99" s="55" t="s">
        <v>49</v>
      </c>
      <c r="G99" s="67" t="s">
        <v>50</v>
      </c>
      <c r="H99" s="57" t="s">
        <v>37</v>
      </c>
      <c r="I99" s="55" t="s">
        <v>51</v>
      </c>
      <c r="J99" s="57" t="e">
        <f>ROUND(#REF!*2.4,-1)</f>
        <v>#REF!</v>
      </c>
      <c r="K99" s="58"/>
      <c r="L99" s="59">
        <f>115-6+2</f>
        <v>111</v>
      </c>
      <c r="M99" s="60"/>
      <c r="N99" s="61"/>
      <c r="O99" s="61"/>
      <c r="P99" s="62"/>
      <c r="Q99" s="62">
        <f>24-2</f>
        <v>22</v>
      </c>
      <c r="R99" s="62">
        <f>29-2</f>
        <v>27</v>
      </c>
      <c r="S99" s="62">
        <f>23-2+1</f>
        <v>22</v>
      </c>
      <c r="T99" s="62">
        <f>42-20+1</f>
        <v>23</v>
      </c>
      <c r="U99" s="62">
        <f>21-5</f>
        <v>16</v>
      </c>
      <c r="V99" s="62">
        <f>1-1+1</f>
        <v>1</v>
      </c>
      <c r="W99" s="63"/>
      <c r="X99" s="63"/>
      <c r="Z99" s="64"/>
      <c r="AA99" s="54"/>
      <c r="AB99" s="54"/>
      <c r="AC99" s="54">
        <v>397</v>
      </c>
    </row>
    <row r="100" spans="1:29" ht="60" customHeight="1" x14ac:dyDescent="0.2">
      <c r="A100" s="69" t="s">
        <v>206</v>
      </c>
      <c r="B100" s="74"/>
      <c r="C100" s="66" t="s">
        <v>205</v>
      </c>
      <c r="D100" s="57" t="s">
        <v>48</v>
      </c>
      <c r="E100" s="54" t="s">
        <v>34</v>
      </c>
      <c r="F100" s="67" t="s">
        <v>49</v>
      </c>
      <c r="G100" s="67" t="s">
        <v>68</v>
      </c>
      <c r="H100" s="57" t="s">
        <v>37</v>
      </c>
      <c r="I100" s="67" t="s">
        <v>51</v>
      </c>
      <c r="J100" s="57" t="e">
        <f>ROUND(#REF!*2.4,-1)</f>
        <v>#REF!</v>
      </c>
      <c r="K100" s="58"/>
      <c r="L100" s="59">
        <f>11-11+11</f>
        <v>11</v>
      </c>
      <c r="M100" s="60"/>
      <c r="N100" s="61"/>
      <c r="O100" s="61"/>
      <c r="P100" s="62"/>
      <c r="Q100" s="62">
        <f>5-5+5</f>
        <v>5</v>
      </c>
      <c r="R100" s="62">
        <f>2-2</f>
        <v>0</v>
      </c>
      <c r="S100" s="62">
        <f>2-2+2</f>
        <v>2</v>
      </c>
      <c r="T100" s="62">
        <f>1-1+1</f>
        <v>1</v>
      </c>
      <c r="U100" s="62">
        <f>3-3+3</f>
        <v>3</v>
      </c>
      <c r="V100" s="62"/>
      <c r="W100" s="63"/>
      <c r="X100" s="63"/>
      <c r="Z100" s="64"/>
      <c r="AA100" s="54">
        <v>3610019</v>
      </c>
      <c r="AB100" s="54">
        <v>419</v>
      </c>
      <c r="AC100" s="54"/>
    </row>
    <row r="101" spans="1:29" ht="60" customHeight="1" x14ac:dyDescent="0.2">
      <c r="A101" s="69" t="s">
        <v>207</v>
      </c>
      <c r="B101" s="70"/>
      <c r="C101" s="66" t="s">
        <v>208</v>
      </c>
      <c r="D101" s="53" t="s">
        <v>48</v>
      </c>
      <c r="E101" s="54" t="s">
        <v>34</v>
      </c>
      <c r="F101" s="55" t="s">
        <v>49</v>
      </c>
      <c r="G101" s="67" t="s">
        <v>50</v>
      </c>
      <c r="H101" s="57" t="s">
        <v>60</v>
      </c>
      <c r="I101" s="55" t="s">
        <v>51</v>
      </c>
      <c r="J101" s="57" t="e">
        <f>ROUND(#REF!*2.4,-1)</f>
        <v>#REF!</v>
      </c>
      <c r="K101" s="58"/>
      <c r="L101" s="59">
        <f>118-1</f>
        <v>117</v>
      </c>
      <c r="M101" s="60"/>
      <c r="N101" s="61"/>
      <c r="O101" s="61"/>
      <c r="P101" s="62"/>
      <c r="Q101" s="62">
        <f>27-3</f>
        <v>24</v>
      </c>
      <c r="R101" s="62">
        <f>29-1</f>
        <v>28</v>
      </c>
      <c r="S101" s="62">
        <f>27-1</f>
        <v>26</v>
      </c>
      <c r="T101" s="62">
        <f>26-3</f>
        <v>23</v>
      </c>
      <c r="U101" s="62">
        <f>19-3</f>
        <v>16</v>
      </c>
      <c r="V101" s="62">
        <f>1-1</f>
        <v>0</v>
      </c>
      <c r="W101" s="63"/>
      <c r="X101" s="63"/>
      <c r="Z101" s="71"/>
      <c r="AA101" s="54">
        <v>1420606</v>
      </c>
      <c r="AB101" s="54">
        <v>399</v>
      </c>
      <c r="AC101" s="54"/>
    </row>
    <row r="102" spans="1:29" ht="60" customHeight="1" x14ac:dyDescent="0.2">
      <c r="A102" s="69" t="s">
        <v>209</v>
      </c>
      <c r="B102" s="70"/>
      <c r="C102" s="66" t="s">
        <v>210</v>
      </c>
      <c r="D102" s="53" t="s">
        <v>48</v>
      </c>
      <c r="E102" s="54" t="s">
        <v>34</v>
      </c>
      <c r="F102" s="55" t="s">
        <v>49</v>
      </c>
      <c r="G102" s="67" t="s">
        <v>50</v>
      </c>
      <c r="H102" s="57" t="s">
        <v>37</v>
      </c>
      <c r="I102" s="55" t="s">
        <v>51</v>
      </c>
      <c r="J102" s="57" t="e">
        <f>ROUND(#REF!*2.4,-1)</f>
        <v>#REF!</v>
      </c>
      <c r="K102" s="58"/>
      <c r="L102" s="59">
        <f>177-10+1</f>
        <v>168</v>
      </c>
      <c r="M102" s="60"/>
      <c r="N102" s="61"/>
      <c r="O102" s="61"/>
      <c r="P102" s="62"/>
      <c r="Q102" s="62">
        <f>41-2</f>
        <v>39</v>
      </c>
      <c r="R102" s="62">
        <f>37-2</f>
        <v>35</v>
      </c>
      <c r="S102" s="62">
        <f>38-2+1</f>
        <v>37</v>
      </c>
      <c r="T102" s="62">
        <f>36-2</f>
        <v>34</v>
      </c>
      <c r="U102" s="62">
        <f>25-2</f>
        <v>23</v>
      </c>
      <c r="V102" s="62">
        <f>2-2</f>
        <v>0</v>
      </c>
      <c r="W102" s="63"/>
      <c r="X102" s="63"/>
      <c r="Z102" s="71"/>
      <c r="AA102" s="54">
        <v>1410593</v>
      </c>
      <c r="AB102" s="54">
        <v>426</v>
      </c>
      <c r="AC102" s="54"/>
    </row>
    <row r="103" spans="1:29" ht="60" customHeight="1" x14ac:dyDescent="0.2">
      <c r="A103" s="69" t="s">
        <v>211</v>
      </c>
      <c r="B103" s="70"/>
      <c r="C103" s="66" t="s">
        <v>40</v>
      </c>
      <c r="D103" s="53" t="s">
        <v>48</v>
      </c>
      <c r="E103" s="54" t="s">
        <v>34</v>
      </c>
      <c r="F103" s="55" t="s">
        <v>49</v>
      </c>
      <c r="G103" s="67" t="s">
        <v>50</v>
      </c>
      <c r="H103" s="57" t="s">
        <v>37</v>
      </c>
      <c r="I103" s="55" t="s">
        <v>51</v>
      </c>
      <c r="J103" s="57" t="e">
        <f>ROUND(#REF!*2.4,-1)</f>
        <v>#REF!</v>
      </c>
      <c r="K103" s="58"/>
      <c r="L103" s="59">
        <f>177-20+1</f>
        <v>158</v>
      </c>
      <c r="M103" s="60"/>
      <c r="N103" s="61"/>
      <c r="O103" s="61"/>
      <c r="P103" s="62"/>
      <c r="Q103" s="62">
        <f>34-5+1</f>
        <v>30</v>
      </c>
      <c r="R103" s="62">
        <f>27-5</f>
        <v>22</v>
      </c>
      <c r="S103" s="62">
        <f>40-5</f>
        <v>35</v>
      </c>
      <c r="T103" s="62">
        <f>39-3</f>
        <v>36</v>
      </c>
      <c r="U103" s="62">
        <f>32-2</f>
        <v>30</v>
      </c>
      <c r="V103" s="62">
        <f>5</f>
        <v>5</v>
      </c>
      <c r="W103" s="63"/>
      <c r="X103" s="63"/>
      <c r="Z103" s="64"/>
      <c r="AA103" s="54">
        <v>1410530</v>
      </c>
      <c r="AB103" s="54">
        <v>341</v>
      </c>
      <c r="AC103" s="54">
        <v>384</v>
      </c>
    </row>
    <row r="104" spans="1:29" ht="60" customHeight="1" x14ac:dyDescent="0.2">
      <c r="A104" s="81" t="s">
        <v>212</v>
      </c>
      <c r="B104" s="82"/>
      <c r="C104" s="84" t="s">
        <v>40</v>
      </c>
      <c r="D104" s="53" t="s">
        <v>58</v>
      </c>
      <c r="E104" s="54" t="s">
        <v>34</v>
      </c>
      <c r="F104" s="55" t="s">
        <v>59</v>
      </c>
      <c r="G104" s="67" t="s">
        <v>68</v>
      </c>
      <c r="H104" s="57" t="s">
        <v>37</v>
      </c>
      <c r="I104" s="55" t="s">
        <v>51</v>
      </c>
      <c r="J104" s="57" t="e">
        <f>ROUND(#REF!*2.4,-1)</f>
        <v>#REF!</v>
      </c>
      <c r="K104" s="58"/>
      <c r="L104" s="59">
        <f>1-1+1+1</f>
        <v>2</v>
      </c>
      <c r="M104" s="60"/>
      <c r="N104" s="61"/>
      <c r="O104" s="61"/>
      <c r="P104" s="62">
        <f>1-1</f>
        <v>0</v>
      </c>
      <c r="Q104" s="62">
        <f>1-1+1</f>
        <v>1</v>
      </c>
      <c r="R104" s="62">
        <f>1-1+1-1</f>
        <v>0</v>
      </c>
      <c r="S104" s="62">
        <f>1-1+1</f>
        <v>1</v>
      </c>
      <c r="T104" s="62">
        <f t="shared" ref="T104:T109" si="4">1-1</f>
        <v>0</v>
      </c>
      <c r="U104" s="62"/>
      <c r="V104" s="62"/>
      <c r="W104" s="63"/>
      <c r="X104" s="63"/>
      <c r="Z104" s="64"/>
      <c r="AA104" s="54">
        <v>1610530</v>
      </c>
      <c r="AB104" s="54">
        <v>373</v>
      </c>
      <c r="AC104" s="54"/>
    </row>
    <row r="105" spans="1:29" ht="60" customHeight="1" x14ac:dyDescent="0.2">
      <c r="A105" s="85" t="s">
        <v>213</v>
      </c>
      <c r="B105" s="74"/>
      <c r="C105" s="66" t="s">
        <v>214</v>
      </c>
      <c r="D105" s="57" t="s">
        <v>48</v>
      </c>
      <c r="E105" s="54" t="s">
        <v>34</v>
      </c>
      <c r="F105" s="67" t="s">
        <v>49</v>
      </c>
      <c r="G105" s="67" t="s">
        <v>68</v>
      </c>
      <c r="H105" s="57" t="s">
        <v>37</v>
      </c>
      <c r="I105" s="67" t="s">
        <v>51</v>
      </c>
      <c r="J105" s="57" t="e">
        <f>ROUND(#REF!*2.4,-1)</f>
        <v>#REF!</v>
      </c>
      <c r="K105" s="58"/>
      <c r="L105" s="59">
        <f>28-3</f>
        <v>25</v>
      </c>
      <c r="M105" s="60"/>
      <c r="N105" s="61"/>
      <c r="O105" s="61"/>
      <c r="P105" s="62"/>
      <c r="Q105" s="62">
        <f>1-1</f>
        <v>0</v>
      </c>
      <c r="R105" s="62">
        <f>5-5</f>
        <v>0</v>
      </c>
      <c r="S105" s="62">
        <f>1-1+1</f>
        <v>1</v>
      </c>
      <c r="T105" s="62">
        <f>1-1</f>
        <v>0</v>
      </c>
      <c r="U105" s="62">
        <f>15-1</f>
        <v>14</v>
      </c>
      <c r="V105" s="62">
        <f>11-1</f>
        <v>10</v>
      </c>
      <c r="W105" s="63"/>
      <c r="X105" s="63"/>
      <c r="Z105" s="64"/>
      <c r="AA105" s="54">
        <v>3610530</v>
      </c>
      <c r="AB105" s="54">
        <v>390</v>
      </c>
      <c r="AC105" s="54">
        <v>396</v>
      </c>
    </row>
    <row r="106" spans="1:29" ht="60" hidden="1" customHeight="1" x14ac:dyDescent="0.2">
      <c r="A106" s="69" t="s">
        <v>215</v>
      </c>
      <c r="B106" s="70"/>
      <c r="C106" s="66" t="s">
        <v>40</v>
      </c>
      <c r="D106" s="57" t="s">
        <v>58</v>
      </c>
      <c r="E106" s="54" t="s">
        <v>34</v>
      </c>
      <c r="F106" s="67" t="s">
        <v>59</v>
      </c>
      <c r="G106" s="67" t="s">
        <v>50</v>
      </c>
      <c r="H106" s="57" t="s">
        <v>37</v>
      </c>
      <c r="I106" s="55" t="s">
        <v>51</v>
      </c>
      <c r="J106" s="57" t="e">
        <f>ROUND(#REF!*2.4,-1)</f>
        <v>#REF!</v>
      </c>
      <c r="K106" s="58"/>
      <c r="L106" s="59">
        <f>4-4</f>
        <v>0</v>
      </c>
      <c r="M106" s="60"/>
      <c r="N106" s="61"/>
      <c r="O106" s="61"/>
      <c r="P106" s="62">
        <f>4-4</f>
        <v>0</v>
      </c>
      <c r="Q106" s="62">
        <f>1-1</f>
        <v>0</v>
      </c>
      <c r="R106" s="62">
        <f>1-1</f>
        <v>0</v>
      </c>
      <c r="S106" s="62">
        <f>1-1</f>
        <v>0</v>
      </c>
      <c r="T106" s="62">
        <f t="shared" si="4"/>
        <v>0</v>
      </c>
      <c r="U106" s="62"/>
      <c r="V106" s="62"/>
      <c r="W106" s="63"/>
      <c r="X106" s="63"/>
      <c r="Z106" s="71"/>
      <c r="AA106" s="54"/>
      <c r="AB106" s="54"/>
      <c r="AC106" s="54">
        <v>391</v>
      </c>
    </row>
    <row r="107" spans="1:29" ht="60" customHeight="1" x14ac:dyDescent="0.2">
      <c r="A107" s="69" t="s">
        <v>216</v>
      </c>
      <c r="B107" s="70"/>
      <c r="C107" s="66" t="s">
        <v>40</v>
      </c>
      <c r="D107" s="57" t="s">
        <v>58</v>
      </c>
      <c r="E107" s="54" t="s">
        <v>34</v>
      </c>
      <c r="F107" s="67" t="s">
        <v>59</v>
      </c>
      <c r="G107" s="67" t="s">
        <v>50</v>
      </c>
      <c r="H107" s="57" t="s">
        <v>37</v>
      </c>
      <c r="I107" s="55" t="s">
        <v>51</v>
      </c>
      <c r="J107" s="57" t="e">
        <f>ROUND(#REF!*2.4,-1)</f>
        <v>#REF!</v>
      </c>
      <c r="K107" s="58"/>
      <c r="L107" s="59">
        <f>133-29</f>
        <v>104</v>
      </c>
      <c r="M107" s="60"/>
      <c r="N107" s="61"/>
      <c r="O107" s="61"/>
      <c r="P107" s="62">
        <f>21-7</f>
        <v>14</v>
      </c>
      <c r="Q107" s="62">
        <f>31-7</f>
        <v>24</v>
      </c>
      <c r="R107" s="62">
        <f>24-7</f>
        <v>17</v>
      </c>
      <c r="S107" s="62">
        <f>26-4</f>
        <v>22</v>
      </c>
      <c r="T107" s="62">
        <f>31-4</f>
        <v>27</v>
      </c>
      <c r="U107" s="62"/>
      <c r="V107" s="62"/>
      <c r="W107" s="63"/>
      <c r="X107" s="63"/>
      <c r="Z107" s="64"/>
      <c r="AA107" s="54"/>
      <c r="AB107" s="54"/>
      <c r="AC107" s="54"/>
    </row>
    <row r="108" spans="1:29" ht="60" customHeight="1" x14ac:dyDescent="0.2">
      <c r="A108" s="69" t="s">
        <v>217</v>
      </c>
      <c r="B108" s="74"/>
      <c r="C108" s="66" t="s">
        <v>218</v>
      </c>
      <c r="D108" s="57" t="s">
        <v>48</v>
      </c>
      <c r="E108" s="54" t="s">
        <v>34</v>
      </c>
      <c r="F108" s="67" t="s">
        <v>49</v>
      </c>
      <c r="G108" s="67" t="s">
        <v>50</v>
      </c>
      <c r="H108" s="57" t="s">
        <v>219</v>
      </c>
      <c r="I108" s="67" t="s">
        <v>51</v>
      </c>
      <c r="J108" s="57" t="e">
        <f>ROUND(#REF!*2.4,-1)</f>
        <v>#REF!</v>
      </c>
      <c r="K108" s="58"/>
      <c r="L108" s="59">
        <f>2-2+2</f>
        <v>2</v>
      </c>
      <c r="M108" s="60"/>
      <c r="N108" s="61"/>
      <c r="O108" s="61"/>
      <c r="P108" s="77"/>
      <c r="Q108" s="77">
        <f>1-1+1</f>
        <v>1</v>
      </c>
      <c r="R108" s="77">
        <f>1-1+1</f>
        <v>1</v>
      </c>
      <c r="S108" s="77">
        <f t="shared" ref="R108:T110" si="5">1-1</f>
        <v>0</v>
      </c>
      <c r="T108" s="77">
        <f>1-1</f>
        <v>0</v>
      </c>
      <c r="U108" s="77">
        <f>1-1</f>
        <v>0</v>
      </c>
      <c r="V108" s="62">
        <f>1-1</f>
        <v>0</v>
      </c>
      <c r="W108" s="63"/>
      <c r="X108" s="63"/>
      <c r="Z108" s="64"/>
      <c r="AA108" s="54"/>
      <c r="AB108" s="54"/>
      <c r="AC108" s="54"/>
    </row>
    <row r="109" spans="1:29" ht="60" hidden="1" customHeight="1" x14ac:dyDescent="0.2">
      <c r="A109" s="69" t="s">
        <v>220</v>
      </c>
      <c r="B109" s="74"/>
      <c r="C109" s="66" t="s">
        <v>218</v>
      </c>
      <c r="D109" s="57" t="s">
        <v>58</v>
      </c>
      <c r="E109" s="54" t="s">
        <v>34</v>
      </c>
      <c r="F109" s="67" t="s">
        <v>59</v>
      </c>
      <c r="G109" s="67" t="s">
        <v>50</v>
      </c>
      <c r="H109" s="57" t="s">
        <v>219</v>
      </c>
      <c r="I109" s="67" t="s">
        <v>51</v>
      </c>
      <c r="J109" s="57" t="e">
        <f>ROUND(#REF!*2.4,-1)</f>
        <v>#REF!</v>
      </c>
      <c r="K109" s="58"/>
      <c r="L109" s="59">
        <f>1-1</f>
        <v>0</v>
      </c>
      <c r="M109" s="60"/>
      <c r="N109" s="61"/>
      <c r="O109" s="61"/>
      <c r="P109" s="77">
        <f>1-1</f>
        <v>0</v>
      </c>
      <c r="Q109" s="77">
        <f>1-1+1-1</f>
        <v>0</v>
      </c>
      <c r="R109" s="77">
        <f t="shared" si="5"/>
        <v>0</v>
      </c>
      <c r="S109" s="77">
        <f t="shared" si="5"/>
        <v>0</v>
      </c>
      <c r="T109" s="77">
        <f t="shared" si="4"/>
        <v>0</v>
      </c>
      <c r="U109" s="62"/>
      <c r="V109" s="62"/>
      <c r="W109" s="63"/>
      <c r="X109" s="63"/>
      <c r="Z109" s="64"/>
      <c r="AA109" s="54">
        <v>3452564</v>
      </c>
      <c r="AB109" s="54">
        <v>362</v>
      </c>
      <c r="AC109" s="54">
        <v>394</v>
      </c>
    </row>
    <row r="110" spans="1:29" ht="60" customHeight="1" x14ac:dyDescent="0.2">
      <c r="A110" s="69" t="s">
        <v>221</v>
      </c>
      <c r="B110" s="74"/>
      <c r="C110" s="66" t="s">
        <v>218</v>
      </c>
      <c r="D110" s="57" t="s">
        <v>58</v>
      </c>
      <c r="E110" s="54" t="s">
        <v>34</v>
      </c>
      <c r="F110" s="67" t="s">
        <v>59</v>
      </c>
      <c r="G110" s="67" t="s">
        <v>50</v>
      </c>
      <c r="H110" s="57" t="s">
        <v>219</v>
      </c>
      <c r="I110" s="67" t="s">
        <v>51</v>
      </c>
      <c r="J110" s="57" t="e">
        <f>ROUND(#REF!*2.4,-1)</f>
        <v>#REF!</v>
      </c>
      <c r="K110" s="58"/>
      <c r="L110" s="59">
        <f>2-1</f>
        <v>1</v>
      </c>
      <c r="M110" s="60"/>
      <c r="N110" s="61"/>
      <c r="O110" s="61"/>
      <c r="P110" s="77">
        <f>1-1</f>
        <v>0</v>
      </c>
      <c r="Q110" s="77">
        <f>1-1+1</f>
        <v>1</v>
      </c>
      <c r="R110" s="77">
        <f>1-1</f>
        <v>0</v>
      </c>
      <c r="S110" s="77">
        <f t="shared" si="5"/>
        <v>0</v>
      </c>
      <c r="T110" s="77">
        <f>1-1</f>
        <v>0</v>
      </c>
      <c r="U110" s="62"/>
      <c r="V110" s="62"/>
      <c r="W110" s="63"/>
      <c r="X110" s="63"/>
      <c r="Z110" s="64"/>
      <c r="AA110" s="54">
        <v>3452564</v>
      </c>
      <c r="AB110" s="54">
        <v>362</v>
      </c>
      <c r="AC110" s="54">
        <v>394</v>
      </c>
    </row>
    <row r="111" spans="1:29" ht="60" customHeight="1" x14ac:dyDescent="0.2">
      <c r="A111" s="83" t="s">
        <v>222</v>
      </c>
      <c r="B111" s="74"/>
      <c r="C111" s="66" t="s">
        <v>218</v>
      </c>
      <c r="D111" s="57" t="s">
        <v>48</v>
      </c>
      <c r="E111" s="54" t="s">
        <v>34</v>
      </c>
      <c r="F111" s="67" t="s">
        <v>49</v>
      </c>
      <c r="G111" s="67" t="s">
        <v>68</v>
      </c>
      <c r="H111" s="57" t="s">
        <v>219</v>
      </c>
      <c r="I111" s="67" t="s">
        <v>51</v>
      </c>
      <c r="J111" s="57" t="e">
        <f>ROUND(#REF!*2.4,-1)</f>
        <v>#REF!</v>
      </c>
      <c r="K111" s="58"/>
      <c r="L111" s="59">
        <f>5-1+1+1</f>
        <v>6</v>
      </c>
      <c r="M111" s="60"/>
      <c r="N111" s="61"/>
      <c r="O111" s="61"/>
      <c r="P111" s="62"/>
      <c r="Q111" s="62">
        <f>1-1</f>
        <v>0</v>
      </c>
      <c r="R111" s="62">
        <f>1-1+1+1</f>
        <v>2</v>
      </c>
      <c r="S111" s="62">
        <f>1-1</f>
        <v>0</v>
      </c>
      <c r="T111" s="62">
        <f>3-3+1</f>
        <v>1</v>
      </c>
      <c r="U111" s="62">
        <f>3-1+1</f>
        <v>3</v>
      </c>
      <c r="V111" s="62"/>
      <c r="W111" s="63"/>
      <c r="X111" s="63"/>
      <c r="Z111" s="64"/>
      <c r="AC111" s="54"/>
    </row>
    <row r="112" spans="1:29" ht="60" customHeight="1" x14ac:dyDescent="0.2">
      <c r="A112" s="69" t="s">
        <v>223</v>
      </c>
      <c r="B112" s="70"/>
      <c r="C112" s="66" t="s">
        <v>109</v>
      </c>
      <c r="D112" s="57" t="s">
        <v>58</v>
      </c>
      <c r="E112" s="54" t="s">
        <v>34</v>
      </c>
      <c r="F112" s="67" t="s">
        <v>59</v>
      </c>
      <c r="G112" s="67" t="s">
        <v>50</v>
      </c>
      <c r="H112" s="57" t="s">
        <v>37</v>
      </c>
      <c r="I112" s="55" t="s">
        <v>51</v>
      </c>
      <c r="J112" s="57" t="e">
        <f>ROUND(#REF!*2.4,-1)</f>
        <v>#REF!</v>
      </c>
      <c r="K112" s="58"/>
      <c r="L112" s="59">
        <f>23-1</f>
        <v>22</v>
      </c>
      <c r="M112" s="60"/>
      <c r="N112" s="61"/>
      <c r="O112" s="61"/>
      <c r="P112" s="62">
        <f>1-1</f>
        <v>0</v>
      </c>
      <c r="Q112" s="62">
        <f>15-3</f>
        <v>12</v>
      </c>
      <c r="R112" s="62">
        <f>9-1</f>
        <v>8</v>
      </c>
      <c r="S112" s="62">
        <f>3-3</f>
        <v>0</v>
      </c>
      <c r="T112" s="62">
        <f>2-1+1</f>
        <v>2</v>
      </c>
      <c r="U112" s="62"/>
      <c r="V112" s="62"/>
      <c r="W112" s="63"/>
      <c r="X112" s="63"/>
      <c r="Z112" s="64"/>
      <c r="AA112" s="54"/>
      <c r="AB112" s="54"/>
      <c r="AC112" s="54"/>
    </row>
    <row r="113" spans="1:29" ht="60" customHeight="1" x14ac:dyDescent="0.2">
      <c r="A113" s="69" t="s">
        <v>224</v>
      </c>
      <c r="B113" s="70"/>
      <c r="C113" s="66" t="s">
        <v>225</v>
      </c>
      <c r="D113" s="53" t="s">
        <v>48</v>
      </c>
      <c r="E113" s="54" t="s">
        <v>34</v>
      </c>
      <c r="F113" s="55" t="s">
        <v>49</v>
      </c>
      <c r="G113" s="56" t="s">
        <v>36</v>
      </c>
      <c r="H113" s="57" t="s">
        <v>37</v>
      </c>
      <c r="I113" s="55" t="s">
        <v>51</v>
      </c>
      <c r="J113" s="57" t="e">
        <f>ROUND(#REF!*2.4,-1)</f>
        <v>#REF!</v>
      </c>
      <c r="K113" s="58"/>
      <c r="L113" s="59">
        <f>15-1</f>
        <v>14</v>
      </c>
      <c r="M113" s="60"/>
      <c r="N113" s="61"/>
      <c r="O113" s="61"/>
      <c r="P113" s="62"/>
      <c r="Q113" s="62">
        <f>13-1-1</f>
        <v>11</v>
      </c>
      <c r="R113" s="62">
        <f>1-1+1</f>
        <v>1</v>
      </c>
      <c r="S113" s="62">
        <f>1-1</f>
        <v>0</v>
      </c>
      <c r="T113" s="62">
        <f>2-2+2</f>
        <v>2</v>
      </c>
      <c r="U113" s="62">
        <f>1-1</f>
        <v>0</v>
      </c>
      <c r="V113" s="62"/>
      <c r="W113" s="63"/>
      <c r="X113" s="63"/>
      <c r="Z113" s="64"/>
      <c r="AA113" s="54"/>
      <c r="AB113" s="54"/>
      <c r="AC113" s="54"/>
    </row>
    <row r="114" spans="1:29" ht="60" customHeight="1" x14ac:dyDescent="0.2">
      <c r="A114" s="69" t="s">
        <v>226</v>
      </c>
      <c r="B114" s="70"/>
      <c r="C114" s="66" t="s">
        <v>227</v>
      </c>
      <c r="D114" s="53" t="s">
        <v>48</v>
      </c>
      <c r="E114" s="54" t="s">
        <v>34</v>
      </c>
      <c r="F114" s="55" t="s">
        <v>49</v>
      </c>
      <c r="G114" s="67" t="s">
        <v>50</v>
      </c>
      <c r="H114" s="57" t="s">
        <v>37</v>
      </c>
      <c r="I114" s="55" t="s">
        <v>51</v>
      </c>
      <c r="J114" s="57" t="e">
        <f>ROUND(#REF!*2.4,-1)</f>
        <v>#REF!</v>
      </c>
      <c r="K114" s="58"/>
      <c r="L114" s="59">
        <f>95-1</f>
        <v>94</v>
      </c>
      <c r="M114" s="60"/>
      <c r="N114" s="61"/>
      <c r="O114" s="61"/>
      <c r="P114" s="62"/>
      <c r="Q114" s="62">
        <f>23-3</f>
        <v>20</v>
      </c>
      <c r="R114" s="62">
        <f>25-3</f>
        <v>22</v>
      </c>
      <c r="S114" s="62">
        <f>25-3</f>
        <v>22</v>
      </c>
      <c r="T114" s="62">
        <f>18-1</f>
        <v>17</v>
      </c>
      <c r="U114" s="62">
        <f>14-1</f>
        <v>13</v>
      </c>
      <c r="V114" s="62">
        <f>2-2</f>
        <v>0</v>
      </c>
      <c r="W114" s="63"/>
      <c r="X114" s="63"/>
      <c r="Z114" s="64"/>
      <c r="AA114" s="54"/>
      <c r="AB114" s="54"/>
      <c r="AC114" s="54"/>
    </row>
    <row r="115" spans="1:29" ht="60" hidden="1" customHeight="1" x14ac:dyDescent="0.2">
      <c r="A115" s="72" t="s">
        <v>228</v>
      </c>
      <c r="B115" s="74"/>
      <c r="C115" s="66" t="s">
        <v>229</v>
      </c>
      <c r="D115" s="53" t="s">
        <v>48</v>
      </c>
      <c r="E115" s="54" t="s">
        <v>34</v>
      </c>
      <c r="F115" s="55" t="s">
        <v>49</v>
      </c>
      <c r="G115" s="56" t="s">
        <v>36</v>
      </c>
      <c r="H115" s="57" t="s">
        <v>37</v>
      </c>
      <c r="I115" s="55" t="s">
        <v>51</v>
      </c>
      <c r="J115" s="57" t="e">
        <f>ROUND(#REF!*2.4,-1)</f>
        <v>#REF!</v>
      </c>
      <c r="K115" s="58"/>
      <c r="L115" s="59">
        <f>2-2</f>
        <v>0</v>
      </c>
      <c r="M115" s="75"/>
      <c r="N115" s="76"/>
      <c r="O115" s="76"/>
      <c r="P115" s="77"/>
      <c r="Q115" s="77">
        <f>1-1</f>
        <v>0</v>
      </c>
      <c r="R115" s="77">
        <f>1-1</f>
        <v>0</v>
      </c>
      <c r="S115" s="77">
        <f>1-1</f>
        <v>0</v>
      </c>
      <c r="T115" s="77">
        <f>1-1</f>
        <v>0</v>
      </c>
      <c r="U115" s="77">
        <f>1-1</f>
        <v>0</v>
      </c>
      <c r="V115" s="77"/>
      <c r="W115" s="63"/>
      <c r="X115" s="63"/>
      <c r="Z115" s="71"/>
      <c r="AA115" s="54"/>
      <c r="AB115" s="54"/>
      <c r="AC115" s="54"/>
    </row>
    <row r="116" spans="1:29" ht="60" customHeight="1" x14ac:dyDescent="0.2">
      <c r="A116" s="69" t="s">
        <v>230</v>
      </c>
      <c r="B116" s="70"/>
      <c r="C116" s="66" t="s">
        <v>231</v>
      </c>
      <c r="D116" s="53" t="s">
        <v>48</v>
      </c>
      <c r="E116" s="54" t="s">
        <v>34</v>
      </c>
      <c r="F116" s="55" t="s">
        <v>49</v>
      </c>
      <c r="G116" s="67" t="s">
        <v>50</v>
      </c>
      <c r="H116" s="57" t="s">
        <v>37</v>
      </c>
      <c r="I116" s="55" t="s">
        <v>51</v>
      </c>
      <c r="J116" s="57" t="e">
        <f>ROUND(#REF!*2.4,-1)</f>
        <v>#REF!</v>
      </c>
      <c r="K116" s="58"/>
      <c r="L116" s="59">
        <f>21-1</f>
        <v>20</v>
      </c>
      <c r="M116" s="60"/>
      <c r="N116" s="61"/>
      <c r="O116" s="61"/>
      <c r="P116" s="62"/>
      <c r="Q116" s="62">
        <f>1-1</f>
        <v>0</v>
      </c>
      <c r="R116" s="62">
        <f>12-5</f>
        <v>7</v>
      </c>
      <c r="S116" s="62">
        <f>13-5</f>
        <v>8</v>
      </c>
      <c r="T116" s="62">
        <f>10-5</f>
        <v>5</v>
      </c>
      <c r="U116" s="62">
        <f>5-5</f>
        <v>0</v>
      </c>
      <c r="V116" s="62">
        <f>1-1</f>
        <v>0</v>
      </c>
      <c r="W116" s="63"/>
      <c r="X116" s="63"/>
      <c r="Z116" s="64"/>
      <c r="AA116" s="54"/>
      <c r="AB116" s="54"/>
      <c r="AC116" s="54"/>
    </row>
    <row r="117" spans="1:29" ht="60" customHeight="1" x14ac:dyDescent="0.2">
      <c r="A117" s="69" t="s">
        <v>232</v>
      </c>
      <c r="B117" s="70"/>
      <c r="C117" s="66" t="s">
        <v>233</v>
      </c>
      <c r="D117" s="53" t="s">
        <v>58</v>
      </c>
      <c r="E117" s="54" t="s">
        <v>34</v>
      </c>
      <c r="F117" s="55" t="s">
        <v>59</v>
      </c>
      <c r="G117" s="67" t="s">
        <v>50</v>
      </c>
      <c r="H117" s="57" t="s">
        <v>37</v>
      </c>
      <c r="I117" s="55" t="s">
        <v>51</v>
      </c>
      <c r="J117" s="57" t="e">
        <f>ROUND(#REF!*2.4,-1)</f>
        <v>#REF!</v>
      </c>
      <c r="K117" s="58"/>
      <c r="L117" s="59">
        <f>13-5</f>
        <v>8</v>
      </c>
      <c r="M117" s="60"/>
      <c r="N117" s="61"/>
      <c r="O117" s="61"/>
      <c r="P117" s="62">
        <f>1-1</f>
        <v>0</v>
      </c>
      <c r="Q117" s="62">
        <f>2-1</f>
        <v>1</v>
      </c>
      <c r="R117" s="62">
        <f>2-1</f>
        <v>1</v>
      </c>
      <c r="S117" s="62">
        <f>5-1</f>
        <v>4</v>
      </c>
      <c r="T117" s="62">
        <f>3-1</f>
        <v>2</v>
      </c>
      <c r="U117" s="62"/>
      <c r="V117" s="62"/>
      <c r="W117" s="63"/>
      <c r="X117" s="63"/>
      <c r="Z117" s="64"/>
      <c r="AA117" s="54"/>
      <c r="AB117" s="54"/>
      <c r="AC117" s="54"/>
    </row>
    <row r="118" spans="1:29" ht="60" customHeight="1" x14ac:dyDescent="0.2">
      <c r="A118" s="69" t="s">
        <v>234</v>
      </c>
      <c r="B118" s="74"/>
      <c r="C118" s="66" t="s">
        <v>235</v>
      </c>
      <c r="D118" s="57" t="s">
        <v>48</v>
      </c>
      <c r="E118" s="54" t="s">
        <v>34</v>
      </c>
      <c r="F118" s="67" t="s">
        <v>49</v>
      </c>
      <c r="G118" s="56" t="s">
        <v>36</v>
      </c>
      <c r="H118" s="57" t="s">
        <v>37</v>
      </c>
      <c r="I118" s="67" t="s">
        <v>51</v>
      </c>
      <c r="J118" s="57" t="e">
        <f>ROUND(#REF!*2.4,-1)</f>
        <v>#REF!</v>
      </c>
      <c r="K118" s="58"/>
      <c r="L118" s="59">
        <f>4-1</f>
        <v>3</v>
      </c>
      <c r="M118" s="60"/>
      <c r="N118" s="61"/>
      <c r="O118" s="61"/>
      <c r="P118" s="62"/>
      <c r="Q118" s="62">
        <f>1-1</f>
        <v>0</v>
      </c>
      <c r="R118" s="62">
        <f>1-1+1</f>
        <v>1</v>
      </c>
      <c r="S118" s="62">
        <f>2-2+1</f>
        <v>1</v>
      </c>
      <c r="T118" s="62">
        <f>1-1</f>
        <v>0</v>
      </c>
      <c r="U118" s="62">
        <f>1-1+1</f>
        <v>1</v>
      </c>
      <c r="V118" s="62"/>
      <c r="W118" s="63"/>
      <c r="X118" s="63"/>
      <c r="Z118" s="64"/>
      <c r="AA118" s="54"/>
      <c r="AB118" s="54"/>
      <c r="AC118" s="54"/>
    </row>
    <row r="119" spans="1:29" ht="60" customHeight="1" x14ac:dyDescent="0.2">
      <c r="A119" s="69" t="s">
        <v>236</v>
      </c>
      <c r="B119" s="70"/>
      <c r="C119" s="66" t="s">
        <v>237</v>
      </c>
      <c r="D119" s="53" t="s">
        <v>48</v>
      </c>
      <c r="E119" s="54" t="s">
        <v>34</v>
      </c>
      <c r="F119" s="55" t="s">
        <v>49</v>
      </c>
      <c r="G119" s="67" t="s">
        <v>50</v>
      </c>
      <c r="H119" s="57" t="s">
        <v>37</v>
      </c>
      <c r="I119" s="55" t="s">
        <v>51</v>
      </c>
      <c r="J119" s="57" t="e">
        <f>ROUND(#REF!*2.4,-1)</f>
        <v>#REF!</v>
      </c>
      <c r="K119" s="58"/>
      <c r="L119" s="59">
        <f>91-1</f>
        <v>90</v>
      </c>
      <c r="M119" s="60"/>
      <c r="N119" s="61"/>
      <c r="O119" s="61"/>
      <c r="P119" s="62"/>
      <c r="Q119" s="62">
        <f>29-3</f>
        <v>26</v>
      </c>
      <c r="R119" s="62">
        <f>16-3</f>
        <v>13</v>
      </c>
      <c r="S119" s="62">
        <f>13-1</f>
        <v>12</v>
      </c>
      <c r="T119" s="62">
        <f>26-3</f>
        <v>23</v>
      </c>
      <c r="U119" s="62">
        <f>19-3</f>
        <v>16</v>
      </c>
      <c r="V119" s="62">
        <f>2-2</f>
        <v>0</v>
      </c>
      <c r="W119" s="63"/>
      <c r="X119" s="63"/>
      <c r="Z119" s="71"/>
      <c r="AA119" s="54"/>
      <c r="AB119" s="54"/>
      <c r="AC119" s="54"/>
    </row>
    <row r="120" spans="1:29" ht="60" hidden="1" customHeight="1" x14ac:dyDescent="0.2">
      <c r="A120" s="69" t="s">
        <v>238</v>
      </c>
      <c r="B120" s="70"/>
      <c r="C120" s="66" t="s">
        <v>237</v>
      </c>
      <c r="D120" s="57" t="s">
        <v>58</v>
      </c>
      <c r="E120" s="54" t="s">
        <v>34</v>
      </c>
      <c r="F120" s="67" t="s">
        <v>59</v>
      </c>
      <c r="G120" s="67" t="s">
        <v>50</v>
      </c>
      <c r="H120" s="57" t="s">
        <v>37</v>
      </c>
      <c r="I120" s="55" t="s">
        <v>51</v>
      </c>
      <c r="J120" s="57" t="e">
        <f>ROUND(#REF!*2.4,-1)</f>
        <v>#REF!</v>
      </c>
      <c r="K120" s="58"/>
      <c r="L120" s="59">
        <f>3-3</f>
        <v>0</v>
      </c>
      <c r="M120" s="60"/>
      <c r="N120" s="61"/>
      <c r="O120" s="61"/>
      <c r="P120" s="62">
        <f>6-6</f>
        <v>0</v>
      </c>
      <c r="Q120" s="62">
        <f>10-10</f>
        <v>0</v>
      </c>
      <c r="R120" s="62">
        <f>7-7</f>
        <v>0</v>
      </c>
      <c r="S120" s="62">
        <f>6-6</f>
        <v>0</v>
      </c>
      <c r="T120" s="62">
        <f>3-3</f>
        <v>0</v>
      </c>
      <c r="U120" s="62"/>
      <c r="V120" s="62"/>
      <c r="W120" s="63"/>
      <c r="X120" s="63"/>
      <c r="Z120" s="71"/>
      <c r="AA120" s="54"/>
      <c r="AB120" s="54"/>
      <c r="AC120" s="54"/>
    </row>
    <row r="121" spans="1:29" ht="60" customHeight="1" x14ac:dyDescent="0.2">
      <c r="A121" s="81" t="s">
        <v>239</v>
      </c>
      <c r="B121" s="70"/>
      <c r="C121" s="66" t="s">
        <v>237</v>
      </c>
      <c r="D121" s="57" t="s">
        <v>48</v>
      </c>
      <c r="E121" s="54" t="s">
        <v>34</v>
      </c>
      <c r="F121" s="67" t="s">
        <v>49</v>
      </c>
      <c r="G121" s="67" t="s">
        <v>68</v>
      </c>
      <c r="H121" s="57" t="s">
        <v>37</v>
      </c>
      <c r="I121" s="67" t="s">
        <v>51</v>
      </c>
      <c r="J121" s="57" t="e">
        <f>ROUND(#REF!*2.4,-1)</f>
        <v>#REF!</v>
      </c>
      <c r="K121" s="58"/>
      <c r="L121" s="59">
        <f>11-3</f>
        <v>8</v>
      </c>
      <c r="M121" s="60"/>
      <c r="N121" s="61"/>
      <c r="O121" s="61"/>
      <c r="P121" s="62"/>
      <c r="Q121" s="62">
        <f>8-1</f>
        <v>7</v>
      </c>
      <c r="R121" s="62">
        <f t="shared" ref="R121:R127" si="6">1-1</f>
        <v>0</v>
      </c>
      <c r="S121" s="62">
        <f>2-2</f>
        <v>0</v>
      </c>
      <c r="T121" s="62">
        <f>1-1</f>
        <v>0</v>
      </c>
      <c r="U121" s="62">
        <f>2-2</f>
        <v>0</v>
      </c>
      <c r="V121" s="62">
        <f>2-1</f>
        <v>1</v>
      </c>
      <c r="W121" s="63"/>
      <c r="X121" s="63"/>
      <c r="Z121" s="64"/>
      <c r="AA121" s="54"/>
      <c r="AB121" s="54"/>
      <c r="AC121" s="54"/>
    </row>
    <row r="122" spans="1:29" ht="60" hidden="1" customHeight="1" x14ac:dyDescent="0.2">
      <c r="A122" s="69" t="s">
        <v>240</v>
      </c>
      <c r="B122" s="70"/>
      <c r="C122" s="66" t="s">
        <v>241</v>
      </c>
      <c r="D122" s="53" t="s">
        <v>48</v>
      </c>
      <c r="E122" s="54" t="s">
        <v>34</v>
      </c>
      <c r="F122" s="55" t="s">
        <v>49</v>
      </c>
      <c r="G122" s="67" t="s">
        <v>50</v>
      </c>
      <c r="H122" s="57" t="s">
        <v>37</v>
      </c>
      <c r="I122" s="55" t="s">
        <v>51</v>
      </c>
      <c r="J122" s="57" t="e">
        <f>ROUND(#REF!*2.4,-1)</f>
        <v>#REF!</v>
      </c>
      <c r="K122" s="58"/>
      <c r="L122" s="59">
        <f>1-1</f>
        <v>0</v>
      </c>
      <c r="M122" s="60"/>
      <c r="N122" s="61"/>
      <c r="O122" s="61"/>
      <c r="P122" s="62"/>
      <c r="Q122" s="62">
        <f>2-2</f>
        <v>0</v>
      </c>
      <c r="R122" s="62">
        <f>1-1</f>
        <v>0</v>
      </c>
      <c r="S122" s="62">
        <f>1-1</f>
        <v>0</v>
      </c>
      <c r="T122" s="62">
        <f>2-2</f>
        <v>0</v>
      </c>
      <c r="U122" s="62">
        <f>1-1</f>
        <v>0</v>
      </c>
      <c r="V122" s="62">
        <f>1-1</f>
        <v>0</v>
      </c>
      <c r="W122" s="63"/>
      <c r="X122" s="63"/>
      <c r="Z122" s="71"/>
      <c r="AA122" s="54">
        <v>1410581</v>
      </c>
      <c r="AB122" s="54">
        <v>404</v>
      </c>
      <c r="AC122" s="54"/>
    </row>
    <row r="123" spans="1:29" ht="60" customHeight="1" x14ac:dyDescent="0.2">
      <c r="A123" s="72" t="s">
        <v>242</v>
      </c>
      <c r="B123" s="74"/>
      <c r="C123" s="66" t="s">
        <v>243</v>
      </c>
      <c r="D123" s="53" t="s">
        <v>48</v>
      </c>
      <c r="E123" s="54" t="s">
        <v>34</v>
      </c>
      <c r="F123" s="55" t="s">
        <v>49</v>
      </c>
      <c r="G123" s="67" t="s">
        <v>50</v>
      </c>
      <c r="H123" s="57" t="s">
        <v>37</v>
      </c>
      <c r="I123" s="55" t="s">
        <v>51</v>
      </c>
      <c r="J123" s="57" t="e">
        <f>ROUND(#REF!*2.4,-1)</f>
        <v>#REF!</v>
      </c>
      <c r="K123" s="58"/>
      <c r="L123" s="59">
        <f>7-1+2+1</f>
        <v>9</v>
      </c>
      <c r="M123" s="75"/>
      <c r="N123" s="76"/>
      <c r="O123" s="76"/>
      <c r="P123" s="77"/>
      <c r="Q123" s="77">
        <f>4-1+1</f>
        <v>4</v>
      </c>
      <c r="R123" s="77">
        <f>1-1+1+1+1</f>
        <v>3</v>
      </c>
      <c r="S123" s="77">
        <f>1-1</f>
        <v>0</v>
      </c>
      <c r="T123" s="77">
        <f>1-1+1</f>
        <v>1</v>
      </c>
      <c r="U123" s="77">
        <f>3-3</f>
        <v>0</v>
      </c>
      <c r="V123" s="77">
        <f>1-1+1</f>
        <v>1</v>
      </c>
      <c r="W123" s="63"/>
      <c r="X123" s="63"/>
      <c r="Z123" s="71"/>
      <c r="AA123" s="54"/>
      <c r="AB123" s="54"/>
      <c r="AC123" s="54"/>
    </row>
    <row r="124" spans="1:29" ht="60" customHeight="1" x14ac:dyDescent="0.2">
      <c r="A124" s="72" t="s">
        <v>244</v>
      </c>
      <c r="B124" s="74"/>
      <c r="C124" s="66" t="s">
        <v>243</v>
      </c>
      <c r="D124" s="57" t="s">
        <v>58</v>
      </c>
      <c r="E124" s="54" t="s">
        <v>34</v>
      </c>
      <c r="F124" s="67" t="s">
        <v>59</v>
      </c>
      <c r="G124" s="67" t="s">
        <v>50</v>
      </c>
      <c r="H124" s="57" t="s">
        <v>37</v>
      </c>
      <c r="I124" s="55" t="s">
        <v>51</v>
      </c>
      <c r="J124" s="57" t="e">
        <f>ROUND(#REF!*2.4,-1)</f>
        <v>#REF!</v>
      </c>
      <c r="K124" s="58"/>
      <c r="L124" s="59">
        <f>1-1+1</f>
        <v>1</v>
      </c>
      <c r="M124" s="60"/>
      <c r="N124" s="61"/>
      <c r="O124" s="61"/>
      <c r="P124" s="62">
        <f>2-2</f>
        <v>0</v>
      </c>
      <c r="Q124" s="62">
        <f>5-5</f>
        <v>0</v>
      </c>
      <c r="R124" s="62">
        <f t="shared" si="6"/>
        <v>0</v>
      </c>
      <c r="S124" s="62">
        <f>1-1+1</f>
        <v>1</v>
      </c>
      <c r="T124" s="62">
        <f>2-2</f>
        <v>0</v>
      </c>
      <c r="U124" s="62"/>
      <c r="V124" s="62"/>
      <c r="W124" s="63"/>
      <c r="X124" s="63"/>
      <c r="Z124" s="64"/>
      <c r="AA124" s="54"/>
      <c r="AB124" s="54"/>
      <c r="AC124" s="54"/>
    </row>
    <row r="125" spans="1:29" ht="60" customHeight="1" x14ac:dyDescent="0.2">
      <c r="A125" s="72" t="s">
        <v>245</v>
      </c>
      <c r="B125" s="74"/>
      <c r="C125" s="66" t="s">
        <v>32</v>
      </c>
      <c r="D125" s="53" t="s">
        <v>48</v>
      </c>
      <c r="E125" s="54" t="s">
        <v>34</v>
      </c>
      <c r="F125" s="55" t="s">
        <v>49</v>
      </c>
      <c r="G125" s="67" t="s">
        <v>50</v>
      </c>
      <c r="H125" s="57" t="s">
        <v>60</v>
      </c>
      <c r="I125" s="55" t="s">
        <v>51</v>
      </c>
      <c r="J125" s="57" t="e">
        <f>ROUND(#REF!*2.4,-1)</f>
        <v>#REF!</v>
      </c>
      <c r="K125" s="58"/>
      <c r="L125" s="59">
        <f>152-1</f>
        <v>151</v>
      </c>
      <c r="M125" s="75"/>
      <c r="N125" s="76"/>
      <c r="O125" s="76"/>
      <c r="P125" s="77"/>
      <c r="Q125" s="77">
        <f>44-6</f>
        <v>38</v>
      </c>
      <c r="R125" s="77">
        <f>32-1</f>
        <v>31</v>
      </c>
      <c r="S125" s="77">
        <f>40-6+1</f>
        <v>35</v>
      </c>
      <c r="T125" s="77">
        <f>32-1+1</f>
        <v>32</v>
      </c>
      <c r="U125" s="77">
        <f>15-1+1</f>
        <v>15</v>
      </c>
      <c r="V125" s="77">
        <f>3-3</f>
        <v>0</v>
      </c>
      <c r="W125" s="63"/>
      <c r="X125" s="63"/>
      <c r="Z125" s="71"/>
      <c r="AA125" s="54"/>
      <c r="AB125" s="54"/>
      <c r="AC125" s="54"/>
    </row>
    <row r="126" spans="1:29" ht="60" customHeight="1" x14ac:dyDescent="0.2">
      <c r="A126" s="69" t="s">
        <v>246</v>
      </c>
      <c r="B126" s="70"/>
      <c r="C126" s="66" t="s">
        <v>247</v>
      </c>
      <c r="D126" s="57" t="s">
        <v>58</v>
      </c>
      <c r="E126" s="54" t="s">
        <v>34</v>
      </c>
      <c r="F126" s="67" t="s">
        <v>59</v>
      </c>
      <c r="G126" s="67" t="s">
        <v>50</v>
      </c>
      <c r="H126" s="57" t="s">
        <v>37</v>
      </c>
      <c r="I126" s="55" t="s">
        <v>51</v>
      </c>
      <c r="J126" s="57" t="e">
        <f>ROUND(#REF!*2.4,-1)</f>
        <v>#REF!</v>
      </c>
      <c r="K126" s="58"/>
      <c r="L126" s="59">
        <f>41-4</f>
        <v>37</v>
      </c>
      <c r="M126" s="60"/>
      <c r="N126" s="61"/>
      <c r="O126" s="61"/>
      <c r="P126" s="62">
        <f>6-2</f>
        <v>4</v>
      </c>
      <c r="Q126" s="62">
        <f>12-1</f>
        <v>11</v>
      </c>
      <c r="R126" s="62">
        <f>13-1</f>
        <v>12</v>
      </c>
      <c r="S126" s="62">
        <f>8-1</f>
        <v>7</v>
      </c>
      <c r="T126" s="62">
        <f>4-1</f>
        <v>3</v>
      </c>
      <c r="U126" s="62">
        <f>1-1</f>
        <v>0</v>
      </c>
      <c r="V126" s="62"/>
      <c r="W126" s="63"/>
      <c r="X126" s="63"/>
      <c r="Z126" s="64"/>
      <c r="AA126" s="54"/>
      <c r="AB126" s="54"/>
      <c r="AC126" s="54"/>
    </row>
    <row r="127" spans="1:29" ht="60" customHeight="1" x14ac:dyDescent="0.2">
      <c r="A127" s="69" t="s">
        <v>248</v>
      </c>
      <c r="B127" s="70"/>
      <c r="C127" s="66" t="s">
        <v>249</v>
      </c>
      <c r="D127" s="53" t="s">
        <v>48</v>
      </c>
      <c r="E127" s="54" t="s">
        <v>34</v>
      </c>
      <c r="F127" s="55" t="s">
        <v>49</v>
      </c>
      <c r="G127" s="67" t="s">
        <v>50</v>
      </c>
      <c r="H127" s="57" t="s">
        <v>37</v>
      </c>
      <c r="I127" s="55" t="s">
        <v>51</v>
      </c>
      <c r="J127" s="57" t="e">
        <f>ROUND(#REF!*2.4,-1)</f>
        <v>#REF!</v>
      </c>
      <c r="K127" s="58"/>
      <c r="L127" s="59">
        <f>7-1</f>
        <v>6</v>
      </c>
      <c r="M127" s="60"/>
      <c r="N127" s="61"/>
      <c r="O127" s="61"/>
      <c r="P127" s="62"/>
      <c r="Q127" s="62">
        <f>1-1</f>
        <v>0</v>
      </c>
      <c r="R127" s="62">
        <f t="shared" si="6"/>
        <v>0</v>
      </c>
      <c r="S127" s="62">
        <f>1-1</f>
        <v>0</v>
      </c>
      <c r="T127" s="62">
        <f>2-2</f>
        <v>0</v>
      </c>
      <c r="U127" s="62">
        <f>7-1</f>
        <v>6</v>
      </c>
      <c r="V127" s="62"/>
      <c r="W127" s="63"/>
      <c r="X127" s="63"/>
      <c r="Z127" s="64"/>
      <c r="AA127" s="54"/>
      <c r="AB127" s="54"/>
      <c r="AC127" s="54"/>
    </row>
    <row r="128" spans="1:29" ht="60" customHeight="1" x14ac:dyDescent="0.2">
      <c r="A128" s="72" t="s">
        <v>250</v>
      </c>
      <c r="B128" s="73" t="s">
        <v>82</v>
      </c>
      <c r="C128" s="66" t="s">
        <v>251</v>
      </c>
      <c r="D128" s="57" t="s">
        <v>48</v>
      </c>
      <c r="E128" s="68" t="s">
        <v>34</v>
      </c>
      <c r="F128" s="67" t="s">
        <v>49</v>
      </c>
      <c r="G128" s="67" t="s">
        <v>50</v>
      </c>
      <c r="H128" s="57" t="s">
        <v>37</v>
      </c>
      <c r="I128" s="67" t="s">
        <v>51</v>
      </c>
      <c r="J128" s="57" t="e">
        <f>ROUND(#REF!*2.4,-1)</f>
        <v>#REF!</v>
      </c>
      <c r="K128" s="58"/>
      <c r="L128" s="59">
        <f>99-3</f>
        <v>96</v>
      </c>
      <c r="M128" s="60"/>
      <c r="N128" s="61"/>
      <c r="O128" s="61"/>
      <c r="P128" s="62"/>
      <c r="Q128" s="62">
        <f>24-1</f>
        <v>23</v>
      </c>
      <c r="R128" s="62">
        <f>16-1</f>
        <v>15</v>
      </c>
      <c r="S128" s="62">
        <f>25-1</f>
        <v>24</v>
      </c>
      <c r="T128" s="62">
        <f>19-1</f>
        <v>18</v>
      </c>
      <c r="U128" s="62">
        <f>17-3</f>
        <v>14</v>
      </c>
      <c r="V128" s="62">
        <f>2</f>
        <v>2</v>
      </c>
      <c r="W128" s="63"/>
      <c r="X128" s="63"/>
      <c r="Z128" s="64"/>
      <c r="AA128" s="54"/>
      <c r="AB128" s="54"/>
      <c r="AC128" s="54"/>
    </row>
    <row r="129" spans="1:29" ht="60" hidden="1" customHeight="1" x14ac:dyDescent="0.2">
      <c r="A129" s="69" t="s">
        <v>252</v>
      </c>
      <c r="B129" s="73" t="s">
        <v>82</v>
      </c>
      <c r="C129" s="66" t="s">
        <v>251</v>
      </c>
      <c r="D129" s="57" t="s">
        <v>58</v>
      </c>
      <c r="E129" s="54" t="s">
        <v>34</v>
      </c>
      <c r="F129" s="67" t="s">
        <v>59</v>
      </c>
      <c r="G129" s="67" t="s">
        <v>50</v>
      </c>
      <c r="H129" s="57" t="s">
        <v>37</v>
      </c>
      <c r="I129" s="55" t="s">
        <v>51</v>
      </c>
      <c r="J129" s="57" t="e">
        <f>ROUND(#REF!*2.4,-1)</f>
        <v>#REF!</v>
      </c>
      <c r="K129" s="58"/>
      <c r="L129" s="59">
        <f>1-1</f>
        <v>0</v>
      </c>
      <c r="M129" s="60"/>
      <c r="N129" s="61"/>
      <c r="O129" s="61"/>
      <c r="P129" s="62">
        <f>1-1</f>
        <v>0</v>
      </c>
      <c r="Q129" s="62">
        <f>1-1</f>
        <v>0</v>
      </c>
      <c r="R129" s="62">
        <f>1-1</f>
        <v>0</v>
      </c>
      <c r="S129" s="62">
        <f>1-1</f>
        <v>0</v>
      </c>
      <c r="T129" s="62">
        <f>1-1</f>
        <v>0</v>
      </c>
      <c r="U129" s="62"/>
      <c r="V129" s="62"/>
      <c r="W129" s="63"/>
      <c r="X129" s="63"/>
      <c r="Z129" s="71"/>
      <c r="AA129" s="54"/>
      <c r="AB129" s="54"/>
      <c r="AC129" s="54">
        <v>391</v>
      </c>
    </row>
    <row r="130" spans="1:29" ht="60" customHeight="1" x14ac:dyDescent="0.2">
      <c r="A130" s="69" t="s">
        <v>253</v>
      </c>
      <c r="B130" s="70"/>
      <c r="C130" s="66" t="s">
        <v>254</v>
      </c>
      <c r="D130" s="53" t="s">
        <v>48</v>
      </c>
      <c r="E130" s="54" t="s">
        <v>34</v>
      </c>
      <c r="F130" s="55" t="s">
        <v>49</v>
      </c>
      <c r="G130" s="67" t="s">
        <v>50</v>
      </c>
      <c r="H130" s="57" t="s">
        <v>37</v>
      </c>
      <c r="I130" s="55" t="s">
        <v>51</v>
      </c>
      <c r="J130" s="57" t="e">
        <f>ROUND(#REF!*2.4,-1)</f>
        <v>#REF!</v>
      </c>
      <c r="K130" s="58"/>
      <c r="L130" s="59">
        <f>4-1</f>
        <v>3</v>
      </c>
      <c r="M130" s="60"/>
      <c r="N130" s="61"/>
      <c r="O130" s="61"/>
      <c r="P130" s="62"/>
      <c r="Q130" s="62">
        <f>3-1+1</f>
        <v>3</v>
      </c>
      <c r="R130" s="62">
        <f t="shared" ref="Q130:T133" si="7">1-1</f>
        <v>0</v>
      </c>
      <c r="S130" s="62">
        <f t="shared" si="7"/>
        <v>0</v>
      </c>
      <c r="T130" s="62">
        <f>1-1</f>
        <v>0</v>
      </c>
      <c r="U130" s="62">
        <f>3-3</f>
        <v>0</v>
      </c>
      <c r="V130" s="62">
        <f>1-1</f>
        <v>0</v>
      </c>
      <c r="W130" s="63"/>
      <c r="X130" s="63"/>
      <c r="Z130" s="71"/>
      <c r="AA130" s="54">
        <v>1410544</v>
      </c>
      <c r="AB130" s="54">
        <v>342</v>
      </c>
      <c r="AC130" s="54"/>
    </row>
    <row r="131" spans="1:29" ht="60" hidden="1" customHeight="1" x14ac:dyDescent="0.2">
      <c r="A131" s="69" t="s">
        <v>255</v>
      </c>
      <c r="B131" s="74"/>
      <c r="C131" s="66" t="s">
        <v>256</v>
      </c>
      <c r="D131" s="53" t="s">
        <v>48</v>
      </c>
      <c r="E131" s="54" t="s">
        <v>34</v>
      </c>
      <c r="F131" s="55" t="s">
        <v>49</v>
      </c>
      <c r="G131" s="56" t="s">
        <v>36</v>
      </c>
      <c r="H131" s="57" t="s">
        <v>37</v>
      </c>
      <c r="I131" s="55" t="s">
        <v>51</v>
      </c>
      <c r="J131" s="57" t="e">
        <f>ROUND(#REF!*2.4,-1)</f>
        <v>#REF!</v>
      </c>
      <c r="K131" s="58"/>
      <c r="L131" s="59">
        <f>1-1</f>
        <v>0</v>
      </c>
      <c r="M131" s="60"/>
      <c r="N131" s="61"/>
      <c r="O131" s="61"/>
      <c r="P131" s="62"/>
      <c r="Q131" s="62">
        <f>1-1</f>
        <v>0</v>
      </c>
      <c r="R131" s="62">
        <f>1-1</f>
        <v>0</v>
      </c>
      <c r="S131" s="62">
        <f t="shared" si="7"/>
        <v>0</v>
      </c>
      <c r="T131" s="62">
        <f>2-2</f>
        <v>0</v>
      </c>
      <c r="U131" s="62">
        <f>1-1</f>
        <v>0</v>
      </c>
      <c r="V131" s="62">
        <f>1-1</f>
        <v>0</v>
      </c>
      <c r="W131" s="63"/>
      <c r="X131" s="63"/>
      <c r="Z131" s="64"/>
      <c r="AA131" s="54"/>
      <c r="AB131" s="54"/>
      <c r="AC131" s="54"/>
    </row>
    <row r="132" spans="1:29" ht="60" hidden="1" customHeight="1" x14ac:dyDescent="0.2">
      <c r="A132" s="69" t="s">
        <v>257</v>
      </c>
      <c r="B132" s="74"/>
      <c r="C132" s="66" t="s">
        <v>115</v>
      </c>
      <c r="D132" s="53" t="s">
        <v>58</v>
      </c>
      <c r="E132" s="68" t="s">
        <v>34</v>
      </c>
      <c r="F132" s="55" t="s">
        <v>59</v>
      </c>
      <c r="G132" s="67" t="s">
        <v>50</v>
      </c>
      <c r="H132" s="57" t="s">
        <v>37</v>
      </c>
      <c r="I132" s="55" t="s">
        <v>51</v>
      </c>
      <c r="J132" s="57" t="e">
        <f>ROUND(#REF!*2.4,-1)</f>
        <v>#REF!</v>
      </c>
      <c r="K132" s="58"/>
      <c r="L132" s="59">
        <f>1-1</f>
        <v>0</v>
      </c>
      <c r="M132" s="60"/>
      <c r="N132" s="61"/>
      <c r="O132" s="61"/>
      <c r="P132" s="62">
        <f>1-1</f>
        <v>0</v>
      </c>
      <c r="Q132" s="62">
        <f t="shared" si="7"/>
        <v>0</v>
      </c>
      <c r="R132" s="62">
        <f t="shared" si="7"/>
        <v>0</v>
      </c>
      <c r="S132" s="62">
        <f>1-1</f>
        <v>0</v>
      </c>
      <c r="T132" s="62">
        <f t="shared" si="7"/>
        <v>0</v>
      </c>
      <c r="U132" s="62"/>
      <c r="V132" s="62"/>
      <c r="W132" s="63"/>
      <c r="X132" s="63"/>
      <c r="Z132" s="64"/>
      <c r="AA132" s="54"/>
      <c r="AB132" s="54"/>
      <c r="AC132" s="54">
        <v>393</v>
      </c>
    </row>
    <row r="133" spans="1:29" ht="60" hidden="1" customHeight="1" x14ac:dyDescent="0.2">
      <c r="A133" s="69" t="s">
        <v>258</v>
      </c>
      <c r="B133" s="74"/>
      <c r="C133" s="66" t="s">
        <v>115</v>
      </c>
      <c r="D133" s="53" t="s">
        <v>58</v>
      </c>
      <c r="E133" s="68" t="s">
        <v>34</v>
      </c>
      <c r="F133" s="55" t="s">
        <v>59</v>
      </c>
      <c r="G133" s="67" t="s">
        <v>68</v>
      </c>
      <c r="H133" s="57" t="s">
        <v>37</v>
      </c>
      <c r="I133" s="55" t="s">
        <v>51</v>
      </c>
      <c r="J133" s="57" t="e">
        <f>ROUND(#REF!*2.4,-1)</f>
        <v>#REF!</v>
      </c>
      <c r="K133" s="58"/>
      <c r="L133" s="59">
        <f>2-2</f>
        <v>0</v>
      </c>
      <c r="M133" s="60"/>
      <c r="N133" s="61"/>
      <c r="O133" s="61"/>
      <c r="P133" s="62">
        <f>1-1</f>
        <v>0</v>
      </c>
      <c r="Q133" s="62">
        <f>2-2</f>
        <v>0</v>
      </c>
      <c r="R133" s="62">
        <f t="shared" si="7"/>
        <v>0</v>
      </c>
      <c r="S133" s="62">
        <f t="shared" si="7"/>
        <v>0</v>
      </c>
      <c r="T133" s="62">
        <f>2-2</f>
        <v>0</v>
      </c>
      <c r="U133" s="62"/>
      <c r="V133" s="62"/>
      <c r="W133" s="63"/>
      <c r="X133" s="63"/>
      <c r="Z133" s="64"/>
      <c r="AA133" s="54"/>
      <c r="AB133" s="54"/>
      <c r="AC133" s="54"/>
    </row>
    <row r="134" spans="1:29" ht="60" customHeight="1" x14ac:dyDescent="0.2">
      <c r="A134" s="69" t="s">
        <v>259</v>
      </c>
      <c r="B134" s="73" t="s">
        <v>82</v>
      </c>
      <c r="C134" s="66" t="s">
        <v>260</v>
      </c>
      <c r="D134" s="57" t="s">
        <v>48</v>
      </c>
      <c r="E134" s="68" t="s">
        <v>34</v>
      </c>
      <c r="F134" s="67" t="s">
        <v>49</v>
      </c>
      <c r="G134" s="67" t="s">
        <v>50</v>
      </c>
      <c r="H134" s="57" t="s">
        <v>84</v>
      </c>
      <c r="I134" s="67" t="s">
        <v>51</v>
      </c>
      <c r="J134" s="57" t="e">
        <f>ROUND(#REF!*2.4,-1)</f>
        <v>#REF!</v>
      </c>
      <c r="K134" s="58"/>
      <c r="L134" s="59">
        <f>43-3</f>
        <v>40</v>
      </c>
      <c r="M134" s="60"/>
      <c r="N134" s="61"/>
      <c r="O134" s="61"/>
      <c r="P134" s="62"/>
      <c r="Q134" s="62">
        <f>16-5+2</f>
        <v>13</v>
      </c>
      <c r="R134" s="62">
        <f>13-1</f>
        <v>12</v>
      </c>
      <c r="S134" s="62">
        <f>12-1</f>
        <v>11</v>
      </c>
      <c r="T134" s="62">
        <f>3-1</f>
        <v>2</v>
      </c>
      <c r="U134" s="62">
        <f>3-1</f>
        <v>2</v>
      </c>
      <c r="V134" s="62">
        <f>1-1</f>
        <v>0</v>
      </c>
      <c r="W134" s="63"/>
      <c r="X134" s="63"/>
      <c r="Z134" s="64"/>
      <c r="AA134" s="54"/>
      <c r="AB134" s="54"/>
      <c r="AC134" s="54"/>
    </row>
    <row r="135" spans="1:29" ht="60" customHeight="1" x14ac:dyDescent="0.2">
      <c r="A135" s="69" t="s">
        <v>261</v>
      </c>
      <c r="B135" s="73" t="s">
        <v>82</v>
      </c>
      <c r="C135" s="66" t="s">
        <v>260</v>
      </c>
      <c r="D135" s="57" t="s">
        <v>58</v>
      </c>
      <c r="E135" s="54" t="s">
        <v>34</v>
      </c>
      <c r="F135" s="67" t="s">
        <v>59</v>
      </c>
      <c r="G135" s="67" t="s">
        <v>50</v>
      </c>
      <c r="H135" s="57" t="s">
        <v>37</v>
      </c>
      <c r="I135" s="55" t="s">
        <v>51</v>
      </c>
      <c r="J135" s="57" t="e">
        <f>ROUND(#REF!*2.4,-1)</f>
        <v>#REF!</v>
      </c>
      <c r="K135" s="58"/>
      <c r="L135" s="59">
        <f>10-1</f>
        <v>9</v>
      </c>
      <c r="M135" s="60"/>
      <c r="N135" s="61"/>
      <c r="O135" s="61"/>
      <c r="P135" s="62">
        <f>1-1+1</f>
        <v>1</v>
      </c>
      <c r="Q135" s="62">
        <f>5-1</f>
        <v>4</v>
      </c>
      <c r="R135" s="62">
        <f>3-1</f>
        <v>2</v>
      </c>
      <c r="S135" s="62">
        <f>2-1</f>
        <v>1</v>
      </c>
      <c r="T135" s="62">
        <f>2-1</f>
        <v>1</v>
      </c>
      <c r="U135" s="62"/>
      <c r="V135" s="62"/>
      <c r="W135" s="63"/>
      <c r="X135" s="63"/>
      <c r="Z135" s="71"/>
      <c r="AA135" s="54"/>
      <c r="AB135" s="54"/>
      <c r="AC135" s="54"/>
    </row>
    <row r="136" spans="1:29" ht="60" hidden="1" customHeight="1" x14ac:dyDescent="0.2">
      <c r="A136" s="69" t="s">
        <v>262</v>
      </c>
      <c r="B136" s="73" t="s">
        <v>82</v>
      </c>
      <c r="C136" s="66" t="s">
        <v>263</v>
      </c>
      <c r="D136" s="57" t="s">
        <v>48</v>
      </c>
      <c r="E136" s="68" t="s">
        <v>34</v>
      </c>
      <c r="F136" s="67" t="s">
        <v>49</v>
      </c>
      <c r="G136" s="67" t="s">
        <v>50</v>
      </c>
      <c r="H136" s="57" t="s">
        <v>84</v>
      </c>
      <c r="I136" s="67" t="s">
        <v>51</v>
      </c>
      <c r="J136" s="57" t="e">
        <f>ROUND(#REF!*2.4,-1)</f>
        <v>#REF!</v>
      </c>
      <c r="K136" s="58"/>
      <c r="L136" s="59">
        <f>1-1</f>
        <v>0</v>
      </c>
      <c r="M136" s="60"/>
      <c r="N136" s="61"/>
      <c r="O136" s="61"/>
      <c r="P136" s="62"/>
      <c r="Q136" s="62">
        <f t="shared" ref="Q136:T141" si="8">1-1</f>
        <v>0</v>
      </c>
      <c r="R136" s="62">
        <f t="shared" si="8"/>
        <v>0</v>
      </c>
      <c r="S136" s="62">
        <f t="shared" si="8"/>
        <v>0</v>
      </c>
      <c r="T136" s="62">
        <f>1-1</f>
        <v>0</v>
      </c>
      <c r="U136" s="62">
        <f>1-1</f>
        <v>0</v>
      </c>
      <c r="V136" s="62">
        <f>1-1</f>
        <v>0</v>
      </c>
      <c r="W136" s="63"/>
      <c r="X136" s="63"/>
      <c r="Z136" s="64"/>
      <c r="AA136" s="54"/>
      <c r="AB136" s="54"/>
      <c r="AC136" s="54"/>
    </row>
    <row r="137" spans="1:29" ht="60" hidden="1" customHeight="1" x14ac:dyDescent="0.2">
      <c r="A137" s="69" t="s">
        <v>264</v>
      </c>
      <c r="B137" s="73" t="s">
        <v>82</v>
      </c>
      <c r="C137" s="66" t="s">
        <v>263</v>
      </c>
      <c r="D137" s="57" t="s">
        <v>58</v>
      </c>
      <c r="E137" s="54" t="s">
        <v>34</v>
      </c>
      <c r="F137" s="67" t="s">
        <v>59</v>
      </c>
      <c r="G137" s="67" t="s">
        <v>50</v>
      </c>
      <c r="H137" s="57" t="s">
        <v>37</v>
      </c>
      <c r="I137" s="55" t="s">
        <v>51</v>
      </c>
      <c r="J137" s="57" t="e">
        <f>ROUND(#REF!*2.4,-1)</f>
        <v>#REF!</v>
      </c>
      <c r="K137" s="58"/>
      <c r="L137" s="59">
        <f>1-1</f>
        <v>0</v>
      </c>
      <c r="M137" s="60"/>
      <c r="N137" s="61"/>
      <c r="O137" s="61"/>
      <c r="P137" s="62">
        <f>3-3</f>
        <v>0</v>
      </c>
      <c r="Q137" s="62">
        <f t="shared" si="8"/>
        <v>0</v>
      </c>
      <c r="R137" s="62">
        <f>1-1</f>
        <v>0</v>
      </c>
      <c r="S137" s="62">
        <f>1-1</f>
        <v>0</v>
      </c>
      <c r="T137" s="62">
        <f t="shared" si="8"/>
        <v>0</v>
      </c>
      <c r="U137" s="62"/>
      <c r="V137" s="62"/>
      <c r="W137" s="63"/>
      <c r="X137" s="63"/>
      <c r="Z137" s="71"/>
      <c r="AA137" s="54"/>
      <c r="AB137" s="54"/>
      <c r="AC137" s="54"/>
    </row>
    <row r="138" spans="1:29" ht="60" customHeight="1" x14ac:dyDescent="0.2">
      <c r="A138" s="69" t="s">
        <v>265</v>
      </c>
      <c r="B138" s="73" t="s">
        <v>82</v>
      </c>
      <c r="C138" s="66" t="s">
        <v>266</v>
      </c>
      <c r="D138" s="57" t="s">
        <v>48</v>
      </c>
      <c r="E138" s="68" t="s">
        <v>34</v>
      </c>
      <c r="F138" s="67" t="s">
        <v>49</v>
      </c>
      <c r="G138" s="67" t="s">
        <v>50</v>
      </c>
      <c r="H138" s="57" t="s">
        <v>84</v>
      </c>
      <c r="I138" s="67" t="s">
        <v>51</v>
      </c>
      <c r="J138" s="57" t="e">
        <f>ROUND(#REF!*2.4,-1)</f>
        <v>#REF!</v>
      </c>
      <c r="K138" s="58"/>
      <c r="L138" s="59">
        <f>3-1</f>
        <v>2</v>
      </c>
      <c r="M138" s="60"/>
      <c r="N138" s="61"/>
      <c r="O138" s="61"/>
      <c r="P138" s="62"/>
      <c r="Q138" s="62">
        <f t="shared" si="8"/>
        <v>0</v>
      </c>
      <c r="R138" s="62">
        <f>1-1</f>
        <v>0</v>
      </c>
      <c r="S138" s="62">
        <f>1-1</f>
        <v>0</v>
      </c>
      <c r="T138" s="62">
        <f>1-1</f>
        <v>0</v>
      </c>
      <c r="U138" s="62">
        <f>4-2</f>
        <v>2</v>
      </c>
      <c r="V138" s="62">
        <f>1-1</f>
        <v>0</v>
      </c>
      <c r="W138" s="63"/>
      <c r="X138" s="63"/>
      <c r="Z138" s="64"/>
      <c r="AA138" s="54"/>
      <c r="AB138" s="54"/>
      <c r="AC138" s="54"/>
    </row>
    <row r="139" spans="1:29" ht="60" customHeight="1" x14ac:dyDescent="0.2">
      <c r="A139" s="69" t="s">
        <v>267</v>
      </c>
      <c r="B139" s="73" t="s">
        <v>82</v>
      </c>
      <c r="C139" s="66" t="s">
        <v>266</v>
      </c>
      <c r="D139" s="57" t="s">
        <v>48</v>
      </c>
      <c r="E139" s="68" t="s">
        <v>34</v>
      </c>
      <c r="F139" s="67" t="s">
        <v>49</v>
      </c>
      <c r="G139" s="67" t="s">
        <v>68</v>
      </c>
      <c r="H139" s="57" t="s">
        <v>37</v>
      </c>
      <c r="I139" s="67" t="s">
        <v>51</v>
      </c>
      <c r="J139" s="57" t="e">
        <f>ROUND(#REF!*2.4,-1)</f>
        <v>#REF!</v>
      </c>
      <c r="K139" s="58"/>
      <c r="L139" s="59">
        <f>28-18</f>
        <v>10</v>
      </c>
      <c r="M139" s="60"/>
      <c r="N139" s="61"/>
      <c r="O139" s="61"/>
      <c r="P139" s="62"/>
      <c r="Q139" s="62">
        <f>4-3</f>
        <v>1</v>
      </c>
      <c r="R139" s="62">
        <f>3-3</f>
        <v>0</v>
      </c>
      <c r="S139" s="62">
        <f>4-3</f>
        <v>1</v>
      </c>
      <c r="T139" s="62">
        <f>3-3</f>
        <v>0</v>
      </c>
      <c r="U139" s="62">
        <f>5-3</f>
        <v>2</v>
      </c>
      <c r="V139" s="62">
        <f>9-3</f>
        <v>6</v>
      </c>
      <c r="W139" s="63"/>
      <c r="X139" s="63"/>
      <c r="Z139" s="64"/>
      <c r="AA139" s="54"/>
      <c r="AB139" s="54"/>
      <c r="AC139" s="54"/>
    </row>
    <row r="140" spans="1:29" ht="60" hidden="1" customHeight="1" x14ac:dyDescent="0.2">
      <c r="A140" s="69" t="s">
        <v>268</v>
      </c>
      <c r="B140" s="73" t="s">
        <v>82</v>
      </c>
      <c r="C140" s="66" t="s">
        <v>269</v>
      </c>
      <c r="D140" s="57" t="s">
        <v>48</v>
      </c>
      <c r="E140" s="68" t="s">
        <v>34</v>
      </c>
      <c r="F140" s="67" t="s">
        <v>49</v>
      </c>
      <c r="G140" s="67" t="s">
        <v>50</v>
      </c>
      <c r="H140" s="57" t="s">
        <v>84</v>
      </c>
      <c r="I140" s="67" t="s">
        <v>51</v>
      </c>
      <c r="J140" s="57" t="e">
        <f>ROUND(#REF!*2.4,-1)</f>
        <v>#REF!</v>
      </c>
      <c r="K140" s="58"/>
      <c r="L140" s="59">
        <f>1-1</f>
        <v>0</v>
      </c>
      <c r="M140" s="60"/>
      <c r="N140" s="61"/>
      <c r="O140" s="61"/>
      <c r="P140" s="62"/>
      <c r="Q140" s="62">
        <f t="shared" si="8"/>
        <v>0</v>
      </c>
      <c r="R140" s="62">
        <f>1-1</f>
        <v>0</v>
      </c>
      <c r="S140" s="62">
        <f>2-2</f>
        <v>0</v>
      </c>
      <c r="T140" s="62">
        <f>1-1</f>
        <v>0</v>
      </c>
      <c r="U140" s="62">
        <f>1-1</f>
        <v>0</v>
      </c>
      <c r="V140" s="62">
        <f>1-1</f>
        <v>0</v>
      </c>
      <c r="W140" s="63"/>
      <c r="X140" s="63"/>
      <c r="Z140" s="64"/>
      <c r="AA140" s="54"/>
      <c r="AB140" s="54"/>
      <c r="AC140" s="54"/>
    </row>
    <row r="141" spans="1:29" ht="60" hidden="1" customHeight="1" x14ac:dyDescent="0.2">
      <c r="A141" s="69" t="s">
        <v>270</v>
      </c>
      <c r="B141" s="73" t="s">
        <v>82</v>
      </c>
      <c r="C141" s="66" t="s">
        <v>269</v>
      </c>
      <c r="D141" s="57" t="s">
        <v>58</v>
      </c>
      <c r="E141" s="54" t="s">
        <v>34</v>
      </c>
      <c r="F141" s="67" t="s">
        <v>59</v>
      </c>
      <c r="G141" s="67" t="s">
        <v>50</v>
      </c>
      <c r="H141" s="57" t="s">
        <v>37</v>
      </c>
      <c r="I141" s="55" t="s">
        <v>51</v>
      </c>
      <c r="J141" s="57" t="e">
        <f>ROUND(#REF!*2.4,-1)</f>
        <v>#REF!</v>
      </c>
      <c r="K141" s="58"/>
      <c r="L141" s="59">
        <f>4-4</f>
        <v>0</v>
      </c>
      <c r="M141" s="60"/>
      <c r="N141" s="61"/>
      <c r="O141" s="61"/>
      <c r="P141" s="62">
        <f>1-1</f>
        <v>0</v>
      </c>
      <c r="Q141" s="62">
        <f t="shared" si="8"/>
        <v>0</v>
      </c>
      <c r="R141" s="62">
        <f>1-1</f>
        <v>0</v>
      </c>
      <c r="S141" s="62">
        <f>1-1</f>
        <v>0</v>
      </c>
      <c r="T141" s="62">
        <f>3-3</f>
        <v>0</v>
      </c>
      <c r="U141" s="62"/>
      <c r="V141" s="62"/>
      <c r="W141" s="63"/>
      <c r="X141" s="63"/>
      <c r="Z141" s="71"/>
      <c r="AA141" s="54"/>
      <c r="AB141" s="54"/>
      <c r="AC141" s="54"/>
    </row>
    <row r="142" spans="1:29" ht="60" customHeight="1" x14ac:dyDescent="0.2">
      <c r="A142" s="69" t="s">
        <v>271</v>
      </c>
      <c r="B142" s="73"/>
      <c r="C142" s="66" t="s">
        <v>272</v>
      </c>
      <c r="D142" s="57" t="s">
        <v>48</v>
      </c>
      <c r="E142" s="68" t="s">
        <v>34</v>
      </c>
      <c r="F142" s="67" t="s">
        <v>49</v>
      </c>
      <c r="G142" s="67" t="s">
        <v>50</v>
      </c>
      <c r="H142" s="57" t="s">
        <v>273</v>
      </c>
      <c r="I142" s="55" t="s">
        <v>51</v>
      </c>
      <c r="J142" s="57" t="e">
        <f>ROUND(#REF!*2.4,-1)</f>
        <v>#REF!</v>
      </c>
      <c r="K142" s="58"/>
      <c r="L142" s="59">
        <f>9-1</f>
        <v>8</v>
      </c>
      <c r="M142" s="60"/>
      <c r="N142" s="61"/>
      <c r="O142" s="61"/>
      <c r="P142" s="62"/>
      <c r="Q142" s="62">
        <f>7-1+1</f>
        <v>7</v>
      </c>
      <c r="R142" s="62">
        <f>1-1</f>
        <v>0</v>
      </c>
      <c r="S142" s="62">
        <f>1-1</f>
        <v>0</v>
      </c>
      <c r="T142" s="62">
        <f>1-1</f>
        <v>0</v>
      </c>
      <c r="U142" s="62">
        <f>2-1</f>
        <v>1</v>
      </c>
      <c r="V142" s="62"/>
      <c r="W142" s="63"/>
      <c r="X142" s="63"/>
      <c r="Z142" s="71"/>
      <c r="AA142" s="54"/>
      <c r="AB142" s="54"/>
      <c r="AC142" s="54"/>
    </row>
    <row r="143" spans="1:29" ht="60" customHeight="1" x14ac:dyDescent="0.2">
      <c r="A143" s="69" t="s">
        <v>274</v>
      </c>
      <c r="B143" s="73"/>
      <c r="C143" s="66" t="s">
        <v>272</v>
      </c>
      <c r="D143" s="57" t="s">
        <v>48</v>
      </c>
      <c r="E143" s="68" t="s">
        <v>34</v>
      </c>
      <c r="F143" s="67" t="s">
        <v>49</v>
      </c>
      <c r="G143" s="67" t="s">
        <v>50</v>
      </c>
      <c r="H143" s="57" t="s">
        <v>84</v>
      </c>
      <c r="I143" s="55" t="s">
        <v>51</v>
      </c>
      <c r="J143" s="57" t="e">
        <f>ROUND(#REF!*2.4,-1)</f>
        <v>#REF!</v>
      </c>
      <c r="K143" s="58"/>
      <c r="L143" s="59">
        <f>15-1+3+5</f>
        <v>22</v>
      </c>
      <c r="M143" s="60"/>
      <c r="N143" s="61"/>
      <c r="O143" s="61"/>
      <c r="P143" s="62"/>
      <c r="Q143" s="62">
        <f>6-2+1+2</f>
        <v>7</v>
      </c>
      <c r="R143" s="62">
        <f>7-2+2+2</f>
        <v>9</v>
      </c>
      <c r="S143" s="62">
        <f>5-2+1</f>
        <v>4</v>
      </c>
      <c r="T143" s="62">
        <f>8-8</f>
        <v>0</v>
      </c>
      <c r="U143" s="62">
        <f>6-5</f>
        <v>1</v>
      </c>
      <c r="V143" s="62">
        <f>2-1</f>
        <v>1</v>
      </c>
      <c r="W143" s="63"/>
      <c r="X143" s="63"/>
      <c r="Z143" s="71"/>
      <c r="AA143" s="54"/>
      <c r="AB143" s="54"/>
      <c r="AC143" s="54"/>
    </row>
    <row r="144" spans="1:29" ht="60" customHeight="1" x14ac:dyDescent="0.2">
      <c r="A144" s="69" t="s">
        <v>275</v>
      </c>
      <c r="B144" s="74"/>
      <c r="C144" s="66" t="s">
        <v>276</v>
      </c>
      <c r="D144" s="53" t="s">
        <v>48</v>
      </c>
      <c r="E144" s="54" t="s">
        <v>34</v>
      </c>
      <c r="F144" s="55" t="s">
        <v>49</v>
      </c>
      <c r="G144" s="67" t="s">
        <v>50</v>
      </c>
      <c r="H144" s="57" t="s">
        <v>37</v>
      </c>
      <c r="I144" s="55" t="s">
        <v>51</v>
      </c>
      <c r="J144" s="57" t="e">
        <f>ROUND(#REF!*2.4,-1)</f>
        <v>#REF!</v>
      </c>
      <c r="K144" s="58"/>
      <c r="L144" s="59">
        <f>2-1</f>
        <v>1</v>
      </c>
      <c r="M144" s="60"/>
      <c r="N144" s="61"/>
      <c r="O144" s="61"/>
      <c r="P144" s="62"/>
      <c r="Q144" s="62">
        <f>1-1</f>
        <v>0</v>
      </c>
      <c r="R144" s="62">
        <f>1-1+1</f>
        <v>1</v>
      </c>
      <c r="S144" s="62">
        <f>6-6</f>
        <v>0</v>
      </c>
      <c r="T144" s="62">
        <f>4-4</f>
        <v>0</v>
      </c>
      <c r="U144" s="62">
        <f>1-1</f>
        <v>0</v>
      </c>
      <c r="V144" s="62"/>
      <c r="W144" s="63"/>
      <c r="X144" s="63"/>
      <c r="Z144" s="64"/>
      <c r="AA144" s="54"/>
      <c r="AB144" s="54"/>
      <c r="AC144" s="54"/>
    </row>
    <row r="145" spans="1:29" ht="60" hidden="1" customHeight="1" x14ac:dyDescent="0.2">
      <c r="A145" s="69" t="s">
        <v>277</v>
      </c>
      <c r="B145" s="74"/>
      <c r="C145" s="66" t="s">
        <v>276</v>
      </c>
      <c r="D145" s="57" t="s">
        <v>58</v>
      </c>
      <c r="E145" s="54" t="s">
        <v>34</v>
      </c>
      <c r="F145" s="67" t="s">
        <v>59</v>
      </c>
      <c r="G145" s="67" t="s">
        <v>50</v>
      </c>
      <c r="H145" s="57" t="s">
        <v>37</v>
      </c>
      <c r="I145" s="55" t="s">
        <v>51</v>
      </c>
      <c r="J145" s="57" t="e">
        <f>ROUND(#REF!*2.4,-1)</f>
        <v>#REF!</v>
      </c>
      <c r="K145" s="58"/>
      <c r="L145" s="59">
        <f>1-1</f>
        <v>0</v>
      </c>
      <c r="M145" s="60"/>
      <c r="N145" s="61"/>
      <c r="O145" s="61"/>
      <c r="P145" s="62">
        <f>1-1</f>
        <v>0</v>
      </c>
      <c r="Q145" s="62">
        <f>1-1</f>
        <v>0</v>
      </c>
      <c r="R145" s="62">
        <f>2-2</f>
        <v>0</v>
      </c>
      <c r="S145" s="62">
        <f>2-2</f>
        <v>0</v>
      </c>
      <c r="T145" s="62">
        <f>2-2</f>
        <v>0</v>
      </c>
      <c r="U145" s="62"/>
      <c r="V145" s="62"/>
      <c r="W145" s="63"/>
      <c r="X145" s="63"/>
      <c r="Z145" s="64"/>
      <c r="AA145" s="54"/>
      <c r="AB145" s="54"/>
      <c r="AC145" s="54"/>
    </row>
    <row r="146" spans="1:29" ht="60" customHeight="1" x14ac:dyDescent="0.2">
      <c r="A146" s="69" t="s">
        <v>278</v>
      </c>
      <c r="B146" s="70"/>
      <c r="C146" s="66" t="s">
        <v>279</v>
      </c>
      <c r="D146" s="53" t="s">
        <v>48</v>
      </c>
      <c r="E146" s="54" t="s">
        <v>34</v>
      </c>
      <c r="F146" s="55" t="s">
        <v>49</v>
      </c>
      <c r="G146" s="67" t="s">
        <v>50</v>
      </c>
      <c r="H146" s="57" t="s">
        <v>37</v>
      </c>
      <c r="I146" s="55" t="s">
        <v>51</v>
      </c>
      <c r="J146" s="57" t="e">
        <f>ROUND(#REF!*2.4,-1)</f>
        <v>#REF!</v>
      </c>
      <c r="K146" s="58"/>
      <c r="L146" s="59">
        <f>3-1</f>
        <v>2</v>
      </c>
      <c r="M146" s="60"/>
      <c r="N146" s="61"/>
      <c r="O146" s="61"/>
      <c r="P146" s="62"/>
      <c r="Q146" s="62">
        <f>2-1+1</f>
        <v>2</v>
      </c>
      <c r="R146" s="62">
        <f>1-1</f>
        <v>0</v>
      </c>
      <c r="S146" s="62">
        <f>1-1+1+70-70-1</f>
        <v>0</v>
      </c>
      <c r="T146" s="62">
        <f>1-1</f>
        <v>0</v>
      </c>
      <c r="U146" s="62">
        <f>16-16</f>
        <v>0</v>
      </c>
      <c r="V146" s="62">
        <f>1-1</f>
        <v>0</v>
      </c>
      <c r="W146" s="63"/>
      <c r="X146" s="63"/>
      <c r="Z146" s="64"/>
      <c r="AA146" s="54">
        <v>1410575</v>
      </c>
      <c r="AB146" s="54">
        <v>425</v>
      </c>
      <c r="AC146" s="54"/>
    </row>
    <row r="147" spans="1:29" ht="60" customHeight="1" x14ac:dyDescent="0.2">
      <c r="A147" s="69" t="s">
        <v>280</v>
      </c>
      <c r="B147" s="70"/>
      <c r="C147" s="66" t="s">
        <v>279</v>
      </c>
      <c r="D147" s="57" t="s">
        <v>58</v>
      </c>
      <c r="E147" s="54" t="s">
        <v>34</v>
      </c>
      <c r="F147" s="67" t="s">
        <v>59</v>
      </c>
      <c r="G147" s="67" t="s">
        <v>50</v>
      </c>
      <c r="H147" s="57" t="s">
        <v>37</v>
      </c>
      <c r="I147" s="55" t="s">
        <v>51</v>
      </c>
      <c r="J147" s="57" t="e">
        <f>ROUND(#REF!*2.4,-1)</f>
        <v>#REF!</v>
      </c>
      <c r="K147" s="58"/>
      <c r="L147" s="59">
        <f>31-1</f>
        <v>30</v>
      </c>
      <c r="M147" s="60"/>
      <c r="N147" s="61"/>
      <c r="O147" s="61"/>
      <c r="P147" s="62">
        <f>6-2+2</f>
        <v>6</v>
      </c>
      <c r="Q147" s="62">
        <f>5-1+2+1</f>
        <v>7</v>
      </c>
      <c r="R147" s="62">
        <f>6-1</f>
        <v>5</v>
      </c>
      <c r="S147" s="62">
        <f>3-1</f>
        <v>2</v>
      </c>
      <c r="T147" s="62">
        <f>11-1</f>
        <v>10</v>
      </c>
      <c r="U147" s="62"/>
      <c r="V147" s="62"/>
      <c r="W147" s="63"/>
      <c r="X147" s="63"/>
      <c r="Z147" s="64"/>
      <c r="AA147" s="54"/>
      <c r="AB147" s="54"/>
      <c r="AC147" s="54"/>
    </row>
    <row r="148" spans="1:29" ht="60" customHeight="1" x14ac:dyDescent="0.2">
      <c r="A148" s="69" t="s">
        <v>281</v>
      </c>
      <c r="B148" s="70"/>
      <c r="C148" s="66" t="s">
        <v>279</v>
      </c>
      <c r="D148" s="57" t="s">
        <v>58</v>
      </c>
      <c r="E148" s="54" t="s">
        <v>34</v>
      </c>
      <c r="F148" s="67" t="s">
        <v>59</v>
      </c>
      <c r="G148" s="67" t="s">
        <v>50</v>
      </c>
      <c r="H148" s="57" t="s">
        <v>37</v>
      </c>
      <c r="I148" s="55" t="s">
        <v>51</v>
      </c>
      <c r="J148" s="57" t="e">
        <f>ROUND(#REF!*2.4,-1)</f>
        <v>#REF!</v>
      </c>
      <c r="K148" s="58"/>
      <c r="L148" s="59">
        <f>10-1</f>
        <v>9</v>
      </c>
      <c r="M148" s="60"/>
      <c r="N148" s="61"/>
      <c r="O148" s="61"/>
      <c r="P148" s="62">
        <f>2+2</f>
        <v>4</v>
      </c>
      <c r="Q148" s="62">
        <f>3-1</f>
        <v>2</v>
      </c>
      <c r="R148" s="62">
        <f>1-1</f>
        <v>0</v>
      </c>
      <c r="S148" s="62">
        <f>4-1</f>
        <v>3</v>
      </c>
      <c r="T148" s="62">
        <f>0</f>
        <v>0</v>
      </c>
      <c r="U148" s="62">
        <f>0</f>
        <v>0</v>
      </c>
      <c r="V148" s="62">
        <f>0</f>
        <v>0</v>
      </c>
      <c r="W148" s="63"/>
      <c r="X148" s="63"/>
      <c r="Z148" s="64"/>
      <c r="AA148" s="54"/>
      <c r="AB148" s="54"/>
      <c r="AC148" s="54"/>
    </row>
    <row r="149" spans="1:29" ht="60" customHeight="1" x14ac:dyDescent="0.2">
      <c r="A149" s="69" t="s">
        <v>282</v>
      </c>
      <c r="B149" s="70"/>
      <c r="C149" s="66" t="s">
        <v>283</v>
      </c>
      <c r="D149" s="53" t="s">
        <v>48</v>
      </c>
      <c r="E149" s="54" t="s">
        <v>34</v>
      </c>
      <c r="F149" s="55" t="s">
        <v>49</v>
      </c>
      <c r="G149" s="67" t="s">
        <v>50</v>
      </c>
      <c r="H149" s="57" t="s">
        <v>37</v>
      </c>
      <c r="I149" s="55" t="s">
        <v>51</v>
      </c>
      <c r="J149" s="57" t="e">
        <f>ROUND(#REF!*2.4,-1)</f>
        <v>#REF!</v>
      </c>
      <c r="K149" s="58"/>
      <c r="L149" s="59">
        <f>33-3</f>
        <v>30</v>
      </c>
      <c r="M149" s="60"/>
      <c r="N149" s="61"/>
      <c r="O149" s="61"/>
      <c r="P149" s="62"/>
      <c r="Q149" s="62">
        <f>8-1</f>
        <v>7</v>
      </c>
      <c r="R149" s="62">
        <f>7-1</f>
        <v>6</v>
      </c>
      <c r="S149" s="62">
        <f>9-1</f>
        <v>8</v>
      </c>
      <c r="T149" s="62">
        <f>13-5</f>
        <v>8</v>
      </c>
      <c r="U149" s="62">
        <f>2-1</f>
        <v>1</v>
      </c>
      <c r="V149" s="62">
        <f>1-1</f>
        <v>0</v>
      </c>
      <c r="W149" s="63"/>
      <c r="X149" s="63"/>
      <c r="Z149" s="64"/>
      <c r="AA149" s="54"/>
      <c r="AB149" s="54"/>
      <c r="AC149" s="54"/>
    </row>
    <row r="150" spans="1:29" ht="60" customHeight="1" x14ac:dyDescent="0.2">
      <c r="A150" s="69" t="s">
        <v>284</v>
      </c>
      <c r="B150" s="70"/>
      <c r="C150" s="66" t="s">
        <v>283</v>
      </c>
      <c r="D150" s="53" t="s">
        <v>48</v>
      </c>
      <c r="E150" s="54" t="s">
        <v>34</v>
      </c>
      <c r="F150" s="55" t="s">
        <v>49</v>
      </c>
      <c r="G150" s="67" t="s">
        <v>50</v>
      </c>
      <c r="H150" s="57" t="s">
        <v>37</v>
      </c>
      <c r="I150" s="55" t="s">
        <v>51</v>
      </c>
      <c r="J150" s="57" t="e">
        <f>ROUND(#REF!*2.4,-1)</f>
        <v>#REF!</v>
      </c>
      <c r="K150" s="58"/>
      <c r="L150" s="59">
        <f>107-10</f>
        <v>97</v>
      </c>
      <c r="M150" s="60"/>
      <c r="N150" s="61"/>
      <c r="O150" s="61"/>
      <c r="P150" s="62"/>
      <c r="Q150" s="62">
        <f>23-2</f>
        <v>21</v>
      </c>
      <c r="R150" s="62">
        <f>27-2</f>
        <v>25</v>
      </c>
      <c r="S150" s="62">
        <f>24-2</f>
        <v>22</v>
      </c>
      <c r="T150" s="62">
        <f>20-2</f>
        <v>18</v>
      </c>
      <c r="U150" s="62">
        <f>13-2</f>
        <v>11</v>
      </c>
      <c r="V150" s="62">
        <f>1-1</f>
        <v>0</v>
      </c>
      <c r="W150" s="63"/>
      <c r="X150" s="63"/>
      <c r="Z150" s="64"/>
      <c r="AA150" s="54">
        <v>1410505</v>
      </c>
      <c r="AB150" s="54">
        <v>340</v>
      </c>
      <c r="AC150" s="54"/>
    </row>
    <row r="151" spans="1:29" ht="60" customHeight="1" x14ac:dyDescent="0.2">
      <c r="A151" s="69" t="s">
        <v>285</v>
      </c>
      <c r="B151" s="70"/>
      <c r="C151" s="66" t="s">
        <v>162</v>
      </c>
      <c r="D151" s="57" t="s">
        <v>134</v>
      </c>
      <c r="E151" s="54" t="s">
        <v>34</v>
      </c>
      <c r="F151" s="67" t="s">
        <v>135</v>
      </c>
      <c r="G151" s="67" t="s">
        <v>136</v>
      </c>
      <c r="H151" s="57" t="s">
        <v>163</v>
      </c>
      <c r="I151" s="55" t="s">
        <v>51</v>
      </c>
      <c r="J151" s="57" t="e">
        <f>ROUND(#REF!*2.4,-1)</f>
        <v>#REF!</v>
      </c>
      <c r="K151" s="58"/>
      <c r="L151" s="59">
        <f>33-26+26</f>
        <v>33</v>
      </c>
      <c r="M151" s="60"/>
      <c r="N151" s="61"/>
      <c r="O151" s="61"/>
      <c r="P151" s="62">
        <f>6-5+5</f>
        <v>6</v>
      </c>
      <c r="Q151" s="62">
        <f>11-10+10</f>
        <v>11</v>
      </c>
      <c r="R151" s="62">
        <f>10-5+5</f>
        <v>10</v>
      </c>
      <c r="S151" s="62">
        <f>5-5+5</f>
        <v>5</v>
      </c>
      <c r="T151" s="62">
        <f>1-1+1</f>
        <v>1</v>
      </c>
      <c r="U151" s="62"/>
      <c r="V151" s="62"/>
      <c r="W151" s="63"/>
      <c r="X151" s="63"/>
      <c r="Z151" s="64"/>
      <c r="AA151" s="54"/>
      <c r="AB151" s="54"/>
      <c r="AC151" s="54"/>
    </row>
    <row r="152" spans="1:29" ht="60" customHeight="1" x14ac:dyDescent="0.2">
      <c r="A152" s="69" t="s">
        <v>286</v>
      </c>
      <c r="B152" s="70"/>
      <c r="C152" s="66" t="s">
        <v>162</v>
      </c>
      <c r="D152" s="53" t="s">
        <v>33</v>
      </c>
      <c r="E152" s="54" t="s">
        <v>34</v>
      </c>
      <c r="F152" s="55" t="s">
        <v>287</v>
      </c>
      <c r="G152" s="56" t="s">
        <v>36</v>
      </c>
      <c r="H152" s="57" t="s">
        <v>163</v>
      </c>
      <c r="I152" s="86" t="s">
        <v>288</v>
      </c>
      <c r="J152" s="57" t="e">
        <f>ROUND(#REF!*2.4,-1)</f>
        <v>#REF!</v>
      </c>
      <c r="K152" s="58"/>
      <c r="L152" s="59">
        <f>14-5</f>
        <v>9</v>
      </c>
      <c r="M152" s="60"/>
      <c r="N152" s="61"/>
      <c r="O152" s="61"/>
      <c r="P152" s="62"/>
      <c r="Q152" s="62">
        <f>4-3</f>
        <v>1</v>
      </c>
      <c r="R152" s="62">
        <f>3-1</f>
        <v>2</v>
      </c>
      <c r="S152" s="62">
        <f>3-2</f>
        <v>1</v>
      </c>
      <c r="T152" s="62">
        <f>4-1</f>
        <v>3</v>
      </c>
      <c r="U152" s="62">
        <f>3-1</f>
        <v>2</v>
      </c>
      <c r="V152" s="62"/>
      <c r="W152" s="63"/>
      <c r="X152" s="63"/>
      <c r="Z152" s="64"/>
      <c r="AA152" s="54"/>
      <c r="AB152" s="54"/>
      <c r="AC152" s="54"/>
    </row>
    <row r="153" spans="1:29" ht="60" customHeight="1" x14ac:dyDescent="0.2">
      <c r="A153" s="69" t="s">
        <v>289</v>
      </c>
      <c r="B153" s="70"/>
      <c r="C153" s="66" t="s">
        <v>162</v>
      </c>
      <c r="D153" s="53" t="s">
        <v>33</v>
      </c>
      <c r="E153" s="54" t="s">
        <v>34</v>
      </c>
      <c r="F153" s="55" t="s">
        <v>287</v>
      </c>
      <c r="G153" s="56" t="s">
        <v>36</v>
      </c>
      <c r="H153" s="57" t="s">
        <v>163</v>
      </c>
      <c r="I153" s="86" t="s">
        <v>288</v>
      </c>
      <c r="J153" s="57" t="e">
        <f>ROUND(#REF!*2.4,-1)</f>
        <v>#REF!</v>
      </c>
      <c r="K153" s="58"/>
      <c r="L153" s="59">
        <f>12-4</f>
        <v>8</v>
      </c>
      <c r="M153" s="60"/>
      <c r="N153" s="61"/>
      <c r="O153" s="61"/>
      <c r="P153" s="62">
        <f>3-1</f>
        <v>2</v>
      </c>
      <c r="Q153" s="62">
        <f>4-1</f>
        <v>3</v>
      </c>
      <c r="R153" s="62">
        <f>3-1</f>
        <v>2</v>
      </c>
      <c r="S153" s="62">
        <f>2-1</f>
        <v>1</v>
      </c>
      <c r="T153" s="62"/>
      <c r="U153" s="62"/>
      <c r="V153" s="62"/>
      <c r="W153" s="63"/>
      <c r="X153" s="63"/>
      <c r="Z153" s="64"/>
      <c r="AA153" s="54"/>
      <c r="AB153" s="54"/>
      <c r="AC153" s="54"/>
    </row>
    <row r="154" spans="1:29" ht="60" customHeight="1" x14ac:dyDescent="0.2">
      <c r="A154" s="69" t="s">
        <v>290</v>
      </c>
      <c r="B154" s="51"/>
      <c r="C154" s="66" t="s">
        <v>43</v>
      </c>
      <c r="D154" s="53" t="s">
        <v>33</v>
      </c>
      <c r="E154" s="54" t="s">
        <v>34</v>
      </c>
      <c r="F154" s="55" t="s">
        <v>287</v>
      </c>
      <c r="G154" s="56" t="s">
        <v>36</v>
      </c>
      <c r="H154" s="57" t="s">
        <v>163</v>
      </c>
      <c r="I154" s="86" t="s">
        <v>288</v>
      </c>
      <c r="J154" s="57" t="e">
        <f>ROUND(#REF!*2.4,-1)</f>
        <v>#REF!</v>
      </c>
      <c r="K154" s="58"/>
      <c r="L154" s="59">
        <f>43-6</f>
        <v>37</v>
      </c>
      <c r="M154" s="60"/>
      <c r="N154" s="61"/>
      <c r="O154" s="61"/>
      <c r="P154" s="62"/>
      <c r="Q154" s="62">
        <f>9-1</f>
        <v>8</v>
      </c>
      <c r="R154" s="62">
        <f>10-1</f>
        <v>9</v>
      </c>
      <c r="S154" s="62">
        <f>10-2</f>
        <v>8</v>
      </c>
      <c r="T154" s="62">
        <f>10-1</f>
        <v>9</v>
      </c>
      <c r="U154" s="62">
        <f>4-1</f>
        <v>3</v>
      </c>
      <c r="V154" s="62"/>
      <c r="W154" s="63"/>
      <c r="X154" s="63"/>
      <c r="Z154" s="64"/>
      <c r="AA154" s="54"/>
      <c r="AB154" s="54"/>
      <c r="AC154" s="54"/>
    </row>
    <row r="155" spans="1:29" ht="60" customHeight="1" x14ac:dyDescent="0.2">
      <c r="A155" s="69" t="s">
        <v>291</v>
      </c>
      <c r="B155" s="51"/>
      <c r="C155" s="66" t="s">
        <v>43</v>
      </c>
      <c r="D155" s="53" t="s">
        <v>33</v>
      </c>
      <c r="E155" s="54" t="s">
        <v>34</v>
      </c>
      <c r="F155" s="55" t="s">
        <v>287</v>
      </c>
      <c r="G155" s="56" t="s">
        <v>36</v>
      </c>
      <c r="H155" s="57" t="s">
        <v>103</v>
      </c>
      <c r="I155" s="86" t="s">
        <v>288</v>
      </c>
      <c r="J155" s="57" t="e">
        <f>ROUND(#REF!*2.4,-1)</f>
        <v>#REF!</v>
      </c>
      <c r="K155" s="58"/>
      <c r="L155" s="59">
        <f>5-1</f>
        <v>4</v>
      </c>
      <c r="M155" s="60"/>
      <c r="N155" s="61"/>
      <c r="O155" s="61"/>
      <c r="P155" s="62"/>
      <c r="Q155" s="62">
        <f>2-1</f>
        <v>1</v>
      </c>
      <c r="R155" s="62">
        <f>2-1</f>
        <v>1</v>
      </c>
      <c r="S155" s="62">
        <f>2-1</f>
        <v>1</v>
      </c>
      <c r="T155" s="62">
        <f>2-1</f>
        <v>1</v>
      </c>
      <c r="U155" s="62">
        <f>1-1</f>
        <v>0</v>
      </c>
      <c r="V155" s="62"/>
      <c r="W155" s="63"/>
      <c r="X155" s="63"/>
      <c r="Z155" s="64"/>
      <c r="AA155" s="54"/>
      <c r="AB155" s="54"/>
      <c r="AC155" s="54"/>
    </row>
    <row r="156" spans="1:29" ht="60" customHeight="1" x14ac:dyDescent="0.2">
      <c r="A156" s="69" t="s">
        <v>292</v>
      </c>
      <c r="B156" s="74"/>
      <c r="C156" s="87" t="s">
        <v>293</v>
      </c>
      <c r="D156" s="53" t="s">
        <v>48</v>
      </c>
      <c r="E156" s="54" t="s">
        <v>34</v>
      </c>
      <c r="F156" s="55" t="s">
        <v>49</v>
      </c>
      <c r="G156" s="67" t="s">
        <v>50</v>
      </c>
      <c r="H156" s="57" t="s">
        <v>37</v>
      </c>
      <c r="I156" s="55" t="s">
        <v>51</v>
      </c>
      <c r="J156" s="57" t="e">
        <f>ROUND(#REF!*2.4,-1)</f>
        <v>#REF!</v>
      </c>
      <c r="K156" s="58"/>
      <c r="L156" s="59">
        <f>17-3</f>
        <v>14</v>
      </c>
      <c r="M156" s="60"/>
      <c r="N156" s="61"/>
      <c r="O156" s="61"/>
      <c r="P156" s="62"/>
      <c r="Q156" s="62">
        <f>13-2</f>
        <v>11</v>
      </c>
      <c r="R156" s="62">
        <f>1-1</f>
        <v>0</v>
      </c>
      <c r="S156" s="62">
        <f>3-2+2</f>
        <v>3</v>
      </c>
      <c r="T156" s="62">
        <f>1-1</f>
        <v>0</v>
      </c>
      <c r="U156" s="62">
        <f>1-1</f>
        <v>0</v>
      </c>
      <c r="V156" s="62">
        <f>2-2</f>
        <v>0</v>
      </c>
      <c r="W156" s="63"/>
      <c r="X156" s="63"/>
      <c r="Z156" s="64"/>
      <c r="AA156" s="54">
        <v>1410170</v>
      </c>
      <c r="AB156" s="54">
        <v>429</v>
      </c>
      <c r="AC156" s="54"/>
    </row>
    <row r="157" spans="1:29" ht="60" customHeight="1" x14ac:dyDescent="0.2">
      <c r="A157" s="69" t="s">
        <v>294</v>
      </c>
      <c r="B157" s="74"/>
      <c r="C157" s="87" t="s">
        <v>293</v>
      </c>
      <c r="D157" s="53" t="s">
        <v>58</v>
      </c>
      <c r="E157" s="54" t="s">
        <v>34</v>
      </c>
      <c r="F157" s="55" t="s">
        <v>59</v>
      </c>
      <c r="G157" s="67" t="s">
        <v>50</v>
      </c>
      <c r="H157" s="57" t="s">
        <v>37</v>
      </c>
      <c r="I157" s="55" t="s">
        <v>51</v>
      </c>
      <c r="J157" s="57" t="e">
        <f>ROUND(#REF!*2.4,-1)</f>
        <v>#REF!</v>
      </c>
      <c r="K157" s="58"/>
      <c r="L157" s="59">
        <f>5-1</f>
        <v>4</v>
      </c>
      <c r="M157" s="60"/>
      <c r="N157" s="61"/>
      <c r="O157" s="61"/>
      <c r="P157" s="62">
        <f>5-5+2</f>
        <v>2</v>
      </c>
      <c r="Q157" s="62">
        <f>2-1</f>
        <v>1</v>
      </c>
      <c r="R157" s="62">
        <f>8-8</f>
        <v>0</v>
      </c>
      <c r="S157" s="62">
        <f>7-7+1</f>
        <v>1</v>
      </c>
      <c r="T157" s="62">
        <f>5-5</f>
        <v>0</v>
      </c>
      <c r="U157" s="62"/>
      <c r="V157" s="62"/>
      <c r="W157" s="63"/>
      <c r="X157" s="63"/>
      <c r="Z157" s="64"/>
      <c r="AA157" s="54"/>
      <c r="AB157" s="54"/>
      <c r="AC157" s="54"/>
    </row>
    <row r="158" spans="1:29" ht="60" customHeight="1" x14ac:dyDescent="0.2">
      <c r="A158" s="69" t="s">
        <v>295</v>
      </c>
      <c r="B158" s="74"/>
      <c r="C158" s="87" t="s">
        <v>293</v>
      </c>
      <c r="D158" s="53" t="s">
        <v>58</v>
      </c>
      <c r="E158" s="54" t="s">
        <v>34</v>
      </c>
      <c r="F158" s="55" t="s">
        <v>59</v>
      </c>
      <c r="G158" s="67" t="s">
        <v>50</v>
      </c>
      <c r="H158" s="57" t="s">
        <v>37</v>
      </c>
      <c r="I158" s="55" t="s">
        <v>51</v>
      </c>
      <c r="J158" s="57" t="e">
        <f>ROUND(#REF!*2.4,-1)</f>
        <v>#REF!</v>
      </c>
      <c r="K158" s="58"/>
      <c r="L158" s="59">
        <f>2-1</f>
        <v>1</v>
      </c>
      <c r="M158" s="60"/>
      <c r="N158" s="61"/>
      <c r="O158" s="61"/>
      <c r="P158" s="62">
        <f>1-1</f>
        <v>0</v>
      </c>
      <c r="Q158" s="62">
        <f>1-1</f>
        <v>0</v>
      </c>
      <c r="R158" s="62">
        <f>1-1</f>
        <v>0</v>
      </c>
      <c r="S158" s="62">
        <f>1-1</f>
        <v>0</v>
      </c>
      <c r="T158" s="62">
        <f>1-1+1</f>
        <v>1</v>
      </c>
      <c r="U158" s="62"/>
      <c r="V158" s="62"/>
      <c r="W158" s="63"/>
      <c r="X158" s="63"/>
      <c r="Z158" s="64"/>
      <c r="AA158" s="54"/>
      <c r="AB158" s="54"/>
      <c r="AC158" s="54"/>
    </row>
    <row r="159" spans="1:29" ht="60" customHeight="1" x14ac:dyDescent="0.2">
      <c r="A159" s="72" t="s">
        <v>296</v>
      </c>
      <c r="B159" s="74"/>
      <c r="C159" s="66" t="s">
        <v>297</v>
      </c>
      <c r="D159" s="53" t="s">
        <v>48</v>
      </c>
      <c r="E159" s="54" t="s">
        <v>34</v>
      </c>
      <c r="F159" s="55" t="s">
        <v>49</v>
      </c>
      <c r="G159" s="56" t="s">
        <v>36</v>
      </c>
      <c r="H159" s="57" t="s">
        <v>37</v>
      </c>
      <c r="I159" s="55" t="s">
        <v>51</v>
      </c>
      <c r="J159" s="57" t="e">
        <f>ROUND(#REF!*2.4,-1)</f>
        <v>#REF!</v>
      </c>
      <c r="K159" s="58"/>
      <c r="L159" s="59">
        <f>2-1+3</f>
        <v>4</v>
      </c>
      <c r="M159" s="75"/>
      <c r="N159" s="76"/>
      <c r="O159" s="76"/>
      <c r="P159" s="77"/>
      <c r="Q159" s="77">
        <f>1-1+1</f>
        <v>1</v>
      </c>
      <c r="R159" s="77">
        <f>1-1+2</f>
        <v>2</v>
      </c>
      <c r="S159" s="77">
        <f>1-1+1</f>
        <v>1</v>
      </c>
      <c r="T159" s="77">
        <f>1-1+1-1</f>
        <v>0</v>
      </c>
      <c r="U159" s="77">
        <f>1-1</f>
        <v>0</v>
      </c>
      <c r="V159" s="77">
        <f>5-5</f>
        <v>0</v>
      </c>
      <c r="W159" s="63"/>
      <c r="X159" s="63"/>
      <c r="Z159" s="71"/>
      <c r="AA159" s="54">
        <v>1410623</v>
      </c>
      <c r="AB159" s="54">
        <v>427</v>
      </c>
      <c r="AC159" s="54"/>
    </row>
    <row r="160" spans="1:29" ht="60" customHeight="1" x14ac:dyDescent="0.2">
      <c r="A160" s="69" t="s">
        <v>298</v>
      </c>
      <c r="B160" s="74"/>
      <c r="C160" s="66" t="s">
        <v>297</v>
      </c>
      <c r="D160" s="53" t="s">
        <v>58</v>
      </c>
      <c r="E160" s="68" t="s">
        <v>34</v>
      </c>
      <c r="F160" s="55" t="s">
        <v>59</v>
      </c>
      <c r="G160" s="56" t="s">
        <v>36</v>
      </c>
      <c r="H160" s="57" t="s">
        <v>37</v>
      </c>
      <c r="I160" s="55" t="s">
        <v>51</v>
      </c>
      <c r="J160" s="57" t="e">
        <f>ROUND(#REF!*2.4,-1)</f>
        <v>#REF!</v>
      </c>
      <c r="K160" s="58"/>
      <c r="L160" s="59">
        <f>1-1+1</f>
        <v>1</v>
      </c>
      <c r="M160" s="60"/>
      <c r="N160" s="61"/>
      <c r="O160" s="61"/>
      <c r="P160" s="62">
        <f>1-1+1</f>
        <v>1</v>
      </c>
      <c r="Q160" s="62">
        <f>2-2</f>
        <v>0</v>
      </c>
      <c r="R160" s="62">
        <f>5-5</f>
        <v>0</v>
      </c>
      <c r="S160" s="62">
        <f>9-9</f>
        <v>0</v>
      </c>
      <c r="T160" s="62">
        <f>6-6</f>
        <v>0</v>
      </c>
      <c r="U160" s="62">
        <f>1-1+1-1</f>
        <v>0</v>
      </c>
      <c r="V160" s="62"/>
      <c r="W160" s="63"/>
      <c r="X160" s="63"/>
      <c r="Z160" s="64"/>
      <c r="AA160" s="54"/>
      <c r="AB160" s="54"/>
      <c r="AC160" s="54"/>
    </row>
    <row r="161" spans="1:29" ht="60" customHeight="1" x14ac:dyDescent="0.2">
      <c r="A161" s="69" t="s">
        <v>299</v>
      </c>
      <c r="B161" s="70"/>
      <c r="C161" s="66" t="s">
        <v>162</v>
      </c>
      <c r="D161" s="53" t="s">
        <v>48</v>
      </c>
      <c r="E161" s="54" t="s">
        <v>34</v>
      </c>
      <c r="F161" s="55" t="s">
        <v>49</v>
      </c>
      <c r="G161" s="67" t="s">
        <v>50</v>
      </c>
      <c r="H161" s="57" t="s">
        <v>37</v>
      </c>
      <c r="I161" s="55" t="s">
        <v>51</v>
      </c>
      <c r="J161" s="57" t="e">
        <f>ROUND(#REF!*2.4,-1)</f>
        <v>#REF!</v>
      </c>
      <c r="K161" s="58"/>
      <c r="L161" s="59">
        <f>27-2</f>
        <v>25</v>
      </c>
      <c r="M161" s="60"/>
      <c r="N161" s="61"/>
      <c r="O161" s="61"/>
      <c r="P161" s="62"/>
      <c r="Q161" s="62">
        <f>6-1</f>
        <v>5</v>
      </c>
      <c r="R161" s="62">
        <f>7-1</f>
        <v>6</v>
      </c>
      <c r="S161" s="62">
        <f>8-1</f>
        <v>7</v>
      </c>
      <c r="T161" s="62">
        <f>7-1</f>
        <v>6</v>
      </c>
      <c r="U161" s="62">
        <f>2-1</f>
        <v>1</v>
      </c>
      <c r="V161" s="62">
        <f>1-1</f>
        <v>0</v>
      </c>
      <c r="W161" s="63"/>
      <c r="X161" s="63"/>
      <c r="Z161" s="64"/>
      <c r="AA161" s="54"/>
      <c r="AB161" s="54"/>
      <c r="AC161" s="54"/>
    </row>
    <row r="162" spans="1:29" ht="60" customHeight="1" x14ac:dyDescent="0.2">
      <c r="A162" s="69" t="s">
        <v>300</v>
      </c>
      <c r="B162" s="70"/>
      <c r="C162" s="66" t="s">
        <v>162</v>
      </c>
      <c r="D162" s="53" t="s">
        <v>48</v>
      </c>
      <c r="E162" s="54" t="s">
        <v>34</v>
      </c>
      <c r="F162" s="55" t="s">
        <v>49</v>
      </c>
      <c r="G162" s="67" t="s">
        <v>50</v>
      </c>
      <c r="H162" s="57" t="s">
        <v>103</v>
      </c>
      <c r="I162" s="55" t="s">
        <v>51</v>
      </c>
      <c r="J162" s="57" t="e">
        <f>ROUND(#REF!*2.4,-1)</f>
        <v>#REF!</v>
      </c>
      <c r="K162" s="58"/>
      <c r="L162" s="59">
        <f>35-1</f>
        <v>34</v>
      </c>
      <c r="M162" s="60"/>
      <c r="N162" s="61"/>
      <c r="O162" s="61"/>
      <c r="P162" s="62"/>
      <c r="Q162" s="62">
        <f>16-6</f>
        <v>10</v>
      </c>
      <c r="R162" s="62">
        <f>18-6</f>
        <v>12</v>
      </c>
      <c r="S162" s="62">
        <f>15-6</f>
        <v>9</v>
      </c>
      <c r="T162" s="62">
        <f>4-1</f>
        <v>3</v>
      </c>
      <c r="U162" s="62">
        <f>6-6</f>
        <v>0</v>
      </c>
      <c r="V162" s="62">
        <f>1-1</f>
        <v>0</v>
      </c>
      <c r="W162" s="63"/>
      <c r="X162" s="63"/>
      <c r="Z162" s="64"/>
      <c r="AA162" s="54"/>
      <c r="AB162" s="54"/>
      <c r="AC162" s="54"/>
    </row>
    <row r="163" spans="1:29" ht="60" customHeight="1" x14ac:dyDescent="0.2">
      <c r="A163" s="69" t="s">
        <v>301</v>
      </c>
      <c r="B163" s="70"/>
      <c r="C163" s="66" t="s">
        <v>162</v>
      </c>
      <c r="D163" s="53" t="s">
        <v>48</v>
      </c>
      <c r="E163" s="54" t="s">
        <v>34</v>
      </c>
      <c r="F163" s="55" t="s">
        <v>49</v>
      </c>
      <c r="G163" s="67" t="s">
        <v>68</v>
      </c>
      <c r="H163" s="57" t="s">
        <v>37</v>
      </c>
      <c r="I163" s="55" t="s">
        <v>51</v>
      </c>
      <c r="J163" s="57" t="e">
        <f>ROUND(#REF!*2.4,-1)</f>
        <v>#REF!</v>
      </c>
      <c r="K163" s="58"/>
      <c r="L163" s="59">
        <f>5-1+1</f>
        <v>5</v>
      </c>
      <c r="M163" s="60"/>
      <c r="N163" s="61"/>
      <c r="O163" s="61"/>
      <c r="P163" s="62"/>
      <c r="Q163" s="62">
        <f>3-1</f>
        <v>2</v>
      </c>
      <c r="R163" s="62">
        <f>1-1</f>
        <v>0</v>
      </c>
      <c r="S163" s="62">
        <f>1-1</f>
        <v>0</v>
      </c>
      <c r="T163" s="62">
        <f>1-1</f>
        <v>0</v>
      </c>
      <c r="U163" s="62">
        <f>2-1+1</f>
        <v>2</v>
      </c>
      <c r="V163" s="62">
        <f>2-1</f>
        <v>1</v>
      </c>
      <c r="W163" s="63"/>
      <c r="X163" s="63"/>
      <c r="Z163" s="64"/>
      <c r="AA163" s="54"/>
      <c r="AB163" s="54"/>
      <c r="AC163" s="54"/>
    </row>
    <row r="164" spans="1:29" ht="60" customHeight="1" x14ac:dyDescent="0.2">
      <c r="A164" s="69" t="s">
        <v>302</v>
      </c>
      <c r="B164" s="70"/>
      <c r="C164" s="66" t="s">
        <v>162</v>
      </c>
      <c r="D164" s="53" t="s">
        <v>48</v>
      </c>
      <c r="E164" s="54" t="s">
        <v>34</v>
      </c>
      <c r="F164" s="55" t="s">
        <v>49</v>
      </c>
      <c r="G164" s="67" t="s">
        <v>68</v>
      </c>
      <c r="H164" s="57" t="s">
        <v>103</v>
      </c>
      <c r="I164" s="55" t="s">
        <v>51</v>
      </c>
      <c r="J164" s="57" t="e">
        <f>ROUND(#REF!*2.4,-1)</f>
        <v>#REF!</v>
      </c>
      <c r="K164" s="58"/>
      <c r="L164" s="59">
        <f>5-4+4</f>
        <v>5</v>
      </c>
      <c r="M164" s="60"/>
      <c r="N164" s="61"/>
      <c r="O164" s="61"/>
      <c r="P164" s="62"/>
      <c r="Q164" s="62">
        <f>2-1+1</f>
        <v>2</v>
      </c>
      <c r="R164" s="62">
        <f>1-1+1</f>
        <v>1</v>
      </c>
      <c r="S164" s="62">
        <f>1-1+1</f>
        <v>1</v>
      </c>
      <c r="T164" s="62">
        <f>1-1+1</f>
        <v>1</v>
      </c>
      <c r="U164" s="62">
        <f>1-1</f>
        <v>0</v>
      </c>
      <c r="V164" s="62">
        <f>1-1</f>
        <v>0</v>
      </c>
      <c r="W164" s="63"/>
      <c r="X164" s="63"/>
      <c r="Z164" s="64"/>
      <c r="AA164" s="54"/>
      <c r="AB164" s="54"/>
      <c r="AC164" s="54"/>
    </row>
    <row r="165" spans="1:29" ht="60" customHeight="1" x14ac:dyDescent="0.2">
      <c r="A165" s="69" t="s">
        <v>303</v>
      </c>
      <c r="B165" s="70"/>
      <c r="C165" s="66" t="s">
        <v>162</v>
      </c>
      <c r="D165" s="57" t="s">
        <v>58</v>
      </c>
      <c r="E165" s="54" t="s">
        <v>34</v>
      </c>
      <c r="F165" s="67" t="s">
        <v>59</v>
      </c>
      <c r="G165" s="67" t="s">
        <v>68</v>
      </c>
      <c r="H165" s="57" t="s">
        <v>37</v>
      </c>
      <c r="I165" s="55" t="s">
        <v>51</v>
      </c>
      <c r="J165" s="57" t="e">
        <f>ROUND(#REF!*2.4,-1)</f>
        <v>#REF!</v>
      </c>
      <c r="K165" s="58"/>
      <c r="L165" s="59">
        <f>6-1</f>
        <v>5</v>
      </c>
      <c r="M165" s="60"/>
      <c r="N165" s="61"/>
      <c r="O165" s="61"/>
      <c r="P165" s="62">
        <f>1-1</f>
        <v>0</v>
      </c>
      <c r="Q165" s="62">
        <f>1-1</f>
        <v>0</v>
      </c>
      <c r="R165" s="62">
        <f>2-2</f>
        <v>0</v>
      </c>
      <c r="S165" s="62">
        <f>4-1</f>
        <v>3</v>
      </c>
      <c r="T165" s="62">
        <f>3-1</f>
        <v>2</v>
      </c>
      <c r="U165" s="62"/>
      <c r="V165" s="62"/>
      <c r="W165" s="63"/>
      <c r="X165" s="63"/>
      <c r="Z165" s="64"/>
      <c r="AA165" s="54"/>
      <c r="AB165" s="54"/>
      <c r="AC165" s="54"/>
    </row>
    <row r="166" spans="1:29" ht="60" customHeight="1" x14ac:dyDescent="0.2">
      <c r="A166" s="69" t="s">
        <v>304</v>
      </c>
      <c r="B166" s="70"/>
      <c r="C166" s="66" t="s">
        <v>162</v>
      </c>
      <c r="D166" s="57" t="s">
        <v>58</v>
      </c>
      <c r="E166" s="54" t="s">
        <v>34</v>
      </c>
      <c r="F166" s="67" t="s">
        <v>59</v>
      </c>
      <c r="G166" s="67" t="s">
        <v>50</v>
      </c>
      <c r="H166" s="57" t="s">
        <v>103</v>
      </c>
      <c r="I166" s="55" t="s">
        <v>51</v>
      </c>
      <c r="J166" s="57" t="e">
        <f>ROUND(#REF!*2.4,-1)</f>
        <v>#REF!</v>
      </c>
      <c r="K166" s="58"/>
      <c r="L166" s="59">
        <f>22-4</f>
        <v>18</v>
      </c>
      <c r="M166" s="60"/>
      <c r="N166" s="61"/>
      <c r="O166" s="61"/>
      <c r="P166" s="62">
        <f>3-1</f>
        <v>2</v>
      </c>
      <c r="Q166" s="62">
        <f>8-1</f>
        <v>7</v>
      </c>
      <c r="R166" s="62">
        <f>7-1</f>
        <v>6</v>
      </c>
      <c r="S166" s="62">
        <f>4-1</f>
        <v>3</v>
      </c>
      <c r="T166" s="62">
        <f>1-1</f>
        <v>0</v>
      </c>
      <c r="U166" s="62"/>
      <c r="V166" s="62"/>
      <c r="W166" s="63"/>
      <c r="X166" s="63"/>
      <c r="Z166" s="64"/>
      <c r="AA166" s="54"/>
      <c r="AB166" s="54"/>
      <c r="AC166" s="54"/>
    </row>
    <row r="167" spans="1:29" ht="60" customHeight="1" x14ac:dyDescent="0.2">
      <c r="A167" s="69" t="s">
        <v>305</v>
      </c>
      <c r="B167" s="70"/>
      <c r="C167" s="66" t="s">
        <v>162</v>
      </c>
      <c r="D167" s="57" t="s">
        <v>58</v>
      </c>
      <c r="E167" s="54" t="s">
        <v>34</v>
      </c>
      <c r="F167" s="67" t="s">
        <v>59</v>
      </c>
      <c r="G167" s="67" t="s">
        <v>50</v>
      </c>
      <c r="H167" s="57" t="s">
        <v>65</v>
      </c>
      <c r="I167" s="55" t="s">
        <v>51</v>
      </c>
      <c r="J167" s="57" t="e">
        <f>ROUND(#REF!*2.4,-1)</f>
        <v>#REF!</v>
      </c>
      <c r="K167" s="58"/>
      <c r="L167" s="59">
        <f>1-1+1</f>
        <v>1</v>
      </c>
      <c r="M167" s="60"/>
      <c r="N167" s="61"/>
      <c r="O167" s="61"/>
      <c r="P167" s="62">
        <f>6-6</f>
        <v>0</v>
      </c>
      <c r="Q167" s="62">
        <f t="shared" ref="Q167:S168" si="9">1-1</f>
        <v>0</v>
      </c>
      <c r="R167" s="62">
        <f t="shared" si="9"/>
        <v>0</v>
      </c>
      <c r="S167" s="62">
        <f t="shared" si="9"/>
        <v>0</v>
      </c>
      <c r="T167" s="62">
        <f>1-1+1</f>
        <v>1</v>
      </c>
      <c r="U167" s="62"/>
      <c r="V167" s="62"/>
      <c r="W167" s="63"/>
      <c r="X167" s="63"/>
      <c r="Z167" s="64"/>
      <c r="AA167" s="54"/>
      <c r="AB167" s="54"/>
      <c r="AC167" s="54"/>
    </row>
    <row r="168" spans="1:29" ht="60" customHeight="1" x14ac:dyDescent="0.2">
      <c r="A168" s="69" t="s">
        <v>306</v>
      </c>
      <c r="B168" s="70"/>
      <c r="C168" s="66" t="s">
        <v>203</v>
      </c>
      <c r="D168" s="57" t="s">
        <v>58</v>
      </c>
      <c r="E168" s="54" t="s">
        <v>34</v>
      </c>
      <c r="F168" s="67" t="s">
        <v>59</v>
      </c>
      <c r="G168" s="67" t="s">
        <v>50</v>
      </c>
      <c r="H168" s="57" t="s">
        <v>37</v>
      </c>
      <c r="I168" s="55" t="s">
        <v>51</v>
      </c>
      <c r="J168" s="57" t="e">
        <f>ROUND(#REF!*2.4,-1)</f>
        <v>#REF!</v>
      </c>
      <c r="K168" s="58"/>
      <c r="L168" s="59">
        <f>1-1+1</f>
        <v>1</v>
      </c>
      <c r="M168" s="60"/>
      <c r="N168" s="61"/>
      <c r="O168" s="61"/>
      <c r="P168" s="62">
        <f>1-1</f>
        <v>0</v>
      </c>
      <c r="Q168" s="62">
        <f t="shared" si="9"/>
        <v>0</v>
      </c>
      <c r="R168" s="62">
        <f t="shared" si="9"/>
        <v>0</v>
      </c>
      <c r="S168" s="62">
        <f t="shared" si="9"/>
        <v>0</v>
      </c>
      <c r="T168" s="62">
        <f>1-1+1</f>
        <v>1</v>
      </c>
      <c r="U168" s="62"/>
      <c r="V168" s="62"/>
      <c r="W168" s="63"/>
      <c r="X168" s="63"/>
      <c r="Z168" s="71"/>
      <c r="AA168" s="54"/>
      <c r="AB168" s="54"/>
      <c r="AC168" s="54"/>
    </row>
    <row r="169" spans="1:29" ht="60" customHeight="1" x14ac:dyDescent="0.2">
      <c r="A169" s="69" t="s">
        <v>307</v>
      </c>
      <c r="B169" s="74"/>
      <c r="C169" s="66" t="s">
        <v>308</v>
      </c>
      <c r="D169" s="57" t="s">
        <v>58</v>
      </c>
      <c r="E169" s="54" t="s">
        <v>34</v>
      </c>
      <c r="F169" s="67" t="s">
        <v>59</v>
      </c>
      <c r="G169" s="67" t="s">
        <v>50</v>
      </c>
      <c r="H169" s="57" t="s">
        <v>60</v>
      </c>
      <c r="I169" s="55" t="s">
        <v>51</v>
      </c>
      <c r="J169" s="57" t="e">
        <f>ROUND(#REF!*2.4,-1)</f>
        <v>#REF!</v>
      </c>
      <c r="K169" s="58"/>
      <c r="L169" s="59">
        <f>5-2+1</f>
        <v>4</v>
      </c>
      <c r="M169" s="60"/>
      <c r="N169" s="61"/>
      <c r="O169" s="61"/>
      <c r="P169" s="62">
        <f>2-2</f>
        <v>0</v>
      </c>
      <c r="Q169" s="62">
        <f>2-2+1</f>
        <v>1</v>
      </c>
      <c r="R169" s="62">
        <f>1-1+1</f>
        <v>1</v>
      </c>
      <c r="S169" s="62">
        <f>2-2+2-1</f>
        <v>1</v>
      </c>
      <c r="T169" s="62">
        <f>1-1+1</f>
        <v>1</v>
      </c>
      <c r="U169" s="62"/>
      <c r="V169" s="62"/>
      <c r="W169" s="63"/>
      <c r="X169" s="63"/>
      <c r="Z169" s="64"/>
      <c r="AA169" s="54"/>
      <c r="AB169" s="54"/>
      <c r="AC169" s="54"/>
    </row>
    <row r="170" spans="1:29" ht="60" customHeight="1" x14ac:dyDescent="0.2">
      <c r="A170" s="69" t="s">
        <v>309</v>
      </c>
      <c r="B170" s="51"/>
      <c r="C170" s="66" t="s">
        <v>310</v>
      </c>
      <c r="D170" s="53" t="s">
        <v>58</v>
      </c>
      <c r="E170" s="54" t="s">
        <v>34</v>
      </c>
      <c r="F170" s="55" t="s">
        <v>59</v>
      </c>
      <c r="G170" s="67" t="s">
        <v>50</v>
      </c>
      <c r="H170" s="57" t="s">
        <v>37</v>
      </c>
      <c r="I170" s="55" t="s">
        <v>51</v>
      </c>
      <c r="J170" s="57" t="e">
        <f>ROUND(#REF!*2.4,-1)</f>
        <v>#REF!</v>
      </c>
      <c r="K170" s="58"/>
      <c r="L170" s="59">
        <f>38-1</f>
        <v>37</v>
      </c>
      <c r="M170" s="60"/>
      <c r="N170" s="61"/>
      <c r="O170" s="61"/>
      <c r="P170" s="62">
        <f>8-2</f>
        <v>6</v>
      </c>
      <c r="Q170" s="62">
        <f>10-3</f>
        <v>7</v>
      </c>
      <c r="R170" s="62">
        <f>8-1</f>
        <v>7</v>
      </c>
      <c r="S170" s="62">
        <f>6-1</f>
        <v>5</v>
      </c>
      <c r="T170" s="62">
        <f>14-3+1</f>
        <v>12</v>
      </c>
      <c r="U170" s="62"/>
      <c r="V170" s="62"/>
      <c r="W170" s="63"/>
      <c r="X170" s="63"/>
      <c r="Z170" s="64"/>
      <c r="AA170" s="54"/>
      <c r="AB170" s="54"/>
      <c r="AC170" s="54"/>
    </row>
    <row r="171" spans="1:29" ht="60" hidden="1" customHeight="1" x14ac:dyDescent="0.2">
      <c r="A171" s="69" t="s">
        <v>311</v>
      </c>
      <c r="B171" s="51"/>
      <c r="C171" s="66" t="s">
        <v>310</v>
      </c>
      <c r="D171" s="53" t="s">
        <v>58</v>
      </c>
      <c r="E171" s="54" t="s">
        <v>34</v>
      </c>
      <c r="F171" s="55" t="s">
        <v>59</v>
      </c>
      <c r="G171" s="67" t="s">
        <v>50</v>
      </c>
      <c r="H171" s="57" t="s">
        <v>37</v>
      </c>
      <c r="I171" s="55" t="s">
        <v>51</v>
      </c>
      <c r="J171" s="57" t="e">
        <f>ROUND(#REF!*2.4,-1)</f>
        <v>#REF!</v>
      </c>
      <c r="K171" s="58"/>
      <c r="L171" s="59">
        <f>1-1</f>
        <v>0</v>
      </c>
      <c r="M171" s="60"/>
      <c r="N171" s="61"/>
      <c r="O171" s="61"/>
      <c r="P171" s="62">
        <f>1-1</f>
        <v>0</v>
      </c>
      <c r="Q171" s="62">
        <f>1-1</f>
        <v>0</v>
      </c>
      <c r="R171" s="62">
        <f>1-1</f>
        <v>0</v>
      </c>
      <c r="S171" s="62">
        <f>1-1</f>
        <v>0</v>
      </c>
      <c r="T171" s="62">
        <f>1-1</f>
        <v>0</v>
      </c>
      <c r="U171" s="62"/>
      <c r="V171" s="62"/>
      <c r="W171" s="63"/>
      <c r="X171" s="63"/>
      <c r="Z171" s="64"/>
      <c r="AA171" s="54">
        <v>3410141</v>
      </c>
      <c r="AB171" s="54">
        <v>435</v>
      </c>
      <c r="AC171" s="54">
        <v>390</v>
      </c>
    </row>
    <row r="172" spans="1:29" ht="60" customHeight="1" x14ac:dyDescent="0.2">
      <c r="A172" s="69" t="s">
        <v>312</v>
      </c>
      <c r="B172" s="70"/>
      <c r="C172" s="66" t="s">
        <v>313</v>
      </c>
      <c r="D172" s="57" t="s">
        <v>58</v>
      </c>
      <c r="E172" s="54" t="s">
        <v>34</v>
      </c>
      <c r="F172" s="67" t="s">
        <v>59</v>
      </c>
      <c r="G172" s="67" t="s">
        <v>50</v>
      </c>
      <c r="H172" s="57" t="s">
        <v>37</v>
      </c>
      <c r="I172" s="55" t="s">
        <v>51</v>
      </c>
      <c r="J172" s="57" t="e">
        <f>ROUND(#REF!*2.4,-1)</f>
        <v>#REF!</v>
      </c>
      <c r="K172" s="58"/>
      <c r="L172" s="59">
        <f>1-1+1</f>
        <v>1</v>
      </c>
      <c r="M172" s="60"/>
      <c r="N172" s="61"/>
      <c r="O172" s="61"/>
      <c r="P172" s="62">
        <f>3-3</f>
        <v>0</v>
      </c>
      <c r="Q172" s="62">
        <f>6-6</f>
        <v>0</v>
      </c>
      <c r="R172" s="62">
        <f>10-10</f>
        <v>0</v>
      </c>
      <c r="S172" s="62">
        <f>1-1</f>
        <v>0</v>
      </c>
      <c r="T172" s="62">
        <f>1-1+1</f>
        <v>1</v>
      </c>
      <c r="U172" s="62"/>
      <c r="V172" s="62"/>
      <c r="W172" s="63"/>
      <c r="X172" s="63"/>
      <c r="Z172" s="64"/>
      <c r="AA172" s="54"/>
      <c r="AB172" s="54"/>
      <c r="AC172" s="54"/>
    </row>
    <row r="173" spans="1:29" ht="60" customHeight="1" x14ac:dyDescent="0.2">
      <c r="A173" s="69" t="s">
        <v>314</v>
      </c>
      <c r="B173" s="70"/>
      <c r="C173" s="66" t="s">
        <v>313</v>
      </c>
      <c r="D173" s="57" t="s">
        <v>58</v>
      </c>
      <c r="E173" s="54" t="s">
        <v>34</v>
      </c>
      <c r="F173" s="67" t="s">
        <v>59</v>
      </c>
      <c r="G173" s="67" t="s">
        <v>50</v>
      </c>
      <c r="H173" s="57" t="s">
        <v>37</v>
      </c>
      <c r="I173" s="55" t="s">
        <v>51</v>
      </c>
      <c r="J173" s="57" t="e">
        <f>ROUND(#REF!*2.4,-1)</f>
        <v>#REF!</v>
      </c>
      <c r="K173" s="58"/>
      <c r="L173" s="59">
        <f>4-1</f>
        <v>3</v>
      </c>
      <c r="M173" s="60"/>
      <c r="N173" s="61"/>
      <c r="O173" s="61"/>
      <c r="P173" s="62">
        <f>3-1</f>
        <v>2</v>
      </c>
      <c r="Q173" s="62">
        <f>1-1+1</f>
        <v>1</v>
      </c>
      <c r="R173" s="62">
        <v>0</v>
      </c>
      <c r="S173" s="62">
        <f>15-15</f>
        <v>0</v>
      </c>
      <c r="T173" s="62">
        <f>1-1</f>
        <v>0</v>
      </c>
      <c r="U173" s="62"/>
      <c r="V173" s="62"/>
      <c r="W173" s="63"/>
      <c r="X173" s="63"/>
      <c r="Z173" s="64"/>
      <c r="AA173" s="54">
        <v>3410540</v>
      </c>
      <c r="AB173" s="54">
        <v>454</v>
      </c>
      <c r="AC173" s="54">
        <v>392</v>
      </c>
    </row>
    <row r="174" spans="1:29" ht="60" customHeight="1" x14ac:dyDescent="0.2">
      <c r="A174" s="69" t="s">
        <v>315</v>
      </c>
      <c r="B174" s="74"/>
      <c r="C174" s="66" t="s">
        <v>316</v>
      </c>
      <c r="D174" s="53" t="s">
        <v>48</v>
      </c>
      <c r="E174" s="54" t="s">
        <v>34</v>
      </c>
      <c r="F174" s="55" t="s">
        <v>49</v>
      </c>
      <c r="G174" s="56" t="s">
        <v>36</v>
      </c>
      <c r="H174" s="57" t="s">
        <v>37</v>
      </c>
      <c r="I174" s="55" t="s">
        <v>51</v>
      </c>
      <c r="J174" s="57" t="e">
        <f>ROUND(#REF!*2.4,-1)</f>
        <v>#REF!</v>
      </c>
      <c r="K174" s="58"/>
      <c r="L174" s="59">
        <f>2-2+2</f>
        <v>2</v>
      </c>
      <c r="M174" s="60"/>
      <c r="N174" s="61"/>
      <c r="O174" s="61"/>
      <c r="P174" s="62"/>
      <c r="Q174" s="62">
        <f>2-2</f>
        <v>0</v>
      </c>
      <c r="R174" s="62">
        <f>1-1+1</f>
        <v>1</v>
      </c>
      <c r="S174" s="62">
        <f>1-1+1</f>
        <v>1</v>
      </c>
      <c r="T174" s="62">
        <f>2-2</f>
        <v>0</v>
      </c>
      <c r="U174" s="62">
        <f>1-1</f>
        <v>0</v>
      </c>
      <c r="V174" s="62">
        <f>1-1</f>
        <v>0</v>
      </c>
      <c r="W174" s="63"/>
      <c r="X174" s="63"/>
      <c r="Z174" s="64"/>
      <c r="AA174" s="54">
        <v>1410136</v>
      </c>
      <c r="AB174" s="54">
        <v>396</v>
      </c>
      <c r="AC174" s="54">
        <v>383</v>
      </c>
    </row>
    <row r="175" spans="1:29" ht="60" hidden="1" customHeight="1" x14ac:dyDescent="0.2">
      <c r="A175" s="69" t="s">
        <v>317</v>
      </c>
      <c r="B175" s="51"/>
      <c r="C175" s="66" t="s">
        <v>316</v>
      </c>
      <c r="D175" s="53" t="s">
        <v>58</v>
      </c>
      <c r="E175" s="54" t="s">
        <v>34</v>
      </c>
      <c r="F175" s="55" t="s">
        <v>59</v>
      </c>
      <c r="G175" s="56" t="s">
        <v>36</v>
      </c>
      <c r="H175" s="57" t="s">
        <v>37</v>
      </c>
      <c r="I175" s="55" t="s">
        <v>51</v>
      </c>
      <c r="J175" s="57" t="e">
        <f>ROUND(#REF!*2.4,-1)</f>
        <v>#REF!</v>
      </c>
      <c r="K175" s="58"/>
      <c r="L175" s="59">
        <f>1-1</f>
        <v>0</v>
      </c>
      <c r="M175" s="60"/>
      <c r="N175" s="61"/>
      <c r="O175" s="61"/>
      <c r="P175" s="62">
        <f t="shared" ref="P175:S176" si="10">1-1</f>
        <v>0</v>
      </c>
      <c r="Q175" s="62">
        <f t="shared" si="10"/>
        <v>0</v>
      </c>
      <c r="R175" s="62">
        <f t="shared" si="10"/>
        <v>0</v>
      </c>
      <c r="S175" s="62">
        <f t="shared" si="10"/>
        <v>0</v>
      </c>
      <c r="T175" s="62">
        <f>3-3</f>
        <v>0</v>
      </c>
      <c r="U175" s="62"/>
      <c r="V175" s="62"/>
      <c r="W175" s="63"/>
      <c r="X175" s="63"/>
      <c r="Z175" s="64"/>
      <c r="AA175" s="54"/>
      <c r="AB175" s="54"/>
      <c r="AC175" s="54">
        <v>406</v>
      </c>
    </row>
    <row r="176" spans="1:29" ht="60" customHeight="1" x14ac:dyDescent="0.2">
      <c r="A176" s="69" t="s">
        <v>318</v>
      </c>
      <c r="B176" s="51"/>
      <c r="C176" s="66" t="s">
        <v>316</v>
      </c>
      <c r="D176" s="53" t="s">
        <v>58</v>
      </c>
      <c r="E176" s="54" t="s">
        <v>34</v>
      </c>
      <c r="F176" s="55" t="s">
        <v>59</v>
      </c>
      <c r="G176" s="56" t="s">
        <v>36</v>
      </c>
      <c r="H176" s="57" t="s">
        <v>37</v>
      </c>
      <c r="I176" s="55" t="s">
        <v>51</v>
      </c>
      <c r="J176" s="57" t="e">
        <f>ROUND(#REF!*2.4,-1)</f>
        <v>#REF!</v>
      </c>
      <c r="K176" s="58"/>
      <c r="L176" s="59">
        <f>1-1+1</f>
        <v>1</v>
      </c>
      <c r="M176" s="60"/>
      <c r="N176" s="61"/>
      <c r="O176" s="61"/>
      <c r="P176" s="62">
        <f t="shared" si="10"/>
        <v>0</v>
      </c>
      <c r="Q176" s="62">
        <f t="shared" si="10"/>
        <v>0</v>
      </c>
      <c r="R176" s="62">
        <f t="shared" si="10"/>
        <v>0</v>
      </c>
      <c r="S176" s="62">
        <f>1-1+1</f>
        <v>1</v>
      </c>
      <c r="T176" s="62">
        <f>1-1</f>
        <v>0</v>
      </c>
      <c r="U176" s="62"/>
      <c r="V176" s="62"/>
      <c r="W176" s="63"/>
      <c r="X176" s="63"/>
      <c r="Z176" s="64"/>
      <c r="AA176" s="54"/>
      <c r="AB176" s="54"/>
      <c r="AC176" s="54"/>
    </row>
    <row r="177" spans="1:29" ht="60" hidden="1" customHeight="1" x14ac:dyDescent="0.2">
      <c r="A177" s="72" t="s">
        <v>319</v>
      </c>
      <c r="B177" s="73"/>
      <c r="C177" s="66" t="s">
        <v>320</v>
      </c>
      <c r="D177" s="57" t="s">
        <v>48</v>
      </c>
      <c r="E177" s="68" t="s">
        <v>34</v>
      </c>
      <c r="F177" s="67" t="s">
        <v>49</v>
      </c>
      <c r="G177" s="56" t="s">
        <v>36</v>
      </c>
      <c r="H177" s="57" t="s">
        <v>128</v>
      </c>
      <c r="I177" s="67" t="s">
        <v>51</v>
      </c>
      <c r="J177" s="57" t="e">
        <f>ROUND(#REF!*2.4,-1)</f>
        <v>#REF!</v>
      </c>
      <c r="K177" s="58"/>
      <c r="L177" s="59">
        <f>5-5</f>
        <v>0</v>
      </c>
      <c r="M177" s="60"/>
      <c r="N177" s="61"/>
      <c r="O177" s="61"/>
      <c r="P177" s="62"/>
      <c r="Q177" s="62">
        <f>3-3</f>
        <v>0</v>
      </c>
      <c r="R177" s="62">
        <f>2-2</f>
        <v>0</v>
      </c>
      <c r="S177" s="62">
        <f>1-1</f>
        <v>0</v>
      </c>
      <c r="T177" s="62">
        <f>1-1</f>
        <v>0</v>
      </c>
      <c r="U177" s="62">
        <f>1-1</f>
        <v>0</v>
      </c>
      <c r="V177" s="62"/>
      <c r="W177" s="63"/>
      <c r="X177" s="63"/>
      <c r="Z177" s="64"/>
      <c r="AA177" s="54"/>
      <c r="AB177" s="54"/>
      <c r="AC177" s="54"/>
    </row>
    <row r="178" spans="1:29" ht="60" hidden="1" customHeight="1" x14ac:dyDescent="0.2">
      <c r="A178" s="69" t="s">
        <v>321</v>
      </c>
      <c r="B178" s="73" t="s">
        <v>82</v>
      </c>
      <c r="C178" s="66" t="s">
        <v>322</v>
      </c>
      <c r="D178" s="57" t="s">
        <v>48</v>
      </c>
      <c r="E178" s="68" t="s">
        <v>34</v>
      </c>
      <c r="F178" s="67" t="s">
        <v>49</v>
      </c>
      <c r="G178" s="56" t="s">
        <v>36</v>
      </c>
      <c r="H178" s="57" t="s">
        <v>84</v>
      </c>
      <c r="I178" s="67" t="s">
        <v>51</v>
      </c>
      <c r="J178" s="57" t="e">
        <f>ROUND(#REF!*2.4,-1)</f>
        <v>#REF!</v>
      </c>
      <c r="K178" s="58"/>
      <c r="L178" s="59">
        <f>1-1</f>
        <v>0</v>
      </c>
      <c r="M178" s="60"/>
      <c r="N178" s="61"/>
      <c r="O178" s="61"/>
      <c r="P178" s="62"/>
      <c r="Q178" s="62">
        <f>1-1</f>
        <v>0</v>
      </c>
      <c r="R178" s="62">
        <f>1-1</f>
        <v>0</v>
      </c>
      <c r="S178" s="62">
        <f>2-2</f>
        <v>0</v>
      </c>
      <c r="T178" s="62">
        <f>1-1</f>
        <v>0</v>
      </c>
      <c r="U178" s="62">
        <f>1-1</f>
        <v>0</v>
      </c>
      <c r="V178" s="62"/>
      <c r="W178" s="63"/>
      <c r="X178" s="63"/>
      <c r="Z178" s="64"/>
      <c r="AA178" s="54"/>
      <c r="AB178" s="54"/>
      <c r="AC178" s="54"/>
    </row>
    <row r="179" spans="1:29" ht="60" customHeight="1" x14ac:dyDescent="0.2">
      <c r="A179" s="69" t="s">
        <v>323</v>
      </c>
      <c r="B179" s="73" t="s">
        <v>82</v>
      </c>
      <c r="C179" s="66" t="s">
        <v>324</v>
      </c>
      <c r="D179" s="57" t="s">
        <v>58</v>
      </c>
      <c r="E179" s="54" t="s">
        <v>34</v>
      </c>
      <c r="F179" s="67" t="s">
        <v>59</v>
      </c>
      <c r="G179" s="56" t="s">
        <v>36</v>
      </c>
      <c r="H179" s="57" t="s">
        <v>37</v>
      </c>
      <c r="I179" s="55" t="s">
        <v>51</v>
      </c>
      <c r="J179" s="57" t="e">
        <f>ROUND(#REF!*2.4,-1)</f>
        <v>#REF!</v>
      </c>
      <c r="K179" s="58"/>
      <c r="L179" s="59">
        <f>7-1</f>
        <v>6</v>
      </c>
      <c r="M179" s="60"/>
      <c r="N179" s="61"/>
      <c r="O179" s="61"/>
      <c r="P179" s="62">
        <f>4-1</f>
        <v>3</v>
      </c>
      <c r="Q179" s="62">
        <f>4-1</f>
        <v>3</v>
      </c>
      <c r="R179" s="62">
        <f>1-1</f>
        <v>0</v>
      </c>
      <c r="S179" s="62">
        <f>1-1</f>
        <v>0</v>
      </c>
      <c r="T179" s="62">
        <f>3-3</f>
        <v>0</v>
      </c>
      <c r="U179" s="62"/>
      <c r="V179" s="62"/>
      <c r="W179" s="63"/>
      <c r="X179" s="63"/>
      <c r="Z179" s="71"/>
      <c r="AA179" s="54"/>
      <c r="AB179" s="54"/>
      <c r="AC179" s="54"/>
    </row>
    <row r="180" spans="1:29" ht="60" customHeight="1" x14ac:dyDescent="0.2">
      <c r="A180" s="69" t="s">
        <v>325</v>
      </c>
      <c r="B180" s="73" t="s">
        <v>82</v>
      </c>
      <c r="C180" s="66" t="s">
        <v>324</v>
      </c>
      <c r="D180" s="57" t="s">
        <v>58</v>
      </c>
      <c r="E180" s="54" t="s">
        <v>34</v>
      </c>
      <c r="F180" s="67" t="s">
        <v>59</v>
      </c>
      <c r="G180" s="56" t="s">
        <v>36</v>
      </c>
      <c r="H180" s="57" t="s">
        <v>37</v>
      </c>
      <c r="I180" s="55" t="s">
        <v>51</v>
      </c>
      <c r="J180" s="57" t="e">
        <f>ROUND(#REF!*2.4,-1)</f>
        <v>#REF!</v>
      </c>
      <c r="K180" s="58"/>
      <c r="L180" s="59">
        <f>66-1</f>
        <v>65</v>
      </c>
      <c r="M180" s="60"/>
      <c r="N180" s="61"/>
      <c r="O180" s="61"/>
      <c r="P180" s="62">
        <f>14-1+1</f>
        <v>14</v>
      </c>
      <c r="Q180" s="62">
        <f>20-1+1</f>
        <v>20</v>
      </c>
      <c r="R180" s="62">
        <f>18-1</f>
        <v>17</v>
      </c>
      <c r="S180" s="62">
        <f>9-1</f>
        <v>8</v>
      </c>
      <c r="T180" s="62">
        <f>6-1+1</f>
        <v>6</v>
      </c>
      <c r="U180" s="62"/>
      <c r="V180" s="62"/>
      <c r="W180" s="63"/>
      <c r="X180" s="63"/>
      <c r="Z180" s="71"/>
      <c r="AA180" s="54"/>
      <c r="AB180" s="54"/>
      <c r="AC180" s="54"/>
    </row>
    <row r="181" spans="1:29" ht="60" customHeight="1" x14ac:dyDescent="0.2">
      <c r="A181" s="69" t="s">
        <v>326</v>
      </c>
      <c r="B181" s="74"/>
      <c r="C181" s="66" t="s">
        <v>327</v>
      </c>
      <c r="D181" s="53" t="s">
        <v>48</v>
      </c>
      <c r="E181" s="54" t="s">
        <v>34</v>
      </c>
      <c r="F181" s="55" t="s">
        <v>49</v>
      </c>
      <c r="G181" s="67" t="s">
        <v>50</v>
      </c>
      <c r="H181" s="57" t="s">
        <v>60</v>
      </c>
      <c r="I181" s="55" t="s">
        <v>51</v>
      </c>
      <c r="J181" s="57" t="e">
        <f>ROUND(#REF!*2.4,-1)</f>
        <v>#REF!</v>
      </c>
      <c r="K181" s="58"/>
      <c r="L181" s="59">
        <f>22-1+1</f>
        <v>22</v>
      </c>
      <c r="M181" s="60"/>
      <c r="N181" s="61"/>
      <c r="O181" s="61"/>
      <c r="P181" s="62"/>
      <c r="Q181" s="62">
        <f t="shared" ref="Q181:S182" si="11">1-1</f>
        <v>0</v>
      </c>
      <c r="R181" s="62">
        <f t="shared" si="11"/>
        <v>0</v>
      </c>
      <c r="S181" s="62">
        <f t="shared" si="11"/>
        <v>0</v>
      </c>
      <c r="T181" s="62">
        <f>12-1</f>
        <v>11</v>
      </c>
      <c r="U181" s="62">
        <f>5-1+1</f>
        <v>5</v>
      </c>
      <c r="V181" s="62">
        <f>7-1</f>
        <v>6</v>
      </c>
      <c r="W181" s="63"/>
      <c r="X181" s="63"/>
      <c r="Z181" s="71"/>
      <c r="AA181" s="54">
        <v>1420640</v>
      </c>
      <c r="AB181" s="54">
        <v>448</v>
      </c>
      <c r="AC181" s="54"/>
    </row>
    <row r="182" spans="1:29" ht="60" customHeight="1" x14ac:dyDescent="0.2">
      <c r="A182" s="69" t="s">
        <v>328</v>
      </c>
      <c r="B182" s="74" t="s">
        <v>329</v>
      </c>
      <c r="C182" s="66" t="s">
        <v>327</v>
      </c>
      <c r="D182" s="57" t="s">
        <v>58</v>
      </c>
      <c r="E182" s="54" t="s">
        <v>34</v>
      </c>
      <c r="F182" s="67" t="s">
        <v>59</v>
      </c>
      <c r="G182" s="67" t="s">
        <v>50</v>
      </c>
      <c r="H182" s="57" t="s">
        <v>60</v>
      </c>
      <c r="I182" s="55" t="s">
        <v>51</v>
      </c>
      <c r="J182" s="57" t="e">
        <f>ROUND(#REF!*2.4,-1)</f>
        <v>#REF!</v>
      </c>
      <c r="K182" s="58"/>
      <c r="L182" s="59">
        <f>12-1+1+1</f>
        <v>13</v>
      </c>
      <c r="M182" s="60"/>
      <c r="N182" s="61"/>
      <c r="O182" s="61"/>
      <c r="P182" s="62">
        <f>2-2</f>
        <v>0</v>
      </c>
      <c r="Q182" s="62">
        <f t="shared" si="11"/>
        <v>0</v>
      </c>
      <c r="R182" s="62">
        <f t="shared" si="11"/>
        <v>0</v>
      </c>
      <c r="S182" s="62">
        <f t="shared" si="11"/>
        <v>0</v>
      </c>
      <c r="T182" s="62">
        <f>12-1+1+1</f>
        <v>13</v>
      </c>
      <c r="U182" s="62"/>
      <c r="V182" s="62"/>
      <c r="W182" s="63"/>
      <c r="X182" s="63"/>
      <c r="Z182" s="64"/>
      <c r="AA182" s="54">
        <v>3520640</v>
      </c>
      <c r="AB182" s="54">
        <v>449</v>
      </c>
      <c r="AC182" s="54"/>
    </row>
    <row r="183" spans="1:29" ht="60" customHeight="1" x14ac:dyDescent="0.2">
      <c r="A183" s="69" t="s">
        <v>330</v>
      </c>
      <c r="B183" s="70"/>
      <c r="C183" s="66" t="s">
        <v>331</v>
      </c>
      <c r="D183" s="53" t="s">
        <v>48</v>
      </c>
      <c r="E183" s="54" t="s">
        <v>34</v>
      </c>
      <c r="F183" s="55" t="s">
        <v>49</v>
      </c>
      <c r="G183" s="67" t="s">
        <v>50</v>
      </c>
      <c r="H183" s="57" t="s">
        <v>60</v>
      </c>
      <c r="I183" s="55" t="s">
        <v>51</v>
      </c>
      <c r="J183" s="57" t="e">
        <f>ROUND(#REF!*2.4,-1)</f>
        <v>#REF!</v>
      </c>
      <c r="K183" s="58"/>
      <c r="L183" s="88">
        <f>15-1</f>
        <v>14</v>
      </c>
      <c r="M183" s="60"/>
      <c r="N183" s="61"/>
      <c r="O183" s="61"/>
      <c r="P183" s="62"/>
      <c r="Q183" s="62">
        <f>2-1+1+1</f>
        <v>3</v>
      </c>
      <c r="R183" s="62">
        <f>4-1</f>
        <v>3</v>
      </c>
      <c r="S183" s="62">
        <f>2-2+2</f>
        <v>2</v>
      </c>
      <c r="T183" s="62">
        <f>1-1+2+1</f>
        <v>3</v>
      </c>
      <c r="U183" s="62">
        <f>1-1+2+1</f>
        <v>3</v>
      </c>
      <c r="V183" s="62">
        <f>1-1+1-1</f>
        <v>0</v>
      </c>
      <c r="W183" s="63"/>
      <c r="X183" s="63"/>
      <c r="Z183" s="64"/>
      <c r="AA183" s="54">
        <v>2820605</v>
      </c>
      <c r="AB183" s="54">
        <v>432</v>
      </c>
      <c r="AC183" s="54"/>
    </row>
    <row r="184" spans="1:29" ht="60" customHeight="1" x14ac:dyDescent="0.2">
      <c r="A184" s="69" t="s">
        <v>332</v>
      </c>
      <c r="B184" s="70"/>
      <c r="C184" s="66" t="s">
        <v>331</v>
      </c>
      <c r="D184" s="53" t="s">
        <v>48</v>
      </c>
      <c r="E184" s="54" t="s">
        <v>34</v>
      </c>
      <c r="F184" s="55" t="s">
        <v>49</v>
      </c>
      <c r="G184" s="67" t="s">
        <v>50</v>
      </c>
      <c r="H184" s="57" t="s">
        <v>60</v>
      </c>
      <c r="I184" s="55" t="s">
        <v>51</v>
      </c>
      <c r="J184" s="57" t="e">
        <f>ROUND(#REF!*2.4,-1)</f>
        <v>#REF!</v>
      </c>
      <c r="K184" s="58"/>
      <c r="L184" s="59">
        <f>16-1</f>
        <v>15</v>
      </c>
      <c r="M184" s="60"/>
      <c r="N184" s="61"/>
      <c r="O184" s="61"/>
      <c r="P184" s="62"/>
      <c r="Q184" s="62">
        <f>2-2+2</f>
        <v>2</v>
      </c>
      <c r="R184" s="62">
        <f>2-2</f>
        <v>0</v>
      </c>
      <c r="S184" s="62">
        <f>1-1+1</f>
        <v>1</v>
      </c>
      <c r="T184" s="62">
        <f>2-1</f>
        <v>1</v>
      </c>
      <c r="U184" s="62">
        <f>2-1-1</f>
        <v>0</v>
      </c>
      <c r="V184" s="62">
        <f>11-5+5</f>
        <v>11</v>
      </c>
      <c r="W184" s="63"/>
      <c r="X184" s="63"/>
      <c r="Z184" s="71"/>
      <c r="AA184" s="54"/>
      <c r="AB184" s="54"/>
      <c r="AC184" s="54"/>
    </row>
    <row r="185" spans="1:29" ht="60" customHeight="1" x14ac:dyDescent="0.2">
      <c r="A185" s="69" t="s">
        <v>333</v>
      </c>
      <c r="B185" s="70"/>
      <c r="C185" s="66" t="s">
        <v>334</v>
      </c>
      <c r="D185" s="53" t="s">
        <v>48</v>
      </c>
      <c r="E185" s="54" t="s">
        <v>34</v>
      </c>
      <c r="F185" s="55" t="s">
        <v>49</v>
      </c>
      <c r="G185" s="67" t="s">
        <v>50</v>
      </c>
      <c r="H185" s="57" t="s">
        <v>60</v>
      </c>
      <c r="I185" s="55" t="s">
        <v>51</v>
      </c>
      <c r="J185" s="57" t="e">
        <f>ROUND(#REF!*2.4,-1)</f>
        <v>#REF!</v>
      </c>
      <c r="K185" s="58"/>
      <c r="L185" s="59">
        <f>37-1+2</f>
        <v>38</v>
      </c>
      <c r="M185" s="60"/>
      <c r="N185" s="61"/>
      <c r="O185" s="61"/>
      <c r="P185" s="62"/>
      <c r="Q185" s="62">
        <f>1-1+1</f>
        <v>1</v>
      </c>
      <c r="R185" s="62">
        <f>1-1+2+1</f>
        <v>3</v>
      </c>
      <c r="S185" s="62">
        <f>1-1</f>
        <v>0</v>
      </c>
      <c r="T185" s="62">
        <f>12-1+1</f>
        <v>12</v>
      </c>
      <c r="U185" s="62">
        <f>13-10+10+2</f>
        <v>15</v>
      </c>
      <c r="V185" s="62">
        <f>6-5+5+1</f>
        <v>7</v>
      </c>
      <c r="W185" s="63"/>
      <c r="X185" s="63"/>
      <c r="Z185" s="71"/>
      <c r="AA185" s="54"/>
      <c r="AB185" s="54"/>
      <c r="AC185" s="54"/>
    </row>
    <row r="186" spans="1:29" ht="60" customHeight="1" x14ac:dyDescent="0.2">
      <c r="A186" s="69" t="s">
        <v>335</v>
      </c>
      <c r="B186" s="74"/>
      <c r="C186" s="66" t="s">
        <v>336</v>
      </c>
      <c r="D186" s="53" t="s">
        <v>48</v>
      </c>
      <c r="E186" s="68" t="s">
        <v>34</v>
      </c>
      <c r="F186" s="55" t="s">
        <v>49</v>
      </c>
      <c r="G186" s="56" t="s">
        <v>36</v>
      </c>
      <c r="H186" s="57" t="s">
        <v>151</v>
      </c>
      <c r="I186" s="55" t="s">
        <v>51</v>
      </c>
      <c r="J186" s="57" t="e">
        <f>ROUND(#REF!*2.4,-1)</f>
        <v>#REF!</v>
      </c>
      <c r="K186" s="58"/>
      <c r="L186" s="59">
        <f>27-1</f>
        <v>26</v>
      </c>
      <c r="M186" s="60"/>
      <c r="N186" s="61"/>
      <c r="O186" s="61"/>
      <c r="P186" s="62"/>
      <c r="Q186" s="62">
        <f>8-1</f>
        <v>7</v>
      </c>
      <c r="R186" s="62">
        <f>3-1+2</f>
        <v>4</v>
      </c>
      <c r="S186" s="62">
        <f>4-1</f>
        <v>3</v>
      </c>
      <c r="T186" s="62">
        <f>5-1</f>
        <v>4</v>
      </c>
      <c r="U186" s="62">
        <f>6-1+2</f>
        <v>7</v>
      </c>
      <c r="V186" s="62">
        <f>3-2</f>
        <v>1</v>
      </c>
      <c r="W186" s="63"/>
      <c r="X186" s="63"/>
      <c r="Z186" s="64"/>
      <c r="AA186" s="54"/>
      <c r="AB186" s="54"/>
      <c r="AC186" s="54"/>
    </row>
    <row r="187" spans="1:29" ht="60" customHeight="1" x14ac:dyDescent="0.2">
      <c r="A187" s="69" t="s">
        <v>337</v>
      </c>
      <c r="B187" s="74"/>
      <c r="C187" s="66" t="s">
        <v>336</v>
      </c>
      <c r="D187" s="53" t="s">
        <v>48</v>
      </c>
      <c r="E187" s="68" t="s">
        <v>34</v>
      </c>
      <c r="F187" s="55" t="s">
        <v>49</v>
      </c>
      <c r="G187" s="56" t="s">
        <v>36</v>
      </c>
      <c r="H187" s="57" t="s">
        <v>147</v>
      </c>
      <c r="I187" s="55" t="s">
        <v>51</v>
      </c>
      <c r="J187" s="57" t="e">
        <f>ROUND(#REF!*2.4,-1)</f>
        <v>#REF!</v>
      </c>
      <c r="K187" s="58"/>
      <c r="L187" s="59">
        <f>50-1</f>
        <v>49</v>
      </c>
      <c r="M187" s="60"/>
      <c r="N187" s="61"/>
      <c r="O187" s="61"/>
      <c r="P187" s="62"/>
      <c r="Q187" s="62">
        <f>8-1+2</f>
        <v>9</v>
      </c>
      <c r="R187" s="62">
        <f>10-2+1</f>
        <v>9</v>
      </c>
      <c r="S187" s="62">
        <f>14-2+1</f>
        <v>13</v>
      </c>
      <c r="T187" s="62">
        <f>10-2+2</f>
        <v>10</v>
      </c>
      <c r="U187" s="62">
        <f>9-1</f>
        <v>8</v>
      </c>
      <c r="V187" s="62">
        <f>1-1</f>
        <v>0</v>
      </c>
      <c r="W187" s="63"/>
      <c r="X187" s="63"/>
      <c r="Z187" s="64"/>
      <c r="AA187" s="54"/>
      <c r="AB187" s="54"/>
      <c r="AC187" s="54"/>
    </row>
    <row r="188" spans="1:29" ht="60" customHeight="1" x14ac:dyDescent="0.2">
      <c r="A188" s="69" t="s">
        <v>338</v>
      </c>
      <c r="B188" s="74"/>
      <c r="C188" s="66" t="s">
        <v>336</v>
      </c>
      <c r="D188" s="57" t="s">
        <v>48</v>
      </c>
      <c r="E188" s="68" t="s">
        <v>34</v>
      </c>
      <c r="F188" s="67" t="s">
        <v>49</v>
      </c>
      <c r="G188" s="56" t="s">
        <v>36</v>
      </c>
      <c r="H188" s="57" t="s">
        <v>84</v>
      </c>
      <c r="I188" s="67" t="s">
        <v>51</v>
      </c>
      <c r="J188" s="57" t="e">
        <f>ROUND(#REF!*2.4,-1)</f>
        <v>#REF!</v>
      </c>
      <c r="K188" s="58"/>
      <c r="L188" s="59">
        <f>39-1+1</f>
        <v>39</v>
      </c>
      <c r="M188" s="60"/>
      <c r="N188" s="61"/>
      <c r="O188" s="61"/>
      <c r="P188" s="62"/>
      <c r="Q188" s="62">
        <f>15-1</f>
        <v>14</v>
      </c>
      <c r="R188" s="62">
        <f>9-2+2</f>
        <v>9</v>
      </c>
      <c r="S188" s="62">
        <f>6-1</f>
        <v>5</v>
      </c>
      <c r="T188" s="62">
        <f>5-1+1</f>
        <v>5</v>
      </c>
      <c r="U188" s="62">
        <f>6-1+1</f>
        <v>6</v>
      </c>
      <c r="V188" s="62"/>
      <c r="W188" s="63"/>
      <c r="X188" s="63"/>
      <c r="Z188" s="64"/>
      <c r="AA188" s="54"/>
      <c r="AB188" s="54"/>
      <c r="AC188" s="54"/>
    </row>
    <row r="189" spans="1:29" ht="60" customHeight="1" x14ac:dyDescent="0.2">
      <c r="A189" s="69" t="s">
        <v>339</v>
      </c>
      <c r="B189" s="74"/>
      <c r="C189" s="66" t="s">
        <v>336</v>
      </c>
      <c r="D189" s="57" t="s">
        <v>58</v>
      </c>
      <c r="E189" s="54" t="s">
        <v>34</v>
      </c>
      <c r="F189" s="67" t="s">
        <v>59</v>
      </c>
      <c r="G189" s="56" t="s">
        <v>36</v>
      </c>
      <c r="H189" s="89" t="s">
        <v>340</v>
      </c>
      <c r="I189" s="67" t="s">
        <v>51</v>
      </c>
      <c r="J189" s="57" t="e">
        <f>ROUND(#REF!*2.4,-1)</f>
        <v>#REF!</v>
      </c>
      <c r="K189" s="58"/>
      <c r="L189" s="59">
        <f>17-1</f>
        <v>16</v>
      </c>
      <c r="M189" s="60"/>
      <c r="N189" s="61"/>
      <c r="O189" s="61"/>
      <c r="P189" s="62">
        <f>5-1</f>
        <v>4</v>
      </c>
      <c r="Q189" s="62">
        <f>7-1</f>
        <v>6</v>
      </c>
      <c r="R189" s="62">
        <f>7-1</f>
        <v>6</v>
      </c>
      <c r="S189" s="62">
        <f>2-2</f>
        <v>0</v>
      </c>
      <c r="T189" s="62">
        <f>1-1</f>
        <v>0</v>
      </c>
      <c r="U189" s="62"/>
      <c r="V189" s="62"/>
      <c r="W189" s="63"/>
      <c r="X189" s="63"/>
      <c r="Z189" s="64"/>
      <c r="AA189" s="54"/>
      <c r="AB189" s="54"/>
      <c r="AC189" s="54"/>
    </row>
    <row r="190" spans="1:29" ht="60" customHeight="1" x14ac:dyDescent="0.2">
      <c r="A190" s="69" t="s">
        <v>341</v>
      </c>
      <c r="B190" s="74"/>
      <c r="C190" s="87" t="s">
        <v>342</v>
      </c>
      <c r="D190" s="53" t="s">
        <v>48</v>
      </c>
      <c r="E190" s="54" t="s">
        <v>34</v>
      </c>
      <c r="F190" s="55" t="s">
        <v>49</v>
      </c>
      <c r="G190" s="56" t="s">
        <v>36</v>
      </c>
      <c r="H190" s="57" t="s">
        <v>60</v>
      </c>
      <c r="I190" s="55" t="s">
        <v>51</v>
      </c>
      <c r="J190" s="57" t="e">
        <f>ROUND(#REF!*2.4,-1)</f>
        <v>#REF!</v>
      </c>
      <c r="K190" s="58"/>
      <c r="L190" s="59">
        <f>5-1</f>
        <v>4</v>
      </c>
      <c r="M190" s="60"/>
      <c r="N190" s="61"/>
      <c r="O190" s="61"/>
      <c r="P190" s="62"/>
      <c r="Q190" s="62">
        <f>4-1</f>
        <v>3</v>
      </c>
      <c r="R190" s="62">
        <f>1-1</f>
        <v>0</v>
      </c>
      <c r="S190" s="62">
        <f>1-1</f>
        <v>0</v>
      </c>
      <c r="T190" s="62">
        <f>1-1</f>
        <v>0</v>
      </c>
      <c r="U190" s="62">
        <f>1-1</f>
        <v>0</v>
      </c>
      <c r="V190" s="62">
        <f>1-1+1</f>
        <v>1</v>
      </c>
      <c r="W190" s="63"/>
      <c r="X190" s="63"/>
      <c r="Z190" s="64"/>
      <c r="AA190" s="54"/>
      <c r="AB190" s="54"/>
      <c r="AC190" s="54"/>
    </row>
    <row r="191" spans="1:29" ht="60" customHeight="1" x14ac:dyDescent="0.2">
      <c r="A191" s="69" t="s">
        <v>343</v>
      </c>
      <c r="B191" s="74"/>
      <c r="C191" s="87" t="s">
        <v>342</v>
      </c>
      <c r="D191" s="53" t="s">
        <v>48</v>
      </c>
      <c r="E191" s="68" t="s">
        <v>34</v>
      </c>
      <c r="F191" s="55" t="s">
        <v>59</v>
      </c>
      <c r="G191" s="56" t="s">
        <v>36</v>
      </c>
      <c r="H191" s="57" t="s">
        <v>344</v>
      </c>
      <c r="I191" s="55" t="s">
        <v>51</v>
      </c>
      <c r="J191" s="57" t="e">
        <f>ROUND(#REF!*2.4,-1)</f>
        <v>#REF!</v>
      </c>
      <c r="K191" s="58"/>
      <c r="L191" s="59">
        <f>4-1</f>
        <v>3</v>
      </c>
      <c r="M191" s="60"/>
      <c r="N191" s="61"/>
      <c r="O191" s="61"/>
      <c r="P191" s="62">
        <f>1-1</f>
        <v>0</v>
      </c>
      <c r="Q191" s="62">
        <f>4-1</f>
        <v>3</v>
      </c>
      <c r="R191" s="62">
        <f>5-5</f>
        <v>0</v>
      </c>
      <c r="S191" s="62">
        <f>2-2</f>
        <v>0</v>
      </c>
      <c r="T191" s="62">
        <f>1-1</f>
        <v>0</v>
      </c>
      <c r="U191" s="62"/>
      <c r="V191" s="62"/>
      <c r="W191" s="63"/>
      <c r="X191" s="63"/>
      <c r="Z191" s="64"/>
      <c r="AA191" s="54"/>
      <c r="AB191" s="54"/>
      <c r="AC191" s="54"/>
    </row>
    <row r="192" spans="1:29" ht="60" hidden="1" customHeight="1" x14ac:dyDescent="0.2">
      <c r="A192" s="69" t="s">
        <v>345</v>
      </c>
      <c r="B192" s="74"/>
      <c r="C192" s="66" t="s">
        <v>346</v>
      </c>
      <c r="D192" s="53" t="s">
        <v>48</v>
      </c>
      <c r="E192" s="54" t="s">
        <v>34</v>
      </c>
      <c r="F192" s="55" t="s">
        <v>49</v>
      </c>
      <c r="G192" s="56" t="s">
        <v>36</v>
      </c>
      <c r="H192" s="57" t="s">
        <v>123</v>
      </c>
      <c r="I192" s="55" t="s">
        <v>51</v>
      </c>
      <c r="J192" s="57" t="e">
        <f>ROUND(#REF!*2.4,-1)</f>
        <v>#REF!</v>
      </c>
      <c r="K192" s="58"/>
      <c r="L192" s="59">
        <f>1-1</f>
        <v>0</v>
      </c>
      <c r="M192" s="60"/>
      <c r="N192" s="61"/>
      <c r="O192" s="61"/>
      <c r="P192" s="62"/>
      <c r="Q192" s="62">
        <f>2-2</f>
        <v>0</v>
      </c>
      <c r="R192" s="62">
        <f>1-1</f>
        <v>0</v>
      </c>
      <c r="S192" s="62">
        <f>1-1</f>
        <v>0</v>
      </c>
      <c r="T192" s="62">
        <f>7-7</f>
        <v>0</v>
      </c>
      <c r="U192" s="62">
        <f>1-1</f>
        <v>0</v>
      </c>
      <c r="V192" s="62">
        <f>2-2</f>
        <v>0</v>
      </c>
      <c r="W192" s="63"/>
      <c r="X192" s="63"/>
      <c r="Z192" s="64"/>
      <c r="AA192" s="54"/>
      <c r="AB192" s="54"/>
      <c r="AC192" s="54"/>
    </row>
    <row r="193" spans="1:29" ht="60" customHeight="1" x14ac:dyDescent="0.2">
      <c r="A193" s="69" t="s">
        <v>347</v>
      </c>
      <c r="B193" s="74"/>
      <c r="C193" s="66" t="s">
        <v>348</v>
      </c>
      <c r="D193" s="53" t="s">
        <v>48</v>
      </c>
      <c r="E193" s="54" t="s">
        <v>34</v>
      </c>
      <c r="F193" s="55" t="s">
        <v>49</v>
      </c>
      <c r="G193" s="67" t="s">
        <v>50</v>
      </c>
      <c r="H193" s="57" t="s">
        <v>123</v>
      </c>
      <c r="I193" s="55" t="s">
        <v>51</v>
      </c>
      <c r="J193" s="57" t="e">
        <f>ROUND(#REF!*2.4,-1)</f>
        <v>#REF!</v>
      </c>
      <c r="K193" s="58"/>
      <c r="L193" s="59">
        <f>10-1+14+9+1</f>
        <v>33</v>
      </c>
      <c r="M193" s="60"/>
      <c r="N193" s="61"/>
      <c r="O193" s="61"/>
      <c r="P193" s="62"/>
      <c r="Q193" s="62">
        <f>6-3+4+2</f>
        <v>9</v>
      </c>
      <c r="R193" s="62">
        <f>1-1+3+2</f>
        <v>5</v>
      </c>
      <c r="S193" s="62">
        <f>6-1+3+1+1</f>
        <v>10</v>
      </c>
      <c r="T193" s="62">
        <f>3-3+4+2</f>
        <v>6</v>
      </c>
      <c r="U193" s="62">
        <f>1-1+2</f>
        <v>2</v>
      </c>
      <c r="V193" s="62">
        <f>2-1</f>
        <v>1</v>
      </c>
      <c r="W193" s="63"/>
      <c r="X193" s="63"/>
      <c r="Z193" s="64"/>
      <c r="AA193" s="54"/>
      <c r="AB193" s="54"/>
      <c r="AC193" s="54"/>
    </row>
    <row r="194" spans="1:29" ht="60" customHeight="1" x14ac:dyDescent="0.2">
      <c r="A194" s="69" t="s">
        <v>349</v>
      </c>
      <c r="B194" s="74"/>
      <c r="C194" s="66" t="s">
        <v>350</v>
      </c>
      <c r="D194" s="53" t="s">
        <v>48</v>
      </c>
      <c r="E194" s="54" t="s">
        <v>34</v>
      </c>
      <c r="F194" s="55" t="s">
        <v>49</v>
      </c>
      <c r="G194" s="56" t="s">
        <v>36</v>
      </c>
      <c r="H194" s="57" t="s">
        <v>37</v>
      </c>
      <c r="I194" s="55" t="s">
        <v>51</v>
      </c>
      <c r="J194" s="57" t="e">
        <f>ROUND(#REF!*2.4,-1)</f>
        <v>#REF!</v>
      </c>
      <c r="K194" s="58"/>
      <c r="L194" s="59">
        <f>3-2+2</f>
        <v>3</v>
      </c>
      <c r="M194" s="60"/>
      <c r="N194" s="61"/>
      <c r="O194" s="61"/>
      <c r="P194" s="62"/>
      <c r="Q194" s="62">
        <f>1-1+1</f>
        <v>1</v>
      </c>
      <c r="R194" s="62">
        <f>1-1+1</f>
        <v>1</v>
      </c>
      <c r="S194" s="62">
        <f>2-2</f>
        <v>0</v>
      </c>
      <c r="T194" s="62">
        <f>1-1+1</f>
        <v>1</v>
      </c>
      <c r="U194" s="62">
        <f>1-1</f>
        <v>0</v>
      </c>
      <c r="V194" s="62"/>
      <c r="W194" s="63"/>
      <c r="X194" s="63"/>
      <c r="Z194" s="64"/>
      <c r="AA194" s="54"/>
      <c r="AB194" s="54"/>
      <c r="AC194" s="54"/>
    </row>
    <row r="195" spans="1:29" ht="60" customHeight="1" x14ac:dyDescent="0.2">
      <c r="A195" s="69" t="s">
        <v>351</v>
      </c>
      <c r="B195" s="74"/>
      <c r="C195" s="66" t="s">
        <v>352</v>
      </c>
      <c r="D195" s="53" t="s">
        <v>48</v>
      </c>
      <c r="E195" s="54" t="s">
        <v>34</v>
      </c>
      <c r="F195" s="55" t="s">
        <v>49</v>
      </c>
      <c r="G195" s="56" t="s">
        <v>36</v>
      </c>
      <c r="H195" s="57" t="s">
        <v>37</v>
      </c>
      <c r="I195" s="55" t="s">
        <v>51</v>
      </c>
      <c r="J195" s="57" t="e">
        <f>ROUND(#REF!*2.4,-1)</f>
        <v>#REF!</v>
      </c>
      <c r="K195" s="58"/>
      <c r="L195" s="59">
        <f>19-1</f>
        <v>18</v>
      </c>
      <c r="M195" s="60"/>
      <c r="N195" s="61"/>
      <c r="O195" s="61"/>
      <c r="P195" s="62"/>
      <c r="Q195" s="62">
        <f>16-1-1</f>
        <v>14</v>
      </c>
      <c r="R195" s="62">
        <f>4-1</f>
        <v>3</v>
      </c>
      <c r="S195" s="62">
        <f>2-1</f>
        <v>1</v>
      </c>
      <c r="T195" s="62">
        <f>1-1</f>
        <v>0</v>
      </c>
      <c r="U195" s="62">
        <f>2-2</f>
        <v>0</v>
      </c>
      <c r="V195" s="62">
        <f>1-1</f>
        <v>0</v>
      </c>
      <c r="W195" s="63"/>
      <c r="X195" s="63"/>
      <c r="Z195" s="64"/>
      <c r="AA195" s="54"/>
      <c r="AB195" s="54"/>
      <c r="AC195" s="54"/>
    </row>
    <row r="196" spans="1:29" ht="60" customHeight="1" x14ac:dyDescent="0.2">
      <c r="A196" s="72" t="s">
        <v>353</v>
      </c>
      <c r="B196" s="74"/>
      <c r="C196" s="66" t="s">
        <v>354</v>
      </c>
      <c r="D196" s="53" t="s">
        <v>48</v>
      </c>
      <c r="E196" s="54" t="s">
        <v>34</v>
      </c>
      <c r="F196" s="55" t="s">
        <v>49</v>
      </c>
      <c r="G196" s="56" t="s">
        <v>36</v>
      </c>
      <c r="H196" s="57" t="s">
        <v>37</v>
      </c>
      <c r="I196" s="55" t="s">
        <v>51</v>
      </c>
      <c r="J196" s="57" t="e">
        <f>ROUND(#REF!*2.4,-1)</f>
        <v>#REF!</v>
      </c>
      <c r="K196" s="58"/>
      <c r="L196" s="59">
        <f>21-1</f>
        <v>20</v>
      </c>
      <c r="M196" s="75"/>
      <c r="N196" s="76"/>
      <c r="O196" s="76"/>
      <c r="P196" s="77"/>
      <c r="Q196" s="77">
        <f>6-1</f>
        <v>5</v>
      </c>
      <c r="R196" s="77">
        <f>8-1</f>
        <v>7</v>
      </c>
      <c r="S196" s="77">
        <f>1-1+2+1</f>
        <v>3</v>
      </c>
      <c r="T196" s="77">
        <f>2-1</f>
        <v>1</v>
      </c>
      <c r="U196" s="77">
        <f>4-1</f>
        <v>3</v>
      </c>
      <c r="V196" s="77">
        <f>2-1</f>
        <v>1</v>
      </c>
      <c r="W196" s="63"/>
      <c r="X196" s="63"/>
      <c r="Z196" s="71"/>
      <c r="AA196" s="54"/>
      <c r="AB196" s="54"/>
      <c r="AC196" s="54"/>
    </row>
    <row r="197" spans="1:29" ht="60" customHeight="1" x14ac:dyDescent="0.2">
      <c r="A197" s="69" t="s">
        <v>355</v>
      </c>
      <c r="B197" s="70"/>
      <c r="C197" s="66" t="s">
        <v>356</v>
      </c>
      <c r="D197" s="53" t="s">
        <v>48</v>
      </c>
      <c r="E197" s="54" t="s">
        <v>34</v>
      </c>
      <c r="F197" s="55" t="s">
        <v>49</v>
      </c>
      <c r="G197" s="56" t="s">
        <v>36</v>
      </c>
      <c r="H197" s="57" t="s">
        <v>60</v>
      </c>
      <c r="I197" s="55" t="s">
        <v>51</v>
      </c>
      <c r="J197" s="57" t="e">
        <f>ROUND(#REF!*2.4,-1)</f>
        <v>#REF!</v>
      </c>
      <c r="K197" s="58"/>
      <c r="L197" s="59">
        <f>8-1+2</f>
        <v>9</v>
      </c>
      <c r="M197" s="60"/>
      <c r="N197" s="61"/>
      <c r="O197" s="61"/>
      <c r="P197" s="62"/>
      <c r="Q197" s="62">
        <f>2-2</f>
        <v>0</v>
      </c>
      <c r="R197" s="62">
        <f>9-1-1+1</f>
        <v>8</v>
      </c>
      <c r="S197" s="62">
        <f>1-1+1</f>
        <v>1</v>
      </c>
      <c r="T197" s="62">
        <f>1-1</f>
        <v>0</v>
      </c>
      <c r="U197" s="62">
        <f>1-1</f>
        <v>0</v>
      </c>
      <c r="V197" s="62">
        <f>1-1</f>
        <v>0</v>
      </c>
      <c r="W197" s="63"/>
      <c r="X197" s="63"/>
      <c r="Z197" s="64"/>
      <c r="AA197" s="54"/>
      <c r="AB197" s="54"/>
      <c r="AC197" s="54"/>
    </row>
    <row r="198" spans="1:29" ht="60" hidden="1" customHeight="1" x14ac:dyDescent="0.2">
      <c r="A198" s="69" t="s">
        <v>357</v>
      </c>
      <c r="B198" s="70"/>
      <c r="C198" s="66" t="s">
        <v>358</v>
      </c>
      <c r="D198" s="53" t="s">
        <v>48</v>
      </c>
      <c r="E198" s="54" t="s">
        <v>34</v>
      </c>
      <c r="F198" s="55" t="s">
        <v>49</v>
      </c>
      <c r="G198" s="56" t="s">
        <v>36</v>
      </c>
      <c r="H198" s="57" t="s">
        <v>60</v>
      </c>
      <c r="I198" s="55" t="s">
        <v>51</v>
      </c>
      <c r="J198" s="57" t="e">
        <f>ROUND(#REF!*2.4,-1)</f>
        <v>#REF!</v>
      </c>
      <c r="K198" s="58"/>
      <c r="L198" s="59">
        <f>1-1</f>
        <v>0</v>
      </c>
      <c r="M198" s="60"/>
      <c r="N198" s="61"/>
      <c r="O198" s="61"/>
      <c r="P198" s="62"/>
      <c r="Q198" s="62">
        <f>1-1</f>
        <v>0</v>
      </c>
      <c r="R198" s="62">
        <f>1-1</f>
        <v>0</v>
      </c>
      <c r="S198" s="62">
        <f>1-1</f>
        <v>0</v>
      </c>
      <c r="T198" s="62">
        <f>1-1</f>
        <v>0</v>
      </c>
      <c r="U198" s="62">
        <f>4-4</f>
        <v>0</v>
      </c>
      <c r="V198" s="62">
        <f>1-1</f>
        <v>0</v>
      </c>
      <c r="W198" s="63"/>
      <c r="X198" s="63"/>
      <c r="Z198" s="64"/>
      <c r="AA198" s="54"/>
      <c r="AB198" s="54"/>
      <c r="AC198" s="54"/>
    </row>
    <row r="199" spans="1:29" ht="60" customHeight="1" x14ac:dyDescent="0.2">
      <c r="A199" s="69" t="s">
        <v>359</v>
      </c>
      <c r="B199" s="70"/>
      <c r="C199" s="87" t="s">
        <v>360</v>
      </c>
      <c r="D199" s="53" t="s">
        <v>48</v>
      </c>
      <c r="E199" s="54" t="s">
        <v>34</v>
      </c>
      <c r="F199" s="55" t="s">
        <v>49</v>
      </c>
      <c r="G199" s="56" t="s">
        <v>36</v>
      </c>
      <c r="H199" s="57" t="s">
        <v>60</v>
      </c>
      <c r="I199" s="55" t="s">
        <v>51</v>
      </c>
      <c r="J199" s="57" t="e">
        <f>ROUND(#REF!*2.4,-1)</f>
        <v>#REF!</v>
      </c>
      <c r="K199" s="58"/>
      <c r="L199" s="59">
        <f>11-1</f>
        <v>10</v>
      </c>
      <c r="M199" s="60"/>
      <c r="N199" s="61"/>
      <c r="O199" s="61"/>
      <c r="P199" s="62"/>
      <c r="Q199" s="62">
        <f>1-1+1</f>
        <v>1</v>
      </c>
      <c r="R199" s="62">
        <f>1-1</f>
        <v>0</v>
      </c>
      <c r="S199" s="62"/>
      <c r="T199" s="62">
        <f>3-1+3</f>
        <v>5</v>
      </c>
      <c r="U199" s="62">
        <f>3-1</f>
        <v>2</v>
      </c>
      <c r="V199" s="62">
        <f>3-1-1+1</f>
        <v>2</v>
      </c>
      <c r="W199" s="63"/>
      <c r="X199" s="63"/>
      <c r="Z199" s="64"/>
      <c r="AA199" s="54"/>
      <c r="AB199" s="54"/>
      <c r="AC199" s="54"/>
    </row>
    <row r="200" spans="1:29" ht="60" customHeight="1" x14ac:dyDescent="0.2">
      <c r="A200" s="69" t="s">
        <v>361</v>
      </c>
      <c r="B200" s="70"/>
      <c r="C200" s="66" t="s">
        <v>362</v>
      </c>
      <c r="D200" s="53" t="s">
        <v>48</v>
      </c>
      <c r="E200" s="54" t="s">
        <v>34</v>
      </c>
      <c r="F200" s="55" t="s">
        <v>49</v>
      </c>
      <c r="G200" s="56" t="s">
        <v>36</v>
      </c>
      <c r="H200" s="57" t="s">
        <v>60</v>
      </c>
      <c r="I200" s="55" t="s">
        <v>51</v>
      </c>
      <c r="J200" s="57" t="e">
        <f>ROUND(#REF!*2.4,-1)</f>
        <v>#REF!</v>
      </c>
      <c r="K200" s="58"/>
      <c r="L200" s="59">
        <f>16-3+1</f>
        <v>14</v>
      </c>
      <c r="M200" s="60"/>
      <c r="N200" s="61"/>
      <c r="O200" s="61"/>
      <c r="P200" s="62"/>
      <c r="Q200" s="62">
        <f>3-2+2</f>
        <v>3</v>
      </c>
      <c r="R200" s="62">
        <f>1-1+1</f>
        <v>1</v>
      </c>
      <c r="S200" s="62">
        <f>2-2+2</f>
        <v>2</v>
      </c>
      <c r="T200" s="62">
        <f>1-1+1</f>
        <v>1</v>
      </c>
      <c r="U200" s="62">
        <f>6-1</f>
        <v>5</v>
      </c>
      <c r="V200" s="62">
        <f>3-2+1</f>
        <v>2</v>
      </c>
      <c r="W200" s="63"/>
      <c r="X200" s="63"/>
      <c r="Z200" s="64"/>
      <c r="AA200" s="54">
        <v>1420578</v>
      </c>
      <c r="AB200" s="54">
        <v>406</v>
      </c>
      <c r="AC200" s="54"/>
    </row>
    <row r="201" spans="1:29" ht="60" customHeight="1" x14ac:dyDescent="0.2">
      <c r="A201" s="69" t="s">
        <v>363</v>
      </c>
      <c r="B201" s="51"/>
      <c r="C201" s="66" t="s">
        <v>362</v>
      </c>
      <c r="D201" s="53" t="s">
        <v>48</v>
      </c>
      <c r="E201" s="54" t="s">
        <v>34</v>
      </c>
      <c r="F201" s="55" t="s">
        <v>121</v>
      </c>
      <c r="G201" s="56" t="s">
        <v>36</v>
      </c>
      <c r="H201" s="57" t="s">
        <v>60</v>
      </c>
      <c r="I201" s="55" t="s">
        <v>51</v>
      </c>
      <c r="J201" s="57" t="e">
        <f>ROUND(#REF!*2.4,-1)</f>
        <v>#REF!</v>
      </c>
      <c r="K201" s="58"/>
      <c r="L201" s="59">
        <f>8-1</f>
        <v>7</v>
      </c>
      <c r="M201" s="60"/>
      <c r="N201" s="61"/>
      <c r="O201" s="61"/>
      <c r="P201" s="77"/>
      <c r="Q201" s="77">
        <f>2-1</f>
        <v>1</v>
      </c>
      <c r="R201" s="77">
        <f>1-1</f>
        <v>0</v>
      </c>
      <c r="S201" s="77">
        <f>5-1</f>
        <v>4</v>
      </c>
      <c r="T201" s="77">
        <f>3-2</f>
        <v>1</v>
      </c>
      <c r="U201" s="77">
        <f>1-1</f>
        <v>0</v>
      </c>
      <c r="V201" s="62">
        <f>2-1</f>
        <v>1</v>
      </c>
      <c r="W201" s="63"/>
      <c r="X201" s="63"/>
      <c r="Z201" s="64"/>
      <c r="AA201" s="54"/>
      <c r="AB201" s="54"/>
      <c r="AC201" s="54"/>
    </row>
    <row r="202" spans="1:29" ht="60" customHeight="1" x14ac:dyDescent="0.2">
      <c r="A202" s="69" t="s">
        <v>364</v>
      </c>
      <c r="B202" s="74"/>
      <c r="C202" s="66" t="s">
        <v>365</v>
      </c>
      <c r="D202" s="53" t="s">
        <v>48</v>
      </c>
      <c r="E202" s="54" t="s">
        <v>34</v>
      </c>
      <c r="F202" s="55" t="s">
        <v>49</v>
      </c>
      <c r="G202" s="56" t="s">
        <v>36</v>
      </c>
      <c r="H202" s="57" t="s">
        <v>60</v>
      </c>
      <c r="I202" s="55" t="s">
        <v>51</v>
      </c>
      <c r="J202" s="57" t="e">
        <f>ROUND(#REF!*2.4,-1)</f>
        <v>#REF!</v>
      </c>
      <c r="K202" s="58"/>
      <c r="L202" s="59">
        <f>14-1</f>
        <v>13</v>
      </c>
      <c r="M202" s="60"/>
      <c r="N202" s="61"/>
      <c r="O202" s="61"/>
      <c r="P202" s="62"/>
      <c r="Q202" s="62">
        <f>2-1</f>
        <v>1</v>
      </c>
      <c r="R202" s="62">
        <f>1-1</f>
        <v>0</v>
      </c>
      <c r="S202" s="62">
        <f>1-1</f>
        <v>0</v>
      </c>
      <c r="T202" s="62">
        <f>1-1</f>
        <v>0</v>
      </c>
      <c r="U202" s="62">
        <f>1-1</f>
        <v>0</v>
      </c>
      <c r="V202" s="62">
        <f>14-2</f>
        <v>12</v>
      </c>
      <c r="W202" s="63"/>
      <c r="X202" s="63"/>
      <c r="Z202" s="64"/>
      <c r="AA202" s="54"/>
      <c r="AB202" s="54"/>
      <c r="AC202" s="54"/>
    </row>
    <row r="203" spans="1:29" ht="60" hidden="1" customHeight="1" x14ac:dyDescent="0.2">
      <c r="A203" s="72" t="s">
        <v>366</v>
      </c>
      <c r="B203" s="74"/>
      <c r="C203" s="66" t="s">
        <v>367</v>
      </c>
      <c r="D203" s="53" t="s">
        <v>48</v>
      </c>
      <c r="E203" s="54" t="s">
        <v>34</v>
      </c>
      <c r="F203" s="55" t="s">
        <v>49</v>
      </c>
      <c r="G203" s="56" t="s">
        <v>36</v>
      </c>
      <c r="H203" s="57" t="s">
        <v>60</v>
      </c>
      <c r="I203" s="55" t="s">
        <v>51</v>
      </c>
      <c r="J203" s="57" t="e">
        <f>ROUND(#REF!*2.4,-1)</f>
        <v>#REF!</v>
      </c>
      <c r="K203" s="58"/>
      <c r="L203" s="59">
        <f>5-5</f>
        <v>0</v>
      </c>
      <c r="M203" s="60"/>
      <c r="N203" s="61"/>
      <c r="O203" s="61"/>
      <c r="P203" s="62"/>
      <c r="Q203" s="62">
        <f>1-1</f>
        <v>0</v>
      </c>
      <c r="R203" s="62">
        <f>1-1</f>
        <v>0</v>
      </c>
      <c r="S203" s="62">
        <f>1-1</f>
        <v>0</v>
      </c>
      <c r="T203" s="62">
        <f>3-3</f>
        <v>0</v>
      </c>
      <c r="U203" s="62">
        <f>2-2</f>
        <v>0</v>
      </c>
      <c r="V203" s="62"/>
      <c r="W203" s="63"/>
      <c r="X203" s="63"/>
      <c r="Z203" s="64"/>
      <c r="AA203" s="54"/>
      <c r="AB203" s="54"/>
      <c r="AC203" s="54"/>
    </row>
    <row r="204" spans="1:29" ht="60" customHeight="1" x14ac:dyDescent="0.2">
      <c r="A204" s="72" t="s">
        <v>368</v>
      </c>
      <c r="B204" s="74"/>
      <c r="C204" s="66" t="s">
        <v>367</v>
      </c>
      <c r="D204" s="53" t="s">
        <v>48</v>
      </c>
      <c r="E204" s="54" t="s">
        <v>34</v>
      </c>
      <c r="F204" s="55" t="s">
        <v>49</v>
      </c>
      <c r="G204" s="56" t="s">
        <v>36</v>
      </c>
      <c r="H204" s="57" t="s">
        <v>84</v>
      </c>
      <c r="I204" s="55" t="s">
        <v>51</v>
      </c>
      <c r="J204" s="57" t="e">
        <f>ROUND(#REF!*2.4,-1)</f>
        <v>#REF!</v>
      </c>
      <c r="K204" s="58"/>
      <c r="L204" s="59">
        <f>3-1</f>
        <v>2</v>
      </c>
      <c r="M204" s="60"/>
      <c r="N204" s="61"/>
      <c r="O204" s="61"/>
      <c r="P204" s="62"/>
      <c r="Q204" s="62">
        <f>3-2</f>
        <v>1</v>
      </c>
      <c r="R204" s="62">
        <f>7-7</f>
        <v>0</v>
      </c>
      <c r="S204" s="62">
        <f>2-1</f>
        <v>1</v>
      </c>
      <c r="T204" s="62">
        <f>1-1</f>
        <v>0</v>
      </c>
      <c r="U204" s="62">
        <f>1-1</f>
        <v>0</v>
      </c>
      <c r="V204" s="62">
        <f>1-1</f>
        <v>0</v>
      </c>
      <c r="W204" s="63"/>
      <c r="X204" s="63"/>
      <c r="Z204" s="64"/>
      <c r="AA204" s="54"/>
      <c r="AB204" s="54"/>
      <c r="AC204" s="54"/>
    </row>
    <row r="205" spans="1:29" ht="60" customHeight="1" x14ac:dyDescent="0.2">
      <c r="A205" s="72" t="s">
        <v>369</v>
      </c>
      <c r="B205" s="74"/>
      <c r="C205" s="66" t="s">
        <v>367</v>
      </c>
      <c r="D205" s="53" t="s">
        <v>58</v>
      </c>
      <c r="E205" s="54" t="s">
        <v>34</v>
      </c>
      <c r="F205" s="55" t="s">
        <v>370</v>
      </c>
      <c r="G205" s="56" t="s">
        <v>36</v>
      </c>
      <c r="H205" s="57" t="s">
        <v>103</v>
      </c>
      <c r="I205" s="55" t="s">
        <v>51</v>
      </c>
      <c r="J205" s="57" t="e">
        <f>ROUND(#REF!*2.4,-1)</f>
        <v>#REF!</v>
      </c>
      <c r="K205" s="58"/>
      <c r="L205" s="59">
        <f>1-1+1</f>
        <v>1</v>
      </c>
      <c r="M205" s="60"/>
      <c r="N205" s="61"/>
      <c r="O205" s="61"/>
      <c r="P205" s="62">
        <f>3-3</f>
        <v>0</v>
      </c>
      <c r="Q205" s="62">
        <f>3-3</f>
        <v>0</v>
      </c>
      <c r="R205" s="62">
        <f>4-4</f>
        <v>0</v>
      </c>
      <c r="S205" s="62">
        <f>2-2</f>
        <v>0</v>
      </c>
      <c r="T205" s="62">
        <f>1-1+1</f>
        <v>1</v>
      </c>
      <c r="U205" s="62"/>
      <c r="V205" s="62"/>
      <c r="W205" s="63"/>
      <c r="X205" s="63"/>
      <c r="Z205" s="64"/>
      <c r="AC205" s="54"/>
    </row>
    <row r="206" spans="1:29" ht="60" customHeight="1" x14ac:dyDescent="0.2">
      <c r="A206" s="69" t="s">
        <v>371</v>
      </c>
      <c r="B206" s="74"/>
      <c r="C206" s="66" t="s">
        <v>372</v>
      </c>
      <c r="D206" s="53" t="s">
        <v>48</v>
      </c>
      <c r="E206" s="54" t="s">
        <v>34</v>
      </c>
      <c r="F206" s="55" t="s">
        <v>49</v>
      </c>
      <c r="G206" s="67" t="s">
        <v>50</v>
      </c>
      <c r="H206" s="57" t="s">
        <v>123</v>
      </c>
      <c r="I206" s="55" t="s">
        <v>51</v>
      </c>
      <c r="J206" s="57" t="e">
        <f>ROUND(#REF!*2.4,-1)</f>
        <v>#REF!</v>
      </c>
      <c r="K206" s="58"/>
      <c r="L206" s="59">
        <f>57-1+15+10</f>
        <v>81</v>
      </c>
      <c r="M206" s="60"/>
      <c r="N206" s="61"/>
      <c r="O206" s="61"/>
      <c r="P206" s="62"/>
      <c r="Q206" s="62">
        <f>15-1+3+2</f>
        <v>19</v>
      </c>
      <c r="R206" s="62">
        <f>11-2+3+2</f>
        <v>14</v>
      </c>
      <c r="S206" s="62">
        <f>8-1+3+2</f>
        <v>12</v>
      </c>
      <c r="T206" s="62">
        <f>11-1+3+2</f>
        <v>15</v>
      </c>
      <c r="U206" s="62">
        <f>18-2+3+2</f>
        <v>21</v>
      </c>
      <c r="V206" s="62">
        <f>1-1</f>
        <v>0</v>
      </c>
      <c r="W206" s="63"/>
      <c r="X206" s="63"/>
      <c r="Z206" s="64"/>
      <c r="AA206" s="54"/>
      <c r="AB206" s="54"/>
      <c r="AC206" s="54"/>
    </row>
    <row r="207" spans="1:29" ht="60" customHeight="1" x14ac:dyDescent="0.2">
      <c r="A207" s="69" t="s">
        <v>373</v>
      </c>
      <c r="B207" s="74"/>
      <c r="C207" s="66" t="s">
        <v>374</v>
      </c>
      <c r="D207" s="53" t="s">
        <v>48</v>
      </c>
      <c r="E207" s="68" t="s">
        <v>34</v>
      </c>
      <c r="F207" s="55" t="s">
        <v>49</v>
      </c>
      <c r="G207" s="56" t="s">
        <v>36</v>
      </c>
      <c r="H207" s="57" t="s">
        <v>375</v>
      </c>
      <c r="I207" s="55" t="s">
        <v>51</v>
      </c>
      <c r="J207" s="57" t="e">
        <f>ROUND(#REF!*2.4,-1)</f>
        <v>#REF!</v>
      </c>
      <c r="K207" s="58"/>
      <c r="L207" s="59">
        <f>2-2+2</f>
        <v>2</v>
      </c>
      <c r="M207" s="60"/>
      <c r="N207" s="61"/>
      <c r="O207" s="61"/>
      <c r="P207" s="62"/>
      <c r="Q207" s="62">
        <f>1-1+1</f>
        <v>1</v>
      </c>
      <c r="R207" s="62">
        <f>1-1</f>
        <v>0</v>
      </c>
      <c r="S207" s="62">
        <f>1-1+1</f>
        <v>1</v>
      </c>
      <c r="T207" s="62">
        <f>1-1</f>
        <v>0</v>
      </c>
      <c r="U207" s="62">
        <f>1-1</f>
        <v>0</v>
      </c>
      <c r="V207" s="62"/>
      <c r="W207" s="63"/>
      <c r="X207" s="63"/>
      <c r="Z207" s="64"/>
      <c r="AA207" s="54"/>
      <c r="AB207" s="54"/>
      <c r="AC207" s="54"/>
    </row>
    <row r="208" spans="1:29" ht="60" customHeight="1" x14ac:dyDescent="0.2">
      <c r="A208" s="69" t="s">
        <v>376</v>
      </c>
      <c r="B208" s="74"/>
      <c r="C208" s="66" t="s">
        <v>377</v>
      </c>
      <c r="D208" s="53" t="s">
        <v>48</v>
      </c>
      <c r="E208" s="54" t="s">
        <v>34</v>
      </c>
      <c r="F208" s="55" t="s">
        <v>49</v>
      </c>
      <c r="G208" s="67" t="s">
        <v>50</v>
      </c>
      <c r="H208" s="57" t="s">
        <v>378</v>
      </c>
      <c r="I208" s="55" t="s">
        <v>51</v>
      </c>
      <c r="J208" s="57" t="e">
        <f>ROUND(#REF!*2.4,-1)</f>
        <v>#REF!</v>
      </c>
      <c r="K208" s="58"/>
      <c r="L208" s="59">
        <f>38-1</f>
        <v>37</v>
      </c>
      <c r="M208" s="60"/>
      <c r="N208" s="61"/>
      <c r="O208" s="61"/>
      <c r="P208" s="62"/>
      <c r="Q208" s="62">
        <f>18-2+1+2</f>
        <v>19</v>
      </c>
      <c r="R208" s="62">
        <f>10-1</f>
        <v>9</v>
      </c>
      <c r="S208" s="62">
        <f>1-1+1+2</f>
        <v>3</v>
      </c>
      <c r="T208" s="62">
        <f>4-2+2+2</f>
        <v>6</v>
      </c>
      <c r="U208" s="62">
        <f>1-1</f>
        <v>0</v>
      </c>
      <c r="V208" s="62">
        <f>1-1</f>
        <v>0</v>
      </c>
      <c r="W208" s="63"/>
      <c r="X208" s="63"/>
      <c r="Z208" s="64"/>
      <c r="AA208" s="54"/>
      <c r="AB208" s="54"/>
      <c r="AC208" s="54"/>
    </row>
    <row r="209" spans="1:29" ht="60" customHeight="1" x14ac:dyDescent="0.2">
      <c r="A209" s="72" t="s">
        <v>379</v>
      </c>
      <c r="B209" s="74"/>
      <c r="C209" s="66" t="s">
        <v>377</v>
      </c>
      <c r="D209" s="53" t="s">
        <v>58</v>
      </c>
      <c r="E209" s="54" t="s">
        <v>34</v>
      </c>
      <c r="F209" s="55" t="s">
        <v>370</v>
      </c>
      <c r="G209" s="56" t="s">
        <v>36</v>
      </c>
      <c r="H209" s="57" t="s">
        <v>378</v>
      </c>
      <c r="I209" s="55" t="s">
        <v>51</v>
      </c>
      <c r="J209" s="57" t="e">
        <f>ROUND(#REF!*2.4,-1)</f>
        <v>#REF!</v>
      </c>
      <c r="K209" s="58"/>
      <c r="L209" s="59">
        <f>1-1+1</f>
        <v>1</v>
      </c>
      <c r="M209" s="60"/>
      <c r="N209" s="61"/>
      <c r="O209" s="61"/>
      <c r="P209" s="62">
        <f>1-1</f>
        <v>0</v>
      </c>
      <c r="Q209" s="62">
        <f>1-1</f>
        <v>0</v>
      </c>
      <c r="R209" s="62">
        <f>1-1+1</f>
        <v>1</v>
      </c>
      <c r="S209" s="62">
        <f t="shared" ref="R209:U210" si="12">1-1</f>
        <v>0</v>
      </c>
      <c r="T209" s="62">
        <f t="shared" si="12"/>
        <v>0</v>
      </c>
      <c r="U209" s="62"/>
      <c r="V209" s="62"/>
      <c r="W209" s="63"/>
      <c r="X209" s="63"/>
      <c r="Z209" s="64"/>
      <c r="AA209" s="54">
        <v>4590938</v>
      </c>
      <c r="AB209" s="54">
        <v>371</v>
      </c>
      <c r="AC209" s="54"/>
    </row>
    <row r="210" spans="1:29" ht="60" hidden="1" customHeight="1" x14ac:dyDescent="0.2">
      <c r="A210" s="69" t="s">
        <v>380</v>
      </c>
      <c r="B210" s="74"/>
      <c r="C210" s="66" t="s">
        <v>381</v>
      </c>
      <c r="D210" s="53" t="s">
        <v>58</v>
      </c>
      <c r="E210" s="54" t="s">
        <v>34</v>
      </c>
      <c r="F210" s="55" t="s">
        <v>382</v>
      </c>
      <c r="G210" s="56" t="s">
        <v>36</v>
      </c>
      <c r="H210" s="57" t="s">
        <v>60</v>
      </c>
      <c r="I210" s="55" t="s">
        <v>51</v>
      </c>
      <c r="J210" s="57" t="e">
        <f>ROUND(#REF!*2.4,-1)</f>
        <v>#REF!</v>
      </c>
      <c r="K210" s="58"/>
      <c r="L210" s="59">
        <f>1-1</f>
        <v>0</v>
      </c>
      <c r="M210" s="60"/>
      <c r="N210" s="61"/>
      <c r="O210" s="61"/>
      <c r="P210" s="62">
        <f>1-1</f>
        <v>0</v>
      </c>
      <c r="Q210" s="62">
        <f>4-4</f>
        <v>0</v>
      </c>
      <c r="R210" s="62">
        <f t="shared" si="12"/>
        <v>0</v>
      </c>
      <c r="S210" s="62">
        <f t="shared" si="12"/>
        <v>0</v>
      </c>
      <c r="T210" s="62">
        <f>1-1</f>
        <v>0</v>
      </c>
      <c r="U210" s="62"/>
      <c r="V210" s="62"/>
      <c r="W210" s="63"/>
      <c r="X210" s="63"/>
      <c r="Z210" s="64"/>
      <c r="AA210" s="54">
        <v>3840536</v>
      </c>
      <c r="AB210" s="54">
        <v>368</v>
      </c>
      <c r="AC210" s="54"/>
    </row>
    <row r="211" spans="1:29" ht="60" customHeight="1" x14ac:dyDescent="0.2">
      <c r="A211" s="69" t="s">
        <v>383</v>
      </c>
      <c r="B211" s="74"/>
      <c r="C211" s="66" t="s">
        <v>384</v>
      </c>
      <c r="D211" s="53" t="s">
        <v>58</v>
      </c>
      <c r="E211" s="54" t="s">
        <v>34</v>
      </c>
      <c r="F211" s="55" t="s">
        <v>382</v>
      </c>
      <c r="G211" s="56" t="s">
        <v>36</v>
      </c>
      <c r="H211" s="57" t="s">
        <v>84</v>
      </c>
      <c r="I211" s="55" t="s">
        <v>51</v>
      </c>
      <c r="J211" s="57" t="e">
        <f>ROUND(#REF!*2.4,-1)</f>
        <v>#REF!</v>
      </c>
      <c r="K211" s="58"/>
      <c r="L211" s="59">
        <f>2-1</f>
        <v>1</v>
      </c>
      <c r="M211" s="60"/>
      <c r="N211" s="61"/>
      <c r="O211" s="61"/>
      <c r="P211" s="62">
        <f>1-1</f>
        <v>0</v>
      </c>
      <c r="Q211" s="62">
        <f>2-2</f>
        <v>0</v>
      </c>
      <c r="R211" s="62">
        <f>2-1</f>
        <v>1</v>
      </c>
      <c r="S211" s="62">
        <f>1-1</f>
        <v>0</v>
      </c>
      <c r="T211" s="62">
        <f>1-1</f>
        <v>0</v>
      </c>
      <c r="U211" s="62"/>
      <c r="V211" s="62"/>
      <c r="W211" s="63"/>
      <c r="X211" s="63"/>
      <c r="Z211" s="64"/>
      <c r="AA211" s="54"/>
      <c r="AB211" s="54"/>
      <c r="AC211" s="54"/>
    </row>
    <row r="212" spans="1:29" ht="60" customHeight="1" x14ac:dyDescent="0.2">
      <c r="A212" s="69" t="s">
        <v>385</v>
      </c>
      <c r="B212" s="74"/>
      <c r="C212" s="87" t="s">
        <v>386</v>
      </c>
      <c r="D212" s="53" t="s">
        <v>48</v>
      </c>
      <c r="E212" s="54" t="s">
        <v>34</v>
      </c>
      <c r="F212" s="55" t="s">
        <v>49</v>
      </c>
      <c r="G212" s="67" t="s">
        <v>50</v>
      </c>
      <c r="H212" s="57" t="s">
        <v>123</v>
      </c>
      <c r="I212" s="55" t="s">
        <v>51</v>
      </c>
      <c r="J212" s="57" t="e">
        <f>ROUND(#REF!*2.4,-1)</f>
        <v>#REF!</v>
      </c>
      <c r="K212" s="58"/>
      <c r="L212" s="59">
        <f>24-1</f>
        <v>23</v>
      </c>
      <c r="M212" s="60"/>
      <c r="N212" s="61"/>
      <c r="O212" s="61"/>
      <c r="P212" s="62"/>
      <c r="Q212" s="62">
        <f>8-1</f>
        <v>7</v>
      </c>
      <c r="R212" s="62">
        <f>8-1</f>
        <v>7</v>
      </c>
      <c r="S212" s="62">
        <f>1-1+1+1</f>
        <v>2</v>
      </c>
      <c r="T212" s="62">
        <f>2-2+2+1</f>
        <v>3</v>
      </c>
      <c r="U212" s="62">
        <f>5-1</f>
        <v>4</v>
      </c>
      <c r="V212" s="62"/>
      <c r="W212" s="63"/>
      <c r="X212" s="63"/>
      <c r="Z212" s="64"/>
      <c r="AA212" s="54"/>
      <c r="AB212" s="54"/>
      <c r="AC212" s="54"/>
    </row>
    <row r="213" spans="1:29" ht="60" customHeight="1" x14ac:dyDescent="0.2">
      <c r="A213" s="69" t="s">
        <v>387</v>
      </c>
      <c r="B213" s="74"/>
      <c r="C213" s="66" t="s">
        <v>388</v>
      </c>
      <c r="D213" s="53" t="s">
        <v>48</v>
      </c>
      <c r="E213" s="54" t="s">
        <v>34</v>
      </c>
      <c r="F213" s="55" t="s">
        <v>121</v>
      </c>
      <c r="G213" s="67" t="s">
        <v>50</v>
      </c>
      <c r="H213" s="57" t="s">
        <v>123</v>
      </c>
      <c r="I213" s="55" t="s">
        <v>51</v>
      </c>
      <c r="J213" s="57" t="e">
        <f>ROUND(#REF!*2.4,-1)</f>
        <v>#REF!</v>
      </c>
      <c r="K213" s="58"/>
      <c r="L213" s="59">
        <f>23-1</f>
        <v>22</v>
      </c>
      <c r="M213" s="60"/>
      <c r="N213" s="61"/>
      <c r="O213" s="61"/>
      <c r="P213" s="62"/>
      <c r="Q213" s="62">
        <f>10-1+1</f>
        <v>10</v>
      </c>
      <c r="R213" s="62">
        <f>4-1</f>
        <v>3</v>
      </c>
      <c r="S213" s="62">
        <f>4-1</f>
        <v>3</v>
      </c>
      <c r="T213" s="62">
        <f>2-1</f>
        <v>1</v>
      </c>
      <c r="U213" s="62">
        <f>4-1+2</f>
        <v>5</v>
      </c>
      <c r="V213" s="62"/>
      <c r="W213" s="63"/>
      <c r="X213" s="63"/>
      <c r="Z213" s="64"/>
      <c r="AA213" s="54"/>
      <c r="AB213" s="54"/>
      <c r="AC213" s="54"/>
    </row>
    <row r="214" spans="1:29" ht="60" hidden="1" customHeight="1" x14ac:dyDescent="0.2">
      <c r="A214" s="90" t="s">
        <v>389</v>
      </c>
      <c r="B214" s="91"/>
      <c r="C214" s="66" t="s">
        <v>390</v>
      </c>
      <c r="D214" s="53" t="s">
        <v>58</v>
      </c>
      <c r="E214" s="54" t="s">
        <v>34</v>
      </c>
      <c r="F214" s="55" t="s">
        <v>391</v>
      </c>
      <c r="G214" s="56" t="s">
        <v>36</v>
      </c>
      <c r="H214" s="57" t="s">
        <v>123</v>
      </c>
      <c r="I214" s="55" t="s">
        <v>51</v>
      </c>
      <c r="J214" s="57" t="e">
        <f>ROUND(#REF!*2.4,-1)</f>
        <v>#REF!</v>
      </c>
      <c r="K214" s="58"/>
      <c r="L214" s="59">
        <f>1-1</f>
        <v>0</v>
      </c>
      <c r="M214" s="60"/>
      <c r="N214" s="61"/>
      <c r="O214" s="61"/>
      <c r="P214" s="62">
        <f>1-1</f>
        <v>0</v>
      </c>
      <c r="Q214" s="62">
        <f>1-1</f>
        <v>0</v>
      </c>
      <c r="R214" s="62">
        <f>1-1</f>
        <v>0</v>
      </c>
      <c r="S214" s="62">
        <f>1-1</f>
        <v>0</v>
      </c>
      <c r="T214" s="62">
        <f>1-1</f>
        <v>0</v>
      </c>
      <c r="U214" s="62"/>
      <c r="V214" s="62"/>
      <c r="W214" s="63"/>
      <c r="X214" s="63"/>
      <c r="Z214" s="64"/>
      <c r="AA214" s="54"/>
      <c r="AB214" s="54"/>
      <c r="AC214" s="54"/>
    </row>
    <row r="215" spans="1:29" ht="60" hidden="1" customHeight="1" x14ac:dyDescent="0.2">
      <c r="A215" s="50" t="s">
        <v>392</v>
      </c>
      <c r="B215" s="74"/>
      <c r="C215" s="66" t="s">
        <v>390</v>
      </c>
      <c r="D215" s="53" t="s">
        <v>58</v>
      </c>
      <c r="E215" s="54" t="s">
        <v>34</v>
      </c>
      <c r="F215" s="55" t="s">
        <v>391</v>
      </c>
      <c r="G215" s="56" t="s">
        <v>36</v>
      </c>
      <c r="H215" s="57" t="s">
        <v>84</v>
      </c>
      <c r="I215" s="55" t="s">
        <v>51</v>
      </c>
      <c r="J215" s="57" t="e">
        <f>ROUND(#REF!*2.4,-1)</f>
        <v>#REF!</v>
      </c>
      <c r="K215" s="58"/>
      <c r="L215" s="59">
        <f>2-2</f>
        <v>0</v>
      </c>
      <c r="M215" s="60"/>
      <c r="N215" s="61"/>
      <c r="O215" s="61"/>
      <c r="P215" s="62">
        <f>1-1</f>
        <v>0</v>
      </c>
      <c r="Q215" s="62">
        <f>1-1</f>
        <v>0</v>
      </c>
      <c r="R215" s="62">
        <f>2-2</f>
        <v>0</v>
      </c>
      <c r="S215" s="62">
        <f>1-1</f>
        <v>0</v>
      </c>
      <c r="T215" s="62">
        <f>1-1</f>
        <v>0</v>
      </c>
      <c r="U215" s="62"/>
      <c r="V215" s="62"/>
      <c r="W215" s="63"/>
      <c r="X215" s="63"/>
      <c r="Z215" s="64"/>
      <c r="AA215" s="54"/>
      <c r="AB215" s="54"/>
      <c r="AC215" s="54"/>
    </row>
    <row r="216" spans="1:29" ht="60" hidden="1" customHeight="1" x14ac:dyDescent="0.2">
      <c r="A216" s="50" t="s">
        <v>393</v>
      </c>
      <c r="B216" s="74"/>
      <c r="C216" s="66" t="s">
        <v>394</v>
      </c>
      <c r="D216" s="53" t="s">
        <v>48</v>
      </c>
      <c r="E216" s="68" t="s">
        <v>395</v>
      </c>
      <c r="F216" s="67" t="s">
        <v>49</v>
      </c>
      <c r="G216" s="56" t="s">
        <v>36</v>
      </c>
      <c r="H216" s="57" t="s">
        <v>128</v>
      </c>
      <c r="I216" s="55" t="s">
        <v>51</v>
      </c>
      <c r="J216" s="57" t="e">
        <f>ROUND(#REF!*2.4,-1)</f>
        <v>#REF!</v>
      </c>
      <c r="K216" s="58"/>
      <c r="L216" s="59">
        <f>2-2</f>
        <v>0</v>
      </c>
      <c r="M216" s="60"/>
      <c r="N216" s="61"/>
      <c r="O216" s="61"/>
      <c r="P216" s="62"/>
      <c r="Q216" s="62">
        <f>1-1</f>
        <v>0</v>
      </c>
      <c r="R216" s="62">
        <f>1-1</f>
        <v>0</v>
      </c>
      <c r="S216" s="62">
        <f>1-1</f>
        <v>0</v>
      </c>
      <c r="T216" s="62">
        <f>2-2</f>
        <v>0</v>
      </c>
      <c r="U216" s="62"/>
      <c r="V216" s="62"/>
      <c r="W216" s="63"/>
      <c r="X216" s="63"/>
      <c r="Z216" s="64"/>
      <c r="AA216" s="54"/>
      <c r="AB216" s="54"/>
      <c r="AC216" s="54"/>
    </row>
    <row r="217" spans="1:29" ht="60" customHeight="1" x14ac:dyDescent="0.2">
      <c r="A217" s="69" t="s">
        <v>396</v>
      </c>
      <c r="B217" s="74"/>
      <c r="C217" s="66" t="s">
        <v>397</v>
      </c>
      <c r="D217" s="53" t="s">
        <v>48</v>
      </c>
      <c r="E217" s="54" t="s">
        <v>34</v>
      </c>
      <c r="F217" s="55" t="s">
        <v>49</v>
      </c>
      <c r="G217" s="56" t="s">
        <v>36</v>
      </c>
      <c r="H217" s="57" t="s">
        <v>37</v>
      </c>
      <c r="I217" s="55" t="s">
        <v>51</v>
      </c>
      <c r="J217" s="57" t="e">
        <f>ROUND(#REF!*2.4,-1)</f>
        <v>#REF!</v>
      </c>
      <c r="K217" s="58"/>
      <c r="L217" s="59">
        <f>9-5</f>
        <v>4</v>
      </c>
      <c r="M217" s="60"/>
      <c r="N217" s="61"/>
      <c r="O217" s="61"/>
      <c r="P217" s="62"/>
      <c r="Q217" s="62">
        <f>2-1</f>
        <v>1</v>
      </c>
      <c r="R217" s="62">
        <f>2-2+2</f>
        <v>2</v>
      </c>
      <c r="S217" s="62">
        <f>1-1</f>
        <v>0</v>
      </c>
      <c r="T217" s="62">
        <f>2-2</f>
        <v>0</v>
      </c>
      <c r="U217" s="62">
        <f>5-4</f>
        <v>1</v>
      </c>
      <c r="V217" s="62"/>
      <c r="W217" s="63"/>
      <c r="X217" s="63"/>
      <c r="Z217" s="64"/>
      <c r="AA217" s="54"/>
      <c r="AB217" s="54"/>
      <c r="AC217" s="54"/>
    </row>
    <row r="218" spans="1:29" ht="60" hidden="1" customHeight="1" x14ac:dyDescent="0.2">
      <c r="A218" s="69" t="s">
        <v>398</v>
      </c>
      <c r="B218" s="70"/>
      <c r="C218" s="66" t="s">
        <v>399</v>
      </c>
      <c r="D218" s="57" t="s">
        <v>58</v>
      </c>
      <c r="E218" s="54" t="s">
        <v>34</v>
      </c>
      <c r="F218" s="67" t="s">
        <v>59</v>
      </c>
      <c r="G218" s="56" t="s">
        <v>36</v>
      </c>
      <c r="H218" s="57" t="s">
        <v>37</v>
      </c>
      <c r="I218" s="55" t="s">
        <v>51</v>
      </c>
      <c r="J218" s="57" t="e">
        <f>ROUND(#REF!*2.4,-1)</f>
        <v>#REF!</v>
      </c>
      <c r="K218" s="58"/>
      <c r="L218" s="59">
        <f>1-1</f>
        <v>0</v>
      </c>
      <c r="M218" s="60"/>
      <c r="N218" s="61"/>
      <c r="O218" s="61"/>
      <c r="P218" s="62">
        <f>1-1</f>
        <v>0</v>
      </c>
      <c r="Q218" s="62">
        <f>1-1</f>
        <v>0</v>
      </c>
      <c r="R218" s="62">
        <f>1-1</f>
        <v>0</v>
      </c>
      <c r="S218" s="62">
        <f>1-1</f>
        <v>0</v>
      </c>
      <c r="T218" s="62">
        <f>1-1</f>
        <v>0</v>
      </c>
      <c r="U218" s="62"/>
      <c r="V218" s="62"/>
      <c r="W218" s="63"/>
      <c r="X218" s="63"/>
      <c r="Z218" s="64"/>
      <c r="AA218" s="54"/>
      <c r="AB218" s="54"/>
      <c r="AC218" s="54"/>
    </row>
    <row r="219" spans="1:29" ht="60" hidden="1" customHeight="1" x14ac:dyDescent="0.2">
      <c r="A219" s="69" t="s">
        <v>400</v>
      </c>
      <c r="B219" s="70"/>
      <c r="C219" s="87" t="s">
        <v>401</v>
      </c>
      <c r="D219" s="53" t="s">
        <v>58</v>
      </c>
      <c r="E219" s="54" t="s">
        <v>34</v>
      </c>
      <c r="F219" s="55" t="s">
        <v>59</v>
      </c>
      <c r="G219" s="67" t="s">
        <v>50</v>
      </c>
      <c r="H219" s="57" t="s">
        <v>37</v>
      </c>
      <c r="I219" s="55" t="s">
        <v>51</v>
      </c>
      <c r="J219" s="57" t="e">
        <f>ROUND(#REF!*2.4,-1)</f>
        <v>#REF!</v>
      </c>
      <c r="K219" s="58"/>
      <c r="L219" s="59">
        <f>9-9</f>
        <v>0</v>
      </c>
      <c r="M219" s="60"/>
      <c r="N219" s="61"/>
      <c r="O219" s="61"/>
      <c r="P219" s="62">
        <f>2-2</f>
        <v>0</v>
      </c>
      <c r="Q219" s="62">
        <f>1-1</f>
        <v>0</v>
      </c>
      <c r="R219" s="62">
        <f>2-2</f>
        <v>0</v>
      </c>
      <c r="S219" s="62">
        <f>3-3</f>
        <v>0</v>
      </c>
      <c r="T219" s="62">
        <f>1-1</f>
        <v>0</v>
      </c>
      <c r="U219" s="62"/>
      <c r="V219" s="62"/>
      <c r="W219" s="63"/>
      <c r="X219" s="63"/>
      <c r="Z219" s="64"/>
      <c r="AA219" s="54"/>
      <c r="AB219" s="54"/>
      <c r="AC219" s="54"/>
    </row>
    <row r="220" spans="1:29" ht="60" customHeight="1" x14ac:dyDescent="0.2">
      <c r="A220" s="69" t="s">
        <v>402</v>
      </c>
      <c r="B220" s="70"/>
      <c r="C220" s="66" t="s">
        <v>140</v>
      </c>
      <c r="D220" s="57" t="s">
        <v>58</v>
      </c>
      <c r="E220" s="54" t="s">
        <v>34</v>
      </c>
      <c r="F220" s="67" t="s">
        <v>59</v>
      </c>
      <c r="G220" s="67" t="s">
        <v>50</v>
      </c>
      <c r="H220" s="57" t="s">
        <v>37</v>
      </c>
      <c r="I220" s="55" t="s">
        <v>51</v>
      </c>
      <c r="J220" s="57" t="e">
        <f>ROUND(#REF!*2.4,-1)</f>
        <v>#REF!</v>
      </c>
      <c r="K220" s="58"/>
      <c r="L220" s="59">
        <f>3-2</f>
        <v>1</v>
      </c>
      <c r="M220" s="60"/>
      <c r="N220" s="61"/>
      <c r="O220" s="61"/>
      <c r="P220" s="62">
        <f>5-5</f>
        <v>0</v>
      </c>
      <c r="Q220" s="62">
        <f>1-1</f>
        <v>0</v>
      </c>
      <c r="R220" s="62">
        <f>2-1</f>
        <v>1</v>
      </c>
      <c r="S220" s="62">
        <f>5-5</f>
        <v>0</v>
      </c>
      <c r="T220" s="62">
        <f>5-5</f>
        <v>0</v>
      </c>
      <c r="U220" s="62"/>
      <c r="V220" s="62"/>
      <c r="W220" s="63"/>
      <c r="X220" s="63"/>
      <c r="Z220" s="71"/>
      <c r="AA220" s="54"/>
      <c r="AB220" s="54"/>
      <c r="AC220" s="54"/>
    </row>
    <row r="221" spans="1:29" ht="60" hidden="1" customHeight="1" x14ac:dyDescent="0.2">
      <c r="A221" s="69" t="s">
        <v>403</v>
      </c>
      <c r="B221" s="70"/>
      <c r="C221" s="66" t="s">
        <v>404</v>
      </c>
      <c r="D221" s="57" t="s">
        <v>58</v>
      </c>
      <c r="E221" s="54" t="s">
        <v>34</v>
      </c>
      <c r="F221" s="67" t="s">
        <v>59</v>
      </c>
      <c r="G221" s="67" t="s">
        <v>50</v>
      </c>
      <c r="H221" s="57" t="s">
        <v>37</v>
      </c>
      <c r="I221" s="55" t="s">
        <v>51</v>
      </c>
      <c r="J221" s="57" t="e">
        <f>ROUND(#REF!*2.4,-1)</f>
        <v>#REF!</v>
      </c>
      <c r="K221" s="58"/>
      <c r="L221" s="59">
        <f>1-1</f>
        <v>0</v>
      </c>
      <c r="M221" s="60"/>
      <c r="N221" s="61"/>
      <c r="O221" s="61"/>
      <c r="P221" s="62">
        <f>0</f>
        <v>0</v>
      </c>
      <c r="Q221" s="62">
        <f>0</f>
        <v>0</v>
      </c>
      <c r="R221" s="62">
        <f>2-2+1-1</f>
        <v>0</v>
      </c>
      <c r="S221" s="62">
        <f>1-1</f>
        <v>0</v>
      </c>
      <c r="T221" s="62">
        <f>0</f>
        <v>0</v>
      </c>
      <c r="U221" s="62"/>
      <c r="V221" s="62"/>
      <c r="W221" s="63"/>
      <c r="X221" s="63"/>
      <c r="Z221" s="71"/>
      <c r="AA221" s="54"/>
      <c r="AB221" s="54"/>
      <c r="AC221" s="54"/>
    </row>
    <row r="222" spans="1:29" ht="60" customHeight="1" x14ac:dyDescent="0.2">
      <c r="A222" s="72" t="s">
        <v>405</v>
      </c>
      <c r="B222" s="74"/>
      <c r="C222" s="66" t="s">
        <v>406</v>
      </c>
      <c r="D222" s="53" t="s">
        <v>48</v>
      </c>
      <c r="E222" s="54" t="s">
        <v>34</v>
      </c>
      <c r="F222" s="55" t="s">
        <v>49</v>
      </c>
      <c r="G222" s="67" t="s">
        <v>50</v>
      </c>
      <c r="H222" s="57" t="s">
        <v>37</v>
      </c>
      <c r="I222" s="55" t="s">
        <v>51</v>
      </c>
      <c r="J222" s="57" t="e">
        <f>ROUND(#REF!*2.4,-1)</f>
        <v>#REF!</v>
      </c>
      <c r="K222" s="58"/>
      <c r="L222" s="59">
        <f>98-2</f>
        <v>96</v>
      </c>
      <c r="M222" s="75"/>
      <c r="N222" s="76"/>
      <c r="O222" s="76"/>
      <c r="P222" s="77"/>
      <c r="Q222" s="77">
        <f>20</f>
        <v>20</v>
      </c>
      <c r="R222" s="77">
        <f>22-1</f>
        <v>21</v>
      </c>
      <c r="S222" s="77">
        <f>22-1</f>
        <v>21</v>
      </c>
      <c r="T222" s="77">
        <f>20</f>
        <v>20</v>
      </c>
      <c r="U222" s="77">
        <f>12</f>
        <v>12</v>
      </c>
      <c r="V222" s="77">
        <f>2</f>
        <v>2</v>
      </c>
      <c r="W222" s="63"/>
      <c r="X222" s="63"/>
      <c r="Z222" s="71"/>
      <c r="AA222" s="54"/>
      <c r="AB222" s="54"/>
      <c r="AC222" s="54"/>
    </row>
    <row r="223" spans="1:29" ht="60" customHeight="1" x14ac:dyDescent="0.2">
      <c r="A223" s="72" t="s">
        <v>407</v>
      </c>
      <c r="B223" s="74"/>
      <c r="C223" s="66" t="s">
        <v>408</v>
      </c>
      <c r="D223" s="53" t="s">
        <v>48</v>
      </c>
      <c r="E223" s="54" t="s">
        <v>34</v>
      </c>
      <c r="F223" s="55" t="s">
        <v>49</v>
      </c>
      <c r="G223" s="67" t="s">
        <v>50</v>
      </c>
      <c r="H223" s="57" t="s">
        <v>37</v>
      </c>
      <c r="I223" s="55" t="s">
        <v>51</v>
      </c>
      <c r="J223" s="57" t="e">
        <f>ROUND(#REF!*2.4,-1)</f>
        <v>#REF!</v>
      </c>
      <c r="K223" s="58"/>
      <c r="L223" s="59">
        <f>133-2</f>
        <v>131</v>
      </c>
      <c r="M223" s="75"/>
      <c r="N223" s="76"/>
      <c r="O223" s="76"/>
      <c r="P223" s="77"/>
      <c r="Q223" s="77">
        <f>25-1</f>
        <v>24</v>
      </c>
      <c r="R223" s="77">
        <f>32-1</f>
        <v>31</v>
      </c>
      <c r="S223" s="77">
        <f>33-1</f>
        <v>32</v>
      </c>
      <c r="T223" s="77">
        <f>26-1</f>
        <v>25</v>
      </c>
      <c r="U223" s="77">
        <f>19-1</f>
        <v>18</v>
      </c>
      <c r="V223" s="77">
        <f>2-1</f>
        <v>1</v>
      </c>
      <c r="W223" s="63"/>
      <c r="X223" s="63"/>
      <c r="Z223" s="71"/>
      <c r="AA223" s="54"/>
      <c r="AB223" s="54"/>
      <c r="AC223" s="54"/>
    </row>
    <row r="224" spans="1:29" ht="60" hidden="1" customHeight="1" x14ac:dyDescent="0.2">
      <c r="A224" s="69" t="s">
        <v>409</v>
      </c>
      <c r="B224" s="51"/>
      <c r="C224" s="87" t="s">
        <v>191</v>
      </c>
      <c r="D224" s="57" t="s">
        <v>58</v>
      </c>
      <c r="E224" s="54" t="s">
        <v>34</v>
      </c>
      <c r="F224" s="67" t="s">
        <v>59</v>
      </c>
      <c r="G224" s="67" t="s">
        <v>50</v>
      </c>
      <c r="H224" s="57" t="s">
        <v>37</v>
      </c>
      <c r="I224" s="67" t="s">
        <v>51</v>
      </c>
      <c r="J224" s="57" t="e">
        <f>ROUND(#REF!*2.4,-1)</f>
        <v>#REF!</v>
      </c>
      <c r="K224" s="58"/>
      <c r="L224" s="59">
        <f>1-1</f>
        <v>0</v>
      </c>
      <c r="M224" s="60"/>
      <c r="N224" s="61"/>
      <c r="O224" s="61"/>
      <c r="P224" s="62">
        <f t="shared" ref="P224:R225" si="13">1-1</f>
        <v>0</v>
      </c>
      <c r="Q224" s="62">
        <f t="shared" si="13"/>
        <v>0</v>
      </c>
      <c r="R224" s="62">
        <f t="shared" si="13"/>
        <v>0</v>
      </c>
      <c r="S224" s="62">
        <f>20-20</f>
        <v>0</v>
      </c>
      <c r="T224" s="62">
        <f>5-5</f>
        <v>0</v>
      </c>
      <c r="U224" s="62"/>
      <c r="V224" s="62"/>
      <c r="W224" s="63"/>
      <c r="X224" s="63"/>
      <c r="Z224" s="64"/>
      <c r="AA224" s="54"/>
      <c r="AB224" s="54"/>
    </row>
    <row r="225" spans="1:29" ht="60" hidden="1" customHeight="1" x14ac:dyDescent="0.2">
      <c r="A225" s="69" t="s">
        <v>410</v>
      </c>
      <c r="B225" s="51"/>
      <c r="C225" s="87" t="s">
        <v>191</v>
      </c>
      <c r="D225" s="57" t="s">
        <v>58</v>
      </c>
      <c r="E225" s="54" t="s">
        <v>34</v>
      </c>
      <c r="F225" s="67" t="s">
        <v>59</v>
      </c>
      <c r="G225" s="67" t="s">
        <v>50</v>
      </c>
      <c r="H225" s="57" t="s">
        <v>37</v>
      </c>
      <c r="I225" s="67" t="s">
        <v>51</v>
      </c>
      <c r="J225" s="57" t="e">
        <f>ROUND(#REF!*2.4,-1)</f>
        <v>#REF!</v>
      </c>
      <c r="K225" s="58"/>
      <c r="L225" s="59">
        <f>3-3</f>
        <v>0</v>
      </c>
      <c r="M225" s="60"/>
      <c r="N225" s="61"/>
      <c r="O225" s="61"/>
      <c r="P225" s="77">
        <f t="shared" si="13"/>
        <v>0</v>
      </c>
      <c r="Q225" s="77">
        <f t="shared" si="13"/>
        <v>0</v>
      </c>
      <c r="R225" s="77">
        <f t="shared" si="13"/>
        <v>0</v>
      </c>
      <c r="S225" s="77">
        <f>2-2</f>
        <v>0</v>
      </c>
      <c r="T225" s="77">
        <f>1-1</f>
        <v>0</v>
      </c>
      <c r="U225" s="62"/>
      <c r="V225" s="62"/>
      <c r="W225" s="63"/>
      <c r="X225" s="63"/>
      <c r="Z225" s="64"/>
      <c r="AA225" s="54"/>
      <c r="AB225" s="54"/>
      <c r="AC225" s="54">
        <v>405</v>
      </c>
    </row>
    <row r="226" spans="1:29" ht="60" customHeight="1" x14ac:dyDescent="0.2">
      <c r="A226" s="69" t="s">
        <v>411</v>
      </c>
      <c r="B226" s="70"/>
      <c r="C226" s="66" t="s">
        <v>412</v>
      </c>
      <c r="D226" s="53" t="s">
        <v>48</v>
      </c>
      <c r="E226" s="54" t="s">
        <v>34</v>
      </c>
      <c r="F226" s="55" t="s">
        <v>49</v>
      </c>
      <c r="G226" s="67" t="s">
        <v>50</v>
      </c>
      <c r="H226" s="57" t="s">
        <v>37</v>
      </c>
      <c r="I226" s="55" t="s">
        <v>51</v>
      </c>
      <c r="J226" s="57" t="e">
        <f>ROUND(#REF!*2.4,-1)</f>
        <v>#REF!</v>
      </c>
      <c r="K226" s="58"/>
      <c r="L226" s="59">
        <f>151-2</f>
        <v>149</v>
      </c>
      <c r="M226" s="60"/>
      <c r="N226" s="61"/>
      <c r="O226" s="61"/>
      <c r="P226" s="62"/>
      <c r="Q226" s="62">
        <f>49-20</f>
        <v>29</v>
      </c>
      <c r="R226" s="62">
        <f>54-20</f>
        <v>34</v>
      </c>
      <c r="S226" s="62">
        <f>32-1</f>
        <v>31</v>
      </c>
      <c r="T226" s="62">
        <f>32-1</f>
        <v>31</v>
      </c>
      <c r="U226" s="62">
        <f>24-3</f>
        <v>21</v>
      </c>
      <c r="V226" s="62">
        <f>3</f>
        <v>3</v>
      </c>
      <c r="W226" s="63"/>
      <c r="X226" s="63"/>
      <c r="Z226" s="64"/>
      <c r="AA226" s="54">
        <v>1410543</v>
      </c>
      <c r="AB226" s="54">
        <v>447</v>
      </c>
      <c r="AC226" s="54">
        <v>398</v>
      </c>
    </row>
    <row r="227" spans="1:29" ht="60" customHeight="1" x14ac:dyDescent="0.2">
      <c r="A227" s="69" t="s">
        <v>413</v>
      </c>
      <c r="B227" s="70"/>
      <c r="C227" s="66" t="s">
        <v>412</v>
      </c>
      <c r="D227" s="57" t="s">
        <v>58</v>
      </c>
      <c r="E227" s="54" t="s">
        <v>34</v>
      </c>
      <c r="F227" s="67" t="s">
        <v>59</v>
      </c>
      <c r="G227" s="67" t="s">
        <v>50</v>
      </c>
      <c r="H227" s="57" t="s">
        <v>37</v>
      </c>
      <c r="I227" s="55" t="s">
        <v>51</v>
      </c>
      <c r="J227" s="57" t="e">
        <f>ROUND(#REF!*2.4,-1)</f>
        <v>#REF!</v>
      </c>
      <c r="K227" s="58"/>
      <c r="L227" s="59">
        <f>78-13</f>
        <v>65</v>
      </c>
      <c r="M227" s="60"/>
      <c r="N227" s="61"/>
      <c r="O227" s="61"/>
      <c r="P227" s="62">
        <f>14-3</f>
        <v>11</v>
      </c>
      <c r="Q227" s="62">
        <f>21-3</f>
        <v>18</v>
      </c>
      <c r="R227" s="62">
        <f>23-3</f>
        <v>20</v>
      </c>
      <c r="S227" s="62">
        <f>12-2</f>
        <v>10</v>
      </c>
      <c r="T227" s="62">
        <f>8-2</f>
        <v>6</v>
      </c>
      <c r="U227" s="62"/>
      <c r="V227" s="62"/>
      <c r="W227" s="63"/>
      <c r="X227" s="63"/>
      <c r="Z227" s="64"/>
      <c r="AA227" s="54"/>
      <c r="AB227" s="54"/>
      <c r="AC227" s="54"/>
    </row>
    <row r="228" spans="1:29" ht="60" hidden="1" customHeight="1" x14ac:dyDescent="0.2">
      <c r="A228" s="69" t="s">
        <v>414</v>
      </c>
      <c r="B228" s="70"/>
      <c r="C228" s="66" t="s">
        <v>203</v>
      </c>
      <c r="D228" s="57" t="s">
        <v>58</v>
      </c>
      <c r="E228" s="54" t="s">
        <v>34</v>
      </c>
      <c r="F228" s="67" t="s">
        <v>59</v>
      </c>
      <c r="G228" s="67" t="s">
        <v>50</v>
      </c>
      <c r="H228" s="57" t="s">
        <v>37</v>
      </c>
      <c r="I228" s="55" t="s">
        <v>51</v>
      </c>
      <c r="J228" s="57" t="e">
        <f>ROUND(#REF!*2.4,-1)</f>
        <v>#REF!</v>
      </c>
      <c r="K228" s="58"/>
      <c r="L228" s="59">
        <f>1-1</f>
        <v>0</v>
      </c>
      <c r="M228" s="60"/>
      <c r="N228" s="61"/>
      <c r="O228" s="61"/>
      <c r="P228" s="62">
        <f t="shared" ref="P228:U228" si="14">1-1</f>
        <v>0</v>
      </c>
      <c r="Q228" s="62">
        <f t="shared" si="14"/>
        <v>0</v>
      </c>
      <c r="R228" s="62">
        <f t="shared" si="14"/>
        <v>0</v>
      </c>
      <c r="S228" s="62">
        <f t="shared" si="14"/>
        <v>0</v>
      </c>
      <c r="T228" s="62">
        <f t="shared" si="14"/>
        <v>0</v>
      </c>
      <c r="U228" s="62">
        <f t="shared" si="14"/>
        <v>0</v>
      </c>
      <c r="V228" s="62"/>
      <c r="W228" s="63"/>
      <c r="X228" s="63"/>
      <c r="Z228" s="71"/>
      <c r="AA228" s="54"/>
      <c r="AB228" s="54"/>
      <c r="AC228" s="54"/>
    </row>
    <row r="229" spans="1:29" ht="60" hidden="1" customHeight="1" x14ac:dyDescent="0.2">
      <c r="A229" s="69" t="s">
        <v>415</v>
      </c>
      <c r="B229" s="70"/>
      <c r="C229" s="66" t="s">
        <v>416</v>
      </c>
      <c r="D229" s="53" t="s">
        <v>48</v>
      </c>
      <c r="E229" s="54" t="s">
        <v>34</v>
      </c>
      <c r="F229" s="55" t="s">
        <v>49</v>
      </c>
      <c r="G229" s="67" t="s">
        <v>50</v>
      </c>
      <c r="H229" s="57" t="s">
        <v>37</v>
      </c>
      <c r="I229" s="55" t="s">
        <v>51</v>
      </c>
      <c r="J229" s="57" t="e">
        <f>ROUND(#REF!*2.4,-1)</f>
        <v>#REF!</v>
      </c>
      <c r="K229" s="58"/>
      <c r="L229" s="59">
        <f>1-1</f>
        <v>0</v>
      </c>
      <c r="M229" s="60"/>
      <c r="N229" s="61"/>
      <c r="O229" s="61"/>
      <c r="P229" s="62"/>
      <c r="Q229" s="62">
        <f>1-1</f>
        <v>0</v>
      </c>
      <c r="R229" s="62">
        <f>1-1+1-1</f>
        <v>0</v>
      </c>
      <c r="S229" s="62">
        <f>1-1</f>
        <v>0</v>
      </c>
      <c r="T229" s="62">
        <f>1-1+1-1</f>
        <v>0</v>
      </c>
      <c r="U229" s="62">
        <f>1-1</f>
        <v>0</v>
      </c>
      <c r="V229" s="62"/>
      <c r="W229" s="63"/>
      <c r="X229" s="63"/>
      <c r="Z229" s="71"/>
      <c r="AA229" s="54">
        <v>1410560</v>
      </c>
      <c r="AB229" s="54">
        <v>394</v>
      </c>
      <c r="AC229" s="54"/>
    </row>
    <row r="230" spans="1:29" ht="60" hidden="1" customHeight="1" x14ac:dyDescent="0.2">
      <c r="A230" s="69" t="s">
        <v>417</v>
      </c>
      <c r="B230" s="70"/>
      <c r="C230" s="66" t="s">
        <v>109</v>
      </c>
      <c r="D230" s="57" t="s">
        <v>58</v>
      </c>
      <c r="E230" s="54" t="s">
        <v>34</v>
      </c>
      <c r="F230" s="67" t="s">
        <v>59</v>
      </c>
      <c r="G230" s="67" t="s">
        <v>50</v>
      </c>
      <c r="H230" s="57" t="s">
        <v>37</v>
      </c>
      <c r="I230" s="55" t="s">
        <v>51</v>
      </c>
      <c r="J230" s="57" t="e">
        <f>ROUND(#REF!*2.4,-1)</f>
        <v>#REF!</v>
      </c>
      <c r="K230" s="58"/>
      <c r="L230" s="59">
        <f>0</f>
        <v>0</v>
      </c>
      <c r="M230" s="60"/>
      <c r="N230" s="61"/>
      <c r="O230" s="61"/>
      <c r="P230" s="62">
        <f>0</f>
        <v>0</v>
      </c>
      <c r="Q230" s="62">
        <f>0</f>
        <v>0</v>
      </c>
      <c r="R230" s="62">
        <f>0</f>
        <v>0</v>
      </c>
      <c r="S230" s="62">
        <f>0</f>
        <v>0</v>
      </c>
      <c r="T230" s="62">
        <f>0</f>
        <v>0</v>
      </c>
      <c r="U230" s="62"/>
      <c r="V230" s="62"/>
      <c r="W230" s="63"/>
      <c r="X230" s="63"/>
      <c r="Z230" s="64"/>
      <c r="AA230" s="54"/>
      <c r="AB230" s="54"/>
      <c r="AC230" s="54"/>
    </row>
    <row r="231" spans="1:29" ht="60" hidden="1" customHeight="1" x14ac:dyDescent="0.2">
      <c r="A231" s="69" t="s">
        <v>418</v>
      </c>
      <c r="B231" s="70"/>
      <c r="C231" s="66" t="s">
        <v>227</v>
      </c>
      <c r="D231" s="57" t="s">
        <v>58</v>
      </c>
      <c r="E231" s="54" t="s">
        <v>34</v>
      </c>
      <c r="F231" s="67" t="s">
        <v>59</v>
      </c>
      <c r="G231" s="67" t="s">
        <v>50</v>
      </c>
      <c r="H231" s="57" t="s">
        <v>37</v>
      </c>
      <c r="I231" s="55" t="s">
        <v>51</v>
      </c>
      <c r="J231" s="57" t="e">
        <f>ROUND(#REF!*2.4,-1)</f>
        <v>#REF!</v>
      </c>
      <c r="K231" s="58"/>
      <c r="L231" s="59">
        <f>1-1</f>
        <v>0</v>
      </c>
      <c r="M231" s="60"/>
      <c r="N231" s="61"/>
      <c r="O231" s="61"/>
      <c r="P231" s="62">
        <f>1-1</f>
        <v>0</v>
      </c>
      <c r="Q231" s="62">
        <f>1-1</f>
        <v>0</v>
      </c>
      <c r="R231" s="62">
        <f>1-1</f>
        <v>0</v>
      </c>
      <c r="S231" s="62">
        <f>1-1</f>
        <v>0</v>
      </c>
      <c r="T231" s="62">
        <f>1-1</f>
        <v>0</v>
      </c>
      <c r="U231" s="62"/>
      <c r="V231" s="62"/>
      <c r="W231" s="63"/>
      <c r="X231" s="63"/>
      <c r="Z231" s="64"/>
      <c r="AA231" s="54"/>
      <c r="AB231" s="54"/>
      <c r="AC231" s="54"/>
    </row>
    <row r="232" spans="1:29" ht="60" customHeight="1" x14ac:dyDescent="0.2">
      <c r="A232" s="69" t="s">
        <v>419</v>
      </c>
      <c r="B232" s="70"/>
      <c r="C232" s="66" t="s">
        <v>399</v>
      </c>
      <c r="D232" s="53" t="s">
        <v>48</v>
      </c>
      <c r="E232" s="54" t="s">
        <v>34</v>
      </c>
      <c r="F232" s="55" t="s">
        <v>49</v>
      </c>
      <c r="G232" s="67" t="s">
        <v>50</v>
      </c>
      <c r="H232" s="57" t="s">
        <v>37</v>
      </c>
      <c r="I232" s="55" t="s">
        <v>51</v>
      </c>
      <c r="J232" s="57" t="e">
        <f>ROUND(#REF!*2.4,-1)</f>
        <v>#REF!</v>
      </c>
      <c r="K232" s="58"/>
      <c r="L232" s="59">
        <f>1-1+1</f>
        <v>1</v>
      </c>
      <c r="M232" s="60"/>
      <c r="N232" s="61"/>
      <c r="O232" s="61"/>
      <c r="P232" s="62"/>
      <c r="Q232" s="62">
        <f t="shared" ref="Q232:V234" si="15">1-1</f>
        <v>0</v>
      </c>
      <c r="R232" s="62">
        <f t="shared" si="15"/>
        <v>0</v>
      </c>
      <c r="S232" s="62">
        <f t="shared" si="15"/>
        <v>0</v>
      </c>
      <c r="T232" s="62">
        <f>1-1+1</f>
        <v>1</v>
      </c>
      <c r="U232" s="62">
        <f>1-1</f>
        <v>0</v>
      </c>
      <c r="V232" s="62">
        <f t="shared" si="15"/>
        <v>0</v>
      </c>
      <c r="W232" s="63"/>
      <c r="X232" s="63"/>
      <c r="Z232" s="64"/>
      <c r="AA232" s="54"/>
      <c r="AB232" s="54"/>
      <c r="AC232" s="54"/>
    </row>
    <row r="233" spans="1:29" ht="60" customHeight="1" x14ac:dyDescent="0.2">
      <c r="A233" s="69" t="s">
        <v>420</v>
      </c>
      <c r="B233" s="70"/>
      <c r="C233" s="66" t="s">
        <v>421</v>
      </c>
      <c r="D233" s="53" t="s">
        <v>48</v>
      </c>
      <c r="E233" s="54" t="s">
        <v>34</v>
      </c>
      <c r="F233" s="55" t="s">
        <v>49</v>
      </c>
      <c r="G233" s="67" t="s">
        <v>50</v>
      </c>
      <c r="H233" s="57" t="s">
        <v>37</v>
      </c>
      <c r="I233" s="55" t="s">
        <v>51</v>
      </c>
      <c r="J233" s="57" t="e">
        <f>ROUND(#REF!*2.4,-1)</f>
        <v>#REF!</v>
      </c>
      <c r="K233" s="58"/>
      <c r="L233" s="59">
        <f>3-1</f>
        <v>2</v>
      </c>
      <c r="M233" s="60"/>
      <c r="N233" s="61"/>
      <c r="O233" s="61"/>
      <c r="P233" s="62"/>
      <c r="Q233" s="62">
        <f>3-3</f>
        <v>0</v>
      </c>
      <c r="R233" s="62">
        <f>2-1+1</f>
        <v>2</v>
      </c>
      <c r="S233" s="62">
        <f>1-1</f>
        <v>0</v>
      </c>
      <c r="T233" s="62">
        <f>1-1</f>
        <v>0</v>
      </c>
      <c r="U233" s="62">
        <f>1-1</f>
        <v>0</v>
      </c>
      <c r="V233" s="62">
        <f t="shared" si="15"/>
        <v>0</v>
      </c>
      <c r="W233" s="63"/>
      <c r="X233" s="63"/>
      <c r="Z233" s="64"/>
      <c r="AA233" s="54">
        <v>1410509</v>
      </c>
      <c r="AB233" s="54">
        <v>422</v>
      </c>
      <c r="AC233" s="54"/>
    </row>
    <row r="234" spans="1:29" ht="60" hidden="1" customHeight="1" x14ac:dyDescent="0.2">
      <c r="A234" s="69" t="s">
        <v>422</v>
      </c>
      <c r="B234" s="70"/>
      <c r="C234" s="66" t="s">
        <v>423</v>
      </c>
      <c r="D234" s="53" t="s">
        <v>48</v>
      </c>
      <c r="E234" s="54" t="s">
        <v>34</v>
      </c>
      <c r="F234" s="55" t="s">
        <v>49</v>
      </c>
      <c r="G234" s="67" t="s">
        <v>50</v>
      </c>
      <c r="H234" s="57" t="s">
        <v>37</v>
      </c>
      <c r="I234" s="55" t="s">
        <v>51</v>
      </c>
      <c r="J234" s="57" t="e">
        <f>ROUND(#REF!*2.4,-1)</f>
        <v>#REF!</v>
      </c>
      <c r="K234" s="58"/>
      <c r="L234" s="59">
        <f>1-1</f>
        <v>0</v>
      </c>
      <c r="M234" s="60"/>
      <c r="N234" s="61"/>
      <c r="O234" s="61"/>
      <c r="P234" s="62"/>
      <c r="Q234" s="62">
        <f>1-1</f>
        <v>0</v>
      </c>
      <c r="R234" s="62">
        <f>2-2</f>
        <v>0</v>
      </c>
      <c r="S234" s="62">
        <f t="shared" si="15"/>
        <v>0</v>
      </c>
      <c r="T234" s="62">
        <f t="shared" si="15"/>
        <v>0</v>
      </c>
      <c r="U234" s="62">
        <f t="shared" si="15"/>
        <v>0</v>
      </c>
      <c r="V234" s="62">
        <f t="shared" si="15"/>
        <v>0</v>
      </c>
      <c r="W234" s="63"/>
      <c r="X234" s="63"/>
      <c r="Z234" s="64"/>
      <c r="AA234" s="54"/>
      <c r="AB234" s="54"/>
      <c r="AC234" s="54"/>
    </row>
    <row r="235" spans="1:29" ht="60" hidden="1" customHeight="1" x14ac:dyDescent="0.2">
      <c r="A235" s="69" t="s">
        <v>424</v>
      </c>
      <c r="B235" s="70"/>
      <c r="C235" s="66" t="s">
        <v>423</v>
      </c>
      <c r="D235" s="53" t="s">
        <v>48</v>
      </c>
      <c r="E235" s="54" t="s">
        <v>34</v>
      </c>
      <c r="F235" s="55" t="s">
        <v>49</v>
      </c>
      <c r="G235" s="67" t="s">
        <v>50</v>
      </c>
      <c r="H235" s="57" t="s">
        <v>37</v>
      </c>
      <c r="I235" s="55" t="s">
        <v>51</v>
      </c>
      <c r="J235" s="57" t="e">
        <f>ROUND(#REF!*2.4,-1)</f>
        <v>#REF!</v>
      </c>
      <c r="K235" s="58"/>
      <c r="L235" s="59">
        <f>2-2</f>
        <v>0</v>
      </c>
      <c r="M235" s="60"/>
      <c r="N235" s="61"/>
      <c r="O235" s="61"/>
      <c r="P235" s="62"/>
      <c r="Q235" s="62">
        <f>1-1</f>
        <v>0</v>
      </c>
      <c r="R235" s="62">
        <f>1-1</f>
        <v>0</v>
      </c>
      <c r="S235" s="62">
        <f>2-2</f>
        <v>0</v>
      </c>
      <c r="T235" s="62">
        <f>1-1</f>
        <v>0</v>
      </c>
      <c r="U235" s="62">
        <f>2-2</f>
        <v>0</v>
      </c>
      <c r="V235" s="62">
        <f>1-1</f>
        <v>0</v>
      </c>
      <c r="W235" s="63"/>
      <c r="X235" s="63"/>
      <c r="Z235" s="64"/>
      <c r="AA235" s="54"/>
      <c r="AB235" s="54"/>
      <c r="AC235" s="54"/>
    </row>
    <row r="236" spans="1:29" ht="60" hidden="1" customHeight="1" x14ac:dyDescent="0.2">
      <c r="A236" s="69" t="s">
        <v>425</v>
      </c>
      <c r="B236" s="74"/>
      <c r="C236" s="66" t="s">
        <v>426</v>
      </c>
      <c r="D236" s="53" t="s">
        <v>48</v>
      </c>
      <c r="E236" s="54" t="s">
        <v>34</v>
      </c>
      <c r="F236" s="55" t="s">
        <v>49</v>
      </c>
      <c r="G236" s="67" t="s">
        <v>50</v>
      </c>
      <c r="H236" s="57" t="s">
        <v>37</v>
      </c>
      <c r="I236" s="55" t="s">
        <v>51</v>
      </c>
      <c r="J236" s="57" t="e">
        <f>ROUND(#REF!*2.4,-1)</f>
        <v>#REF!</v>
      </c>
      <c r="K236" s="58"/>
      <c r="L236" s="59">
        <f>1-1</f>
        <v>0</v>
      </c>
      <c r="M236" s="60"/>
      <c r="N236" s="61"/>
      <c r="O236" s="61"/>
      <c r="P236" s="62"/>
      <c r="Q236" s="62">
        <f>1-1</f>
        <v>0</v>
      </c>
      <c r="R236" s="62">
        <f>1-1+1-1</f>
        <v>0</v>
      </c>
      <c r="S236" s="62">
        <f>1-1</f>
        <v>0</v>
      </c>
      <c r="T236" s="62">
        <f>1-1</f>
        <v>0</v>
      </c>
      <c r="U236" s="62">
        <f>5-5</f>
        <v>0</v>
      </c>
      <c r="V236" s="62">
        <f>1-1</f>
        <v>0</v>
      </c>
      <c r="W236" s="63"/>
      <c r="X236" s="63"/>
      <c r="Z236" s="71"/>
      <c r="AA236" s="54"/>
      <c r="AB236" s="54"/>
      <c r="AC236" s="54"/>
    </row>
    <row r="237" spans="1:29" ht="60" customHeight="1" x14ac:dyDescent="0.2">
      <c r="A237" s="81" t="s">
        <v>427</v>
      </c>
      <c r="B237" s="74"/>
      <c r="C237" s="66" t="s">
        <v>426</v>
      </c>
      <c r="D237" s="57" t="s">
        <v>48</v>
      </c>
      <c r="E237" s="54" t="s">
        <v>34</v>
      </c>
      <c r="F237" s="67" t="s">
        <v>49</v>
      </c>
      <c r="G237" s="67" t="s">
        <v>68</v>
      </c>
      <c r="H237" s="57" t="s">
        <v>37</v>
      </c>
      <c r="I237" s="67" t="s">
        <v>51</v>
      </c>
      <c r="J237" s="57" t="e">
        <f>ROUND(#REF!*2.4,-1)</f>
        <v>#REF!</v>
      </c>
      <c r="K237" s="58"/>
      <c r="L237" s="59">
        <f>6-1</f>
        <v>5</v>
      </c>
      <c r="M237" s="60"/>
      <c r="N237" s="61"/>
      <c r="O237" s="61"/>
      <c r="P237" s="62"/>
      <c r="Q237" s="62">
        <f>1-1</f>
        <v>0</v>
      </c>
      <c r="R237" s="62">
        <f>1-1+1</f>
        <v>1</v>
      </c>
      <c r="S237" s="62">
        <f>2-2+2</f>
        <v>2</v>
      </c>
      <c r="T237" s="62">
        <f>1-1</f>
        <v>0</v>
      </c>
      <c r="U237" s="62">
        <f>1-1</f>
        <v>0</v>
      </c>
      <c r="V237" s="62">
        <f>3-1</f>
        <v>2</v>
      </c>
      <c r="W237" s="63"/>
      <c r="X237" s="63"/>
      <c r="Z237" s="64"/>
      <c r="AC237" s="54"/>
    </row>
    <row r="238" spans="1:29" ht="60" customHeight="1" x14ac:dyDescent="0.2">
      <c r="A238" s="72" t="s">
        <v>428</v>
      </c>
      <c r="B238" s="74"/>
      <c r="C238" s="66" t="s">
        <v>429</v>
      </c>
      <c r="D238" s="53" t="s">
        <v>48</v>
      </c>
      <c r="E238" s="54" t="s">
        <v>34</v>
      </c>
      <c r="F238" s="55" t="s">
        <v>49</v>
      </c>
      <c r="G238" s="67" t="s">
        <v>50</v>
      </c>
      <c r="H238" s="57" t="s">
        <v>37</v>
      </c>
      <c r="I238" s="55" t="s">
        <v>51</v>
      </c>
      <c r="J238" s="57" t="e">
        <f>ROUND(#REF!*2.4,-1)</f>
        <v>#REF!</v>
      </c>
      <c r="K238" s="58"/>
      <c r="L238" s="59">
        <f>1-1+1</f>
        <v>1</v>
      </c>
      <c r="M238" s="75"/>
      <c r="N238" s="76"/>
      <c r="O238" s="76"/>
      <c r="P238" s="77"/>
      <c r="Q238" s="77">
        <f>1-1</f>
        <v>0</v>
      </c>
      <c r="R238" s="77">
        <f>1-1</f>
        <v>0</v>
      </c>
      <c r="S238" s="77">
        <f>1-1</f>
        <v>0</v>
      </c>
      <c r="T238" s="77">
        <f>1-1</f>
        <v>0</v>
      </c>
      <c r="U238" s="77">
        <f>1-1+1</f>
        <v>1</v>
      </c>
      <c r="V238" s="77">
        <f>6-1+1-6</f>
        <v>0</v>
      </c>
      <c r="W238" s="63"/>
      <c r="X238" s="63"/>
      <c r="Z238" s="71"/>
      <c r="AA238" s="54">
        <v>1410626</v>
      </c>
      <c r="AB238" s="54">
        <v>428</v>
      </c>
      <c r="AC238" s="54"/>
    </row>
    <row r="239" spans="1:29" ht="60" hidden="1" customHeight="1" x14ac:dyDescent="0.2">
      <c r="A239" s="69" t="s">
        <v>430</v>
      </c>
      <c r="B239" s="74"/>
      <c r="C239" s="66" t="s">
        <v>196</v>
      </c>
      <c r="D239" s="53" t="s">
        <v>58</v>
      </c>
      <c r="E239" s="54" t="s">
        <v>34</v>
      </c>
      <c r="F239" s="55" t="s">
        <v>59</v>
      </c>
      <c r="G239" s="67" t="s">
        <v>50</v>
      </c>
      <c r="H239" s="57" t="s">
        <v>37</v>
      </c>
      <c r="I239" s="55" t="s">
        <v>51</v>
      </c>
      <c r="J239" s="57" t="e">
        <f>ROUND(#REF!*2.4,-1)</f>
        <v>#REF!</v>
      </c>
      <c r="K239" s="58"/>
      <c r="L239" s="59">
        <v>0</v>
      </c>
      <c r="M239" s="60"/>
      <c r="N239" s="61"/>
      <c r="O239" s="61"/>
      <c r="P239" s="62"/>
      <c r="Q239" s="62"/>
      <c r="R239" s="62"/>
      <c r="S239" s="62"/>
      <c r="T239" s="62"/>
      <c r="U239" s="62"/>
      <c r="V239" s="62"/>
      <c r="W239" s="63"/>
      <c r="X239" s="63"/>
      <c r="Z239" s="64"/>
      <c r="AA239" s="54"/>
      <c r="AB239" s="54"/>
      <c r="AC239" s="54"/>
    </row>
    <row r="240" spans="1:29" ht="60" hidden="1" customHeight="1" x14ac:dyDescent="0.2">
      <c r="A240" s="69" t="s">
        <v>431</v>
      </c>
      <c r="B240" s="70"/>
      <c r="C240" s="66" t="s">
        <v>331</v>
      </c>
      <c r="D240" s="57" t="s">
        <v>58</v>
      </c>
      <c r="E240" s="54" t="s">
        <v>34</v>
      </c>
      <c r="F240" s="67" t="s">
        <v>59</v>
      </c>
      <c r="G240" s="67" t="s">
        <v>50</v>
      </c>
      <c r="H240" s="57" t="s">
        <v>60</v>
      </c>
      <c r="I240" s="55" t="s">
        <v>51</v>
      </c>
      <c r="J240" s="57" t="e">
        <f>ROUND(#REF!*2.4,-1)</f>
        <v>#REF!</v>
      </c>
      <c r="K240" s="58"/>
      <c r="L240" s="59">
        <f>3-3</f>
        <v>0</v>
      </c>
      <c r="M240" s="60"/>
      <c r="N240" s="61"/>
      <c r="O240" s="61"/>
      <c r="P240" s="62">
        <f>33-33</f>
        <v>0</v>
      </c>
      <c r="Q240" s="62">
        <f>30-30</f>
        <v>0</v>
      </c>
      <c r="R240" s="62">
        <f>23-23</f>
        <v>0</v>
      </c>
      <c r="S240" s="62">
        <f>30-30</f>
        <v>0</v>
      </c>
      <c r="T240" s="62">
        <f>4-4</f>
        <v>0</v>
      </c>
      <c r="U240" s="62"/>
      <c r="V240" s="62"/>
      <c r="W240" s="63"/>
      <c r="X240" s="63"/>
      <c r="Z240" s="71"/>
      <c r="AA240" s="54"/>
      <c r="AB240" s="54"/>
      <c r="AC240" s="54"/>
    </row>
    <row r="241" spans="1:29" ht="60" customHeight="1" x14ac:dyDescent="0.2">
      <c r="A241" s="69" t="s">
        <v>432</v>
      </c>
      <c r="B241" s="70"/>
      <c r="C241" s="66" t="s">
        <v>120</v>
      </c>
      <c r="D241" s="53" t="s">
        <v>48</v>
      </c>
      <c r="E241" s="54" t="s">
        <v>34</v>
      </c>
      <c r="F241" s="55" t="s">
        <v>49</v>
      </c>
      <c r="G241" s="67" t="s">
        <v>50</v>
      </c>
      <c r="H241" s="57" t="s">
        <v>60</v>
      </c>
      <c r="I241" s="55" t="s">
        <v>51</v>
      </c>
      <c r="J241" s="57" t="e">
        <f>ROUND(#REF!*2.4,-1)</f>
        <v>#REF!</v>
      </c>
      <c r="K241" s="58"/>
      <c r="L241" s="59">
        <f>16-1</f>
        <v>15</v>
      </c>
      <c r="M241" s="60"/>
      <c r="N241" s="61"/>
      <c r="O241" s="61"/>
      <c r="P241" s="62"/>
      <c r="Q241" s="62">
        <f>1-1</f>
        <v>0</v>
      </c>
      <c r="R241" s="62">
        <f>1-1</f>
        <v>0</v>
      </c>
      <c r="S241" s="62">
        <f>1-1+1</f>
        <v>1</v>
      </c>
      <c r="T241" s="62">
        <f>1-1+1</f>
        <v>1</v>
      </c>
      <c r="U241" s="62">
        <f>1-1+1</f>
        <v>1</v>
      </c>
      <c r="V241" s="62">
        <f>14-2</f>
        <v>12</v>
      </c>
      <c r="W241" s="63"/>
      <c r="X241" s="63"/>
      <c r="Z241" s="64"/>
      <c r="AA241" s="54"/>
      <c r="AB241" s="54"/>
      <c r="AC241" s="54"/>
    </row>
    <row r="242" spans="1:29" ht="60" customHeight="1" x14ac:dyDescent="0.2">
      <c r="A242" s="69" t="s">
        <v>433</v>
      </c>
      <c r="B242" s="92"/>
      <c r="C242" s="66" t="s">
        <v>168</v>
      </c>
      <c r="D242" s="53" t="s">
        <v>48</v>
      </c>
      <c r="E242" s="54" t="s">
        <v>34</v>
      </c>
      <c r="F242" s="55" t="s">
        <v>49</v>
      </c>
      <c r="G242" s="56" t="s">
        <v>36</v>
      </c>
      <c r="H242" s="57" t="s">
        <v>123</v>
      </c>
      <c r="I242" s="55" t="s">
        <v>51</v>
      </c>
      <c r="J242" s="57" t="e">
        <f>ROUND(#REF!*2.4,-1)</f>
        <v>#REF!</v>
      </c>
      <c r="K242" s="58"/>
      <c r="L242" s="59">
        <f>6-3</f>
        <v>3</v>
      </c>
      <c r="M242" s="60"/>
      <c r="N242" s="61"/>
      <c r="O242" s="61"/>
      <c r="P242" s="62"/>
      <c r="Q242" s="62">
        <f>2-1</f>
        <v>1</v>
      </c>
      <c r="R242" s="62">
        <f>2-1</f>
        <v>1</v>
      </c>
      <c r="S242" s="62">
        <f>1-1</f>
        <v>0</v>
      </c>
      <c r="T242" s="62">
        <f>3-2</f>
        <v>1</v>
      </c>
      <c r="U242" s="62">
        <f>1-1</f>
        <v>0</v>
      </c>
      <c r="V242" s="62">
        <f>1-1</f>
        <v>0</v>
      </c>
      <c r="W242" s="63"/>
      <c r="X242" s="63"/>
      <c r="Z242" s="64"/>
      <c r="AA242" s="54"/>
      <c r="AB242" s="54"/>
      <c r="AC242" s="54"/>
    </row>
    <row r="243" spans="1:29" ht="60" customHeight="1" x14ac:dyDescent="0.2">
      <c r="A243" s="69" t="s">
        <v>434</v>
      </c>
      <c r="B243" s="74" t="s">
        <v>329</v>
      </c>
      <c r="C243" s="66" t="s">
        <v>435</v>
      </c>
      <c r="D243" s="53" t="s">
        <v>48</v>
      </c>
      <c r="E243" s="68" t="s">
        <v>34</v>
      </c>
      <c r="F243" s="55" t="s">
        <v>49</v>
      </c>
      <c r="G243" s="56" t="s">
        <v>36</v>
      </c>
      <c r="H243" s="57" t="s">
        <v>375</v>
      </c>
      <c r="I243" s="55" t="s">
        <v>51</v>
      </c>
      <c r="J243" s="57" t="e">
        <f>ROUND(#REF!*2.4,-1)</f>
        <v>#REF!</v>
      </c>
      <c r="K243" s="58"/>
      <c r="L243" s="59">
        <f>26-3</f>
        <v>23</v>
      </c>
      <c r="M243" s="60"/>
      <c r="N243" s="61"/>
      <c r="O243" s="61"/>
      <c r="P243" s="62"/>
      <c r="Q243" s="62">
        <f>10-1</f>
        <v>9</v>
      </c>
      <c r="R243" s="62">
        <f>5-1</f>
        <v>4</v>
      </c>
      <c r="S243" s="62">
        <f>6-1</f>
        <v>5</v>
      </c>
      <c r="T243" s="62">
        <f>4-2</f>
        <v>2</v>
      </c>
      <c r="U243" s="62">
        <f>1-1+3</f>
        <v>3</v>
      </c>
      <c r="V243" s="62">
        <f>1-1</f>
        <v>0</v>
      </c>
      <c r="W243" s="63"/>
      <c r="X243" s="63"/>
      <c r="Z243" s="64"/>
      <c r="AA243" s="54"/>
      <c r="AB243" s="54"/>
      <c r="AC243" s="54"/>
    </row>
    <row r="244" spans="1:29" ht="60" customHeight="1" x14ac:dyDescent="0.2">
      <c r="A244" s="69" t="s">
        <v>436</v>
      </c>
      <c r="B244" s="74" t="s">
        <v>329</v>
      </c>
      <c r="C244" s="66" t="s">
        <v>435</v>
      </c>
      <c r="D244" s="57" t="s">
        <v>58</v>
      </c>
      <c r="E244" s="54" t="s">
        <v>34</v>
      </c>
      <c r="F244" s="67" t="s">
        <v>59</v>
      </c>
      <c r="G244" s="56" t="s">
        <v>36</v>
      </c>
      <c r="H244" s="57" t="s">
        <v>437</v>
      </c>
      <c r="I244" s="67" t="s">
        <v>51</v>
      </c>
      <c r="J244" s="57" t="e">
        <f>ROUND(#REF!*2.4,-1)</f>
        <v>#REF!</v>
      </c>
      <c r="K244" s="58"/>
      <c r="L244" s="59">
        <f>5-1</f>
        <v>4</v>
      </c>
      <c r="M244" s="60"/>
      <c r="N244" s="61"/>
      <c r="O244" s="61"/>
      <c r="P244" s="62">
        <f>1-1+1</f>
        <v>1</v>
      </c>
      <c r="Q244" s="62">
        <f>2-2+1</f>
        <v>1</v>
      </c>
      <c r="R244" s="62">
        <f>1-1</f>
        <v>0</v>
      </c>
      <c r="S244" s="62">
        <f>2-2+1</f>
        <v>1</v>
      </c>
      <c r="T244" s="62">
        <f>3-3+1</f>
        <v>1</v>
      </c>
      <c r="U244" s="62"/>
      <c r="V244" s="62"/>
      <c r="W244" s="63"/>
      <c r="X244" s="63"/>
      <c r="Z244" s="64"/>
      <c r="AA244" s="54"/>
      <c r="AB244" s="54"/>
      <c r="AC244" s="54"/>
    </row>
    <row r="245" spans="1:29" ht="60" customHeight="1" x14ac:dyDescent="0.2">
      <c r="A245" s="69" t="s">
        <v>438</v>
      </c>
      <c r="B245" s="74"/>
      <c r="C245" s="66" t="s">
        <v>435</v>
      </c>
      <c r="D245" s="53" t="s">
        <v>48</v>
      </c>
      <c r="E245" s="54" t="s">
        <v>34</v>
      </c>
      <c r="F245" s="55" t="s">
        <v>49</v>
      </c>
      <c r="G245" s="56" t="s">
        <v>36</v>
      </c>
      <c r="H245" s="57" t="s">
        <v>437</v>
      </c>
      <c r="I245" s="55" t="s">
        <v>51</v>
      </c>
      <c r="J245" s="57" t="e">
        <f>ROUND(#REF!*2.4,-1)</f>
        <v>#REF!</v>
      </c>
      <c r="K245" s="58"/>
      <c r="L245" s="59">
        <f>10-3</f>
        <v>7</v>
      </c>
      <c r="M245" s="60"/>
      <c r="N245" s="61"/>
      <c r="O245" s="61"/>
      <c r="P245" s="62"/>
      <c r="Q245" s="62">
        <f>5-1</f>
        <v>4</v>
      </c>
      <c r="R245" s="62">
        <f>4-2</f>
        <v>2</v>
      </c>
      <c r="S245" s="62">
        <f>2-1</f>
        <v>1</v>
      </c>
      <c r="T245" s="62">
        <f>3-3</f>
        <v>0</v>
      </c>
      <c r="U245" s="62">
        <f>2-2</f>
        <v>0</v>
      </c>
      <c r="V245" s="62"/>
      <c r="W245" s="63"/>
      <c r="X245" s="63"/>
      <c r="Z245" s="64"/>
      <c r="AA245" s="54"/>
      <c r="AB245" s="54"/>
      <c r="AC245" s="54"/>
    </row>
    <row r="246" spans="1:29" ht="60" customHeight="1" x14ac:dyDescent="0.2">
      <c r="A246" s="69" t="s">
        <v>439</v>
      </c>
      <c r="B246" s="74"/>
      <c r="C246" s="66" t="s">
        <v>435</v>
      </c>
      <c r="D246" s="53" t="s">
        <v>48</v>
      </c>
      <c r="E246" s="54" t="s">
        <v>34</v>
      </c>
      <c r="F246" s="55" t="s">
        <v>49</v>
      </c>
      <c r="G246" s="56" t="s">
        <v>36</v>
      </c>
      <c r="H246" s="57" t="s">
        <v>149</v>
      </c>
      <c r="I246" s="55" t="s">
        <v>51</v>
      </c>
      <c r="J246" s="57" t="e">
        <f>ROUND(#REF!*2.4,-1)</f>
        <v>#REF!</v>
      </c>
      <c r="K246" s="58"/>
      <c r="L246" s="59">
        <f>25-1</f>
        <v>24</v>
      </c>
      <c r="M246" s="60"/>
      <c r="N246" s="61"/>
      <c r="O246" s="61"/>
      <c r="P246" s="62"/>
      <c r="Q246" s="62">
        <f>9-1</f>
        <v>8</v>
      </c>
      <c r="R246" s="62">
        <f>8-1</f>
        <v>7</v>
      </c>
      <c r="S246" s="62">
        <f>10-1</f>
        <v>9</v>
      </c>
      <c r="T246" s="62">
        <f>3-3</f>
        <v>0</v>
      </c>
      <c r="U246" s="62">
        <f>1-1</f>
        <v>0</v>
      </c>
      <c r="V246" s="62"/>
      <c r="W246" s="63"/>
      <c r="X246" s="63"/>
      <c r="Z246" s="64"/>
      <c r="AA246" s="54"/>
      <c r="AB246" s="54"/>
      <c r="AC246" s="54"/>
    </row>
    <row r="247" spans="1:29" ht="60" hidden="1" customHeight="1" x14ac:dyDescent="0.2">
      <c r="A247" s="69" t="s">
        <v>440</v>
      </c>
      <c r="B247" s="74"/>
      <c r="C247" s="66" t="s">
        <v>441</v>
      </c>
      <c r="D247" s="57" t="s">
        <v>48</v>
      </c>
      <c r="E247" s="54" t="s">
        <v>34</v>
      </c>
      <c r="F247" s="67" t="s">
        <v>121</v>
      </c>
      <c r="G247" s="56" t="s">
        <v>36</v>
      </c>
      <c r="H247" s="57" t="s">
        <v>442</v>
      </c>
      <c r="I247" s="67" t="s">
        <v>51</v>
      </c>
      <c r="J247" s="57" t="e">
        <f>ROUND(#REF!*2.4,-1)</f>
        <v>#REF!</v>
      </c>
      <c r="K247" s="58"/>
      <c r="L247" s="59">
        <f>3-3</f>
        <v>0</v>
      </c>
      <c r="M247" s="60"/>
      <c r="N247" s="61"/>
      <c r="O247" s="61"/>
      <c r="P247" s="62"/>
      <c r="Q247" s="62">
        <f t="shared" ref="Q247:U249" si="16">1-1</f>
        <v>0</v>
      </c>
      <c r="R247" s="62">
        <f t="shared" si="16"/>
        <v>0</v>
      </c>
      <c r="S247" s="62">
        <f t="shared" si="16"/>
        <v>0</v>
      </c>
      <c r="T247" s="62">
        <f t="shared" si="16"/>
        <v>0</v>
      </c>
      <c r="U247" s="62">
        <f t="shared" si="16"/>
        <v>0</v>
      </c>
      <c r="V247" s="62"/>
      <c r="W247" s="63"/>
      <c r="X247" s="63"/>
      <c r="Z247" s="64"/>
      <c r="AA247" s="54"/>
      <c r="AB247" s="54"/>
      <c r="AC247" s="54"/>
    </row>
    <row r="248" spans="1:29" ht="60" hidden="1" customHeight="1" x14ac:dyDescent="0.2">
      <c r="A248" s="69" t="s">
        <v>443</v>
      </c>
      <c r="B248" s="51"/>
      <c r="C248" s="87" t="s">
        <v>441</v>
      </c>
      <c r="D248" s="53" t="s">
        <v>48</v>
      </c>
      <c r="E248" s="54" t="s">
        <v>34</v>
      </c>
      <c r="F248" s="55" t="s">
        <v>121</v>
      </c>
      <c r="G248" s="56" t="s">
        <v>36</v>
      </c>
      <c r="H248" s="57" t="s">
        <v>378</v>
      </c>
      <c r="I248" s="55" t="s">
        <v>51</v>
      </c>
      <c r="J248" s="57" t="e">
        <f>ROUND(#REF!*2.4,-1)</f>
        <v>#REF!</v>
      </c>
      <c r="K248" s="58"/>
      <c r="L248" s="59">
        <f>1-1</f>
        <v>0</v>
      </c>
      <c r="M248" s="60"/>
      <c r="N248" s="61"/>
      <c r="O248" s="61"/>
      <c r="P248" s="62"/>
      <c r="Q248" s="62">
        <f>1-1</f>
        <v>0</v>
      </c>
      <c r="R248" s="62">
        <f>1-1+1-1</f>
        <v>0</v>
      </c>
      <c r="S248" s="62">
        <f t="shared" si="16"/>
        <v>0</v>
      </c>
      <c r="T248" s="62">
        <f>1-1</f>
        <v>0</v>
      </c>
      <c r="U248" s="62">
        <f t="shared" si="16"/>
        <v>0</v>
      </c>
      <c r="V248" s="62"/>
      <c r="W248" s="63"/>
      <c r="X248" s="63"/>
      <c r="Z248" s="64"/>
      <c r="AA248" s="54"/>
      <c r="AB248" s="54"/>
      <c r="AC248" s="54"/>
    </row>
    <row r="249" spans="1:29" ht="60" hidden="1" customHeight="1" x14ac:dyDescent="0.2">
      <c r="A249" s="69" t="s">
        <v>444</v>
      </c>
      <c r="B249" s="51"/>
      <c r="C249" s="87" t="s">
        <v>441</v>
      </c>
      <c r="D249" s="53" t="s">
        <v>48</v>
      </c>
      <c r="E249" s="54" t="s">
        <v>34</v>
      </c>
      <c r="F249" s="55" t="s">
        <v>121</v>
      </c>
      <c r="G249" s="56" t="s">
        <v>36</v>
      </c>
      <c r="H249" s="57" t="s">
        <v>84</v>
      </c>
      <c r="I249" s="55" t="s">
        <v>51</v>
      </c>
      <c r="J249" s="57" t="e">
        <f>ROUND(#REF!*2.4,-1)</f>
        <v>#REF!</v>
      </c>
      <c r="K249" s="58"/>
      <c r="L249" s="59">
        <f>1-1</f>
        <v>0</v>
      </c>
      <c r="M249" s="60"/>
      <c r="N249" s="61"/>
      <c r="O249" s="61"/>
      <c r="P249" s="62"/>
      <c r="Q249" s="62">
        <f>1-1</f>
        <v>0</v>
      </c>
      <c r="R249" s="62">
        <f t="shared" si="16"/>
        <v>0</v>
      </c>
      <c r="S249" s="62">
        <f>1-1+1-1</f>
        <v>0</v>
      </c>
      <c r="T249" s="62">
        <f>1-1</f>
        <v>0</v>
      </c>
      <c r="U249" s="62">
        <f>3-3</f>
        <v>0</v>
      </c>
      <c r="V249" s="62"/>
      <c r="W249" s="63"/>
      <c r="X249" s="63"/>
      <c r="Z249" s="64"/>
      <c r="AA249" s="54"/>
      <c r="AB249" s="54"/>
      <c r="AC249" s="54"/>
    </row>
    <row r="250" spans="1:29" ht="60" customHeight="1" x14ac:dyDescent="0.2">
      <c r="A250" s="69" t="s">
        <v>445</v>
      </c>
      <c r="B250" s="74"/>
      <c r="C250" s="66" t="s">
        <v>446</v>
      </c>
      <c r="D250" s="53" t="s">
        <v>48</v>
      </c>
      <c r="E250" s="54" t="s">
        <v>34</v>
      </c>
      <c r="F250" s="55" t="s">
        <v>49</v>
      </c>
      <c r="G250" s="56" t="s">
        <v>36</v>
      </c>
      <c r="H250" s="57" t="s">
        <v>378</v>
      </c>
      <c r="I250" s="55" t="s">
        <v>51</v>
      </c>
      <c r="J250" s="57" t="e">
        <f>ROUND(#REF!*2.4,-1)</f>
        <v>#REF!</v>
      </c>
      <c r="K250" s="58"/>
      <c r="L250" s="59">
        <f>15-4</f>
        <v>11</v>
      </c>
      <c r="M250" s="60"/>
      <c r="N250" s="61"/>
      <c r="O250" s="61"/>
      <c r="P250" s="62"/>
      <c r="Q250" s="62">
        <f>4-1</f>
        <v>3</v>
      </c>
      <c r="R250" s="62">
        <f>5-2</f>
        <v>3</v>
      </c>
      <c r="S250" s="62">
        <f>2-1</f>
        <v>1</v>
      </c>
      <c r="T250" s="62">
        <f>4-1</f>
        <v>3</v>
      </c>
      <c r="U250" s="62">
        <f>3-2</f>
        <v>1</v>
      </c>
      <c r="V250" s="62">
        <f>1-1</f>
        <v>0</v>
      </c>
      <c r="W250" s="63"/>
      <c r="X250" s="63"/>
      <c r="Z250" s="64"/>
      <c r="AA250" s="54"/>
      <c r="AB250" s="54"/>
      <c r="AC250" s="54"/>
    </row>
    <row r="251" spans="1:29" ht="60" customHeight="1" x14ac:dyDescent="0.2">
      <c r="A251" s="69" t="s">
        <v>447</v>
      </c>
      <c r="B251" s="74"/>
      <c r="C251" s="66" t="s">
        <v>142</v>
      </c>
      <c r="D251" s="53" t="s">
        <v>48</v>
      </c>
      <c r="E251" s="54" t="s">
        <v>34</v>
      </c>
      <c r="F251" s="55" t="s">
        <v>121</v>
      </c>
      <c r="G251" s="56" t="s">
        <v>36</v>
      </c>
      <c r="H251" s="57" t="s">
        <v>123</v>
      </c>
      <c r="I251" s="55" t="s">
        <v>51</v>
      </c>
      <c r="J251" s="57" t="e">
        <f>ROUND(#REF!*2.4,-1)</f>
        <v>#REF!</v>
      </c>
      <c r="K251" s="58"/>
      <c r="L251" s="59">
        <f>1-1+1</f>
        <v>1</v>
      </c>
      <c r="M251" s="60"/>
      <c r="N251" s="61"/>
      <c r="O251" s="61"/>
      <c r="P251" s="62"/>
      <c r="Q251" s="62">
        <f>3-3</f>
        <v>0</v>
      </c>
      <c r="R251" s="62">
        <f>1-1+1</f>
        <v>1</v>
      </c>
      <c r="S251" s="62">
        <f t="shared" ref="R251:U252" si="17">1-1</f>
        <v>0</v>
      </c>
      <c r="T251" s="62">
        <f t="shared" si="17"/>
        <v>0</v>
      </c>
      <c r="U251" s="62">
        <f>1-1</f>
        <v>0</v>
      </c>
      <c r="V251" s="62"/>
      <c r="W251" s="63"/>
      <c r="X251" s="63"/>
      <c r="Z251" s="64"/>
      <c r="AA251" s="54"/>
      <c r="AB251" s="54"/>
      <c r="AC251" s="54"/>
    </row>
    <row r="252" spans="1:29" ht="60" customHeight="1" x14ac:dyDescent="0.2">
      <c r="A252" s="69" t="s">
        <v>448</v>
      </c>
      <c r="B252" s="51"/>
      <c r="C252" s="66" t="s">
        <v>449</v>
      </c>
      <c r="D252" s="53" t="s">
        <v>48</v>
      </c>
      <c r="E252" s="54" t="s">
        <v>34</v>
      </c>
      <c r="F252" s="55" t="s">
        <v>121</v>
      </c>
      <c r="G252" s="56" t="s">
        <v>36</v>
      </c>
      <c r="H252" s="57" t="s">
        <v>84</v>
      </c>
      <c r="I252" s="55" t="s">
        <v>51</v>
      </c>
      <c r="J252" s="57" t="e">
        <f>ROUND(#REF!*2.4,-1)</f>
        <v>#REF!</v>
      </c>
      <c r="K252" s="58"/>
      <c r="L252" s="59">
        <f>3-2+2</f>
        <v>3</v>
      </c>
      <c r="M252" s="60"/>
      <c r="N252" s="61"/>
      <c r="O252" s="61"/>
      <c r="P252" s="62"/>
      <c r="Q252" s="62">
        <f>2-1</f>
        <v>1</v>
      </c>
      <c r="R252" s="62">
        <f t="shared" si="17"/>
        <v>0</v>
      </c>
      <c r="S252" s="62">
        <f>1-1+1</f>
        <v>1</v>
      </c>
      <c r="T252" s="62">
        <f t="shared" si="17"/>
        <v>0</v>
      </c>
      <c r="U252" s="62">
        <f>1-1+1</f>
        <v>1</v>
      </c>
      <c r="V252" s="62"/>
      <c r="W252" s="63"/>
      <c r="X252" s="63"/>
      <c r="Z252" s="64"/>
      <c r="AA252" s="54"/>
      <c r="AB252" s="54"/>
      <c r="AC252" s="54"/>
    </row>
    <row r="253" spans="1:29" ht="60" customHeight="1" x14ac:dyDescent="0.2">
      <c r="A253" s="69" t="s">
        <v>450</v>
      </c>
      <c r="B253" s="74" t="s">
        <v>329</v>
      </c>
      <c r="C253" s="66" t="s">
        <v>451</v>
      </c>
      <c r="D253" s="53" t="s">
        <v>48</v>
      </c>
      <c r="E253" s="54" t="s">
        <v>34</v>
      </c>
      <c r="F253" s="55" t="s">
        <v>121</v>
      </c>
      <c r="G253" s="56" t="s">
        <v>36</v>
      </c>
      <c r="H253" s="57" t="s">
        <v>60</v>
      </c>
      <c r="I253" s="55" t="s">
        <v>51</v>
      </c>
      <c r="J253" s="57" t="e">
        <f>ROUND(#REF!*2.4,-1)</f>
        <v>#REF!</v>
      </c>
      <c r="K253" s="58"/>
      <c r="L253" s="59">
        <f>29-3</f>
        <v>26</v>
      </c>
      <c r="M253" s="60"/>
      <c r="N253" s="61"/>
      <c r="O253" s="61"/>
      <c r="P253" s="62"/>
      <c r="Q253" s="62">
        <f>5-1+2</f>
        <v>6</v>
      </c>
      <c r="R253" s="62">
        <f>4-1+2</f>
        <v>5</v>
      </c>
      <c r="S253" s="62">
        <f>9-1</f>
        <v>8</v>
      </c>
      <c r="T253" s="62">
        <f>1-1+1+1+2</f>
        <v>4</v>
      </c>
      <c r="U253" s="62">
        <f>3-1</f>
        <v>2</v>
      </c>
      <c r="V253" s="62">
        <f>2-1</f>
        <v>1</v>
      </c>
      <c r="W253" s="63"/>
      <c r="X253" s="63"/>
      <c r="Z253" s="64"/>
      <c r="AA253" s="54"/>
      <c r="AB253" s="54"/>
      <c r="AC253" s="54"/>
    </row>
    <row r="254" spans="1:29" ht="60" customHeight="1" x14ac:dyDescent="0.2">
      <c r="A254" s="69" t="s">
        <v>452</v>
      </c>
      <c r="B254" s="51"/>
      <c r="C254" s="87" t="s">
        <v>365</v>
      </c>
      <c r="D254" s="53" t="s">
        <v>48</v>
      </c>
      <c r="E254" s="54" t="s">
        <v>34</v>
      </c>
      <c r="F254" s="55" t="s">
        <v>121</v>
      </c>
      <c r="G254" s="56" t="s">
        <v>36</v>
      </c>
      <c r="H254" s="57" t="s">
        <v>60</v>
      </c>
      <c r="I254" s="55" t="s">
        <v>51</v>
      </c>
      <c r="J254" s="57" t="e">
        <f>ROUND(#REF!*2.4,-1)</f>
        <v>#REF!</v>
      </c>
      <c r="K254" s="58"/>
      <c r="L254" s="59">
        <f>1-1+3</f>
        <v>3</v>
      </c>
      <c r="M254" s="60"/>
      <c r="N254" s="61"/>
      <c r="O254" s="61"/>
      <c r="P254" s="77"/>
      <c r="Q254" s="77">
        <f>1-1</f>
        <v>0</v>
      </c>
      <c r="R254" s="77">
        <f>1-1+1</f>
        <v>1</v>
      </c>
      <c r="S254" s="77">
        <f>1-1</f>
        <v>0</v>
      </c>
      <c r="T254" s="77">
        <f>2-2</f>
        <v>0</v>
      </c>
      <c r="U254" s="77">
        <f>2-2+2</f>
        <v>2</v>
      </c>
      <c r="V254" s="62">
        <f>12-12</f>
        <v>0</v>
      </c>
      <c r="W254" s="63"/>
      <c r="X254" s="63"/>
      <c r="Z254" s="64"/>
      <c r="AA254" s="54">
        <v>2820015</v>
      </c>
      <c r="AB254" s="54">
        <v>450</v>
      </c>
      <c r="AC254" s="54"/>
    </row>
    <row r="255" spans="1:29" ht="60" hidden="1" customHeight="1" x14ac:dyDescent="0.2">
      <c r="A255" s="69" t="s">
        <v>453</v>
      </c>
      <c r="B255" s="74"/>
      <c r="C255" s="66" t="s">
        <v>454</v>
      </c>
      <c r="D255" s="57" t="s">
        <v>58</v>
      </c>
      <c r="E255" s="54" t="s">
        <v>34</v>
      </c>
      <c r="F255" s="67" t="s">
        <v>59</v>
      </c>
      <c r="G255" s="56" t="s">
        <v>36</v>
      </c>
      <c r="H255" s="57" t="s">
        <v>273</v>
      </c>
      <c r="I255" s="67" t="s">
        <v>51</v>
      </c>
      <c r="J255" s="57" t="e">
        <f>ROUND(#REF!*2.4,-1)</f>
        <v>#REF!</v>
      </c>
      <c r="K255" s="58"/>
      <c r="L255" s="59">
        <f>1-1</f>
        <v>0</v>
      </c>
      <c r="M255" s="60"/>
      <c r="N255" s="61"/>
      <c r="O255" s="61"/>
      <c r="P255" s="62">
        <f>2-2</f>
        <v>0</v>
      </c>
      <c r="Q255" s="62">
        <f>1-1</f>
        <v>0</v>
      </c>
      <c r="R255" s="62">
        <f>1-1</f>
        <v>0</v>
      </c>
      <c r="S255" s="62">
        <f>1-1</f>
        <v>0</v>
      </c>
      <c r="T255" s="62">
        <f>1-1</f>
        <v>0</v>
      </c>
      <c r="U255" s="62"/>
      <c r="V255" s="62"/>
      <c r="W255" s="63"/>
      <c r="X255" s="63"/>
      <c r="Z255" s="64"/>
      <c r="AA255" s="54"/>
      <c r="AB255" s="54"/>
      <c r="AC255" s="54"/>
    </row>
    <row r="256" spans="1:29" ht="60" customHeight="1" x14ac:dyDescent="0.2">
      <c r="A256" s="69" t="s">
        <v>455</v>
      </c>
      <c r="B256" s="74"/>
      <c r="C256" s="87" t="s">
        <v>456</v>
      </c>
      <c r="D256" s="57" t="s">
        <v>58</v>
      </c>
      <c r="E256" s="54" t="s">
        <v>34</v>
      </c>
      <c r="F256" s="67" t="s">
        <v>59</v>
      </c>
      <c r="G256" s="56" t="s">
        <v>36</v>
      </c>
      <c r="H256" s="89" t="s">
        <v>340</v>
      </c>
      <c r="I256" s="67" t="s">
        <v>51</v>
      </c>
      <c r="J256" s="57" t="e">
        <f>ROUND(#REF!*2.4,-1)</f>
        <v>#REF!</v>
      </c>
      <c r="K256" s="58"/>
      <c r="L256" s="59">
        <f>1-1+1</f>
        <v>1</v>
      </c>
      <c r="M256" s="60"/>
      <c r="N256" s="61"/>
      <c r="O256" s="61"/>
      <c r="P256" s="62">
        <f>1-1+1</f>
        <v>1</v>
      </c>
      <c r="Q256" s="62">
        <f>1-1</f>
        <v>0</v>
      </c>
      <c r="R256" s="62">
        <f>1-1+1-1</f>
        <v>0</v>
      </c>
      <c r="S256" s="62">
        <f>1-1</f>
        <v>0</v>
      </c>
      <c r="T256" s="62">
        <f>5-5</f>
        <v>0</v>
      </c>
      <c r="U256" s="62"/>
      <c r="V256" s="62"/>
      <c r="W256" s="63"/>
      <c r="X256" s="63"/>
      <c r="Z256" s="64"/>
      <c r="AA256" s="54"/>
      <c r="AB256" s="54"/>
      <c r="AC256" s="54"/>
    </row>
    <row r="257" spans="1:29" ht="60" hidden="1" customHeight="1" x14ac:dyDescent="0.2">
      <c r="A257" s="69" t="s">
        <v>457</v>
      </c>
      <c r="B257" s="78"/>
      <c r="C257" s="66" t="s">
        <v>101</v>
      </c>
      <c r="D257" s="57" t="s">
        <v>48</v>
      </c>
      <c r="E257" s="54" t="s">
        <v>34</v>
      </c>
      <c r="F257" s="67" t="s">
        <v>49</v>
      </c>
      <c r="G257" s="67" t="s">
        <v>50</v>
      </c>
      <c r="H257" s="57" t="s">
        <v>84</v>
      </c>
      <c r="I257" s="67" t="s">
        <v>51</v>
      </c>
      <c r="J257" s="57" t="e">
        <f>ROUND(#REF!*2.4,-1)</f>
        <v>#REF!</v>
      </c>
      <c r="K257" s="58"/>
      <c r="L257" s="88">
        <f>1-1</f>
        <v>0</v>
      </c>
      <c r="M257" s="60"/>
      <c r="N257" s="61"/>
      <c r="O257" s="61"/>
      <c r="P257" s="62"/>
      <c r="Q257" s="62"/>
      <c r="R257" s="62">
        <f>1-1</f>
        <v>0</v>
      </c>
      <c r="S257" s="62"/>
      <c r="T257" s="62"/>
      <c r="U257" s="62"/>
      <c r="V257" s="62"/>
      <c r="W257" s="63"/>
      <c r="X257" s="63"/>
      <c r="Z257" s="64"/>
      <c r="AA257" s="54"/>
      <c r="AB257" s="54"/>
      <c r="AC257" s="54"/>
    </row>
    <row r="258" spans="1:29" ht="60" customHeight="1" x14ac:dyDescent="0.2">
      <c r="A258" s="69" t="s">
        <v>458</v>
      </c>
      <c r="B258" s="51"/>
      <c r="C258" s="66" t="s">
        <v>101</v>
      </c>
      <c r="D258" s="53" t="s">
        <v>48</v>
      </c>
      <c r="E258" s="54" t="s">
        <v>34</v>
      </c>
      <c r="F258" s="55" t="s">
        <v>121</v>
      </c>
      <c r="G258" s="67" t="s">
        <v>50</v>
      </c>
      <c r="H258" s="57" t="s">
        <v>84</v>
      </c>
      <c r="I258" s="55" t="s">
        <v>51</v>
      </c>
      <c r="J258" s="57" t="e">
        <f>ROUND(#REF!*2.4,-1)</f>
        <v>#REF!</v>
      </c>
      <c r="K258" s="58"/>
      <c r="L258" s="59">
        <f>15-1</f>
        <v>14</v>
      </c>
      <c r="M258" s="60"/>
      <c r="N258" s="61"/>
      <c r="O258" s="61"/>
      <c r="P258" s="62"/>
      <c r="Q258" s="62">
        <f>2-2</f>
        <v>0</v>
      </c>
      <c r="R258" s="62">
        <f>2-2+2</f>
        <v>2</v>
      </c>
      <c r="S258" s="62">
        <f>1-1</f>
        <v>0</v>
      </c>
      <c r="T258" s="62">
        <f>3-2</f>
        <v>1</v>
      </c>
      <c r="U258" s="62">
        <f>12-1</f>
        <v>11</v>
      </c>
      <c r="V258" s="62"/>
      <c r="W258" s="63"/>
      <c r="X258" s="63"/>
      <c r="Z258" s="64"/>
      <c r="AA258" s="54"/>
      <c r="AB258" s="54"/>
      <c r="AC258" s="54"/>
    </row>
    <row r="259" spans="1:29" ht="60" hidden="1" customHeight="1" x14ac:dyDescent="0.2">
      <c r="A259" s="69" t="s">
        <v>459</v>
      </c>
      <c r="B259" s="74"/>
      <c r="C259" s="66" t="s">
        <v>127</v>
      </c>
      <c r="D259" s="57" t="s">
        <v>58</v>
      </c>
      <c r="E259" s="54" t="s">
        <v>34</v>
      </c>
      <c r="F259" s="67" t="s">
        <v>59</v>
      </c>
      <c r="G259" s="67" t="s">
        <v>50</v>
      </c>
      <c r="H259" s="57" t="s">
        <v>460</v>
      </c>
      <c r="I259" s="67" t="s">
        <v>51</v>
      </c>
      <c r="J259" s="57" t="e">
        <f>ROUND(#REF!*2.4,-1)</f>
        <v>#REF!</v>
      </c>
      <c r="K259" s="58"/>
      <c r="L259" s="59">
        <f>1-1</f>
        <v>0</v>
      </c>
      <c r="M259" s="60"/>
      <c r="N259" s="61"/>
      <c r="O259" s="61"/>
      <c r="P259" s="62">
        <f>6-6</f>
        <v>0</v>
      </c>
      <c r="Q259" s="62">
        <f>1-1</f>
        <v>0</v>
      </c>
      <c r="R259" s="62">
        <f>1-1</f>
        <v>0</v>
      </c>
      <c r="S259" s="62">
        <f>1-1</f>
        <v>0</v>
      </c>
      <c r="T259" s="62">
        <f>1-1</f>
        <v>0</v>
      </c>
      <c r="U259" s="62"/>
      <c r="V259" s="62"/>
      <c r="W259" s="63"/>
      <c r="X259" s="63"/>
      <c r="Z259" s="64"/>
      <c r="AA259" s="54"/>
      <c r="AB259" s="54"/>
      <c r="AC259" s="54"/>
    </row>
    <row r="260" spans="1:29" ht="60" hidden="1" customHeight="1" x14ac:dyDescent="0.2">
      <c r="A260" s="69" t="s">
        <v>461</v>
      </c>
      <c r="B260" s="70"/>
      <c r="C260" s="87" t="s">
        <v>283</v>
      </c>
      <c r="D260" s="57" t="s">
        <v>58</v>
      </c>
      <c r="E260" s="54" t="s">
        <v>34</v>
      </c>
      <c r="F260" s="67" t="s">
        <v>59</v>
      </c>
      <c r="G260" s="67" t="s">
        <v>50</v>
      </c>
      <c r="H260" s="57" t="s">
        <v>37</v>
      </c>
      <c r="I260" s="67" t="s">
        <v>51</v>
      </c>
      <c r="J260" s="57" t="e">
        <f>ROUND(#REF!*2.4,-1)</f>
        <v>#REF!</v>
      </c>
      <c r="K260" s="58"/>
      <c r="L260" s="59">
        <f>8-8</f>
        <v>0</v>
      </c>
      <c r="M260" s="60"/>
      <c r="N260" s="61"/>
      <c r="O260" s="61"/>
      <c r="P260" s="62">
        <f>1-1</f>
        <v>0</v>
      </c>
      <c r="Q260" s="62">
        <f>3-3</f>
        <v>0</v>
      </c>
      <c r="R260" s="62">
        <f>2-2</f>
        <v>0</v>
      </c>
      <c r="S260" s="62">
        <f>2-2</f>
        <v>0</v>
      </c>
      <c r="T260" s="62">
        <f>2-2</f>
        <v>0</v>
      </c>
      <c r="U260" s="62"/>
      <c r="V260" s="62"/>
      <c r="W260" s="63"/>
      <c r="X260" s="63"/>
      <c r="Z260" s="64"/>
      <c r="AA260" s="54"/>
      <c r="AB260" s="54"/>
      <c r="AC260" s="54"/>
    </row>
    <row r="261" spans="1:29" ht="60" customHeight="1" x14ac:dyDescent="0.2">
      <c r="A261" s="69" t="s">
        <v>462</v>
      </c>
      <c r="B261" s="70"/>
      <c r="C261" s="87" t="s">
        <v>283</v>
      </c>
      <c r="D261" s="57" t="s">
        <v>58</v>
      </c>
      <c r="E261" s="54" t="s">
        <v>34</v>
      </c>
      <c r="F261" s="67" t="s">
        <v>59</v>
      </c>
      <c r="G261" s="67" t="s">
        <v>50</v>
      </c>
      <c r="H261" s="57" t="s">
        <v>37</v>
      </c>
      <c r="I261" s="67" t="s">
        <v>51</v>
      </c>
      <c r="J261" s="57" t="e">
        <f>ROUND(#REF!*2.4,-1)</f>
        <v>#REF!</v>
      </c>
      <c r="K261" s="58"/>
      <c r="L261" s="59">
        <f>1-1+1</f>
        <v>1</v>
      </c>
      <c r="M261" s="60"/>
      <c r="N261" s="61"/>
      <c r="O261" s="61"/>
      <c r="P261" s="62"/>
      <c r="Q261" s="62">
        <f>1-1</f>
        <v>0</v>
      </c>
      <c r="R261" s="62">
        <f>1-1+1</f>
        <v>1</v>
      </c>
      <c r="S261" s="62">
        <f>3-3+1-1</f>
        <v>0</v>
      </c>
      <c r="T261" s="62">
        <f>1-1</f>
        <v>0</v>
      </c>
      <c r="U261" s="62"/>
      <c r="V261" s="62"/>
      <c r="W261" s="63"/>
      <c r="X261" s="63"/>
      <c r="Z261" s="64"/>
      <c r="AA261" s="54"/>
      <c r="AB261" s="54"/>
      <c r="AC261" s="54"/>
    </row>
    <row r="262" spans="1:29" ht="60" hidden="1" customHeight="1" x14ac:dyDescent="0.2">
      <c r="A262" s="69" t="s">
        <v>463</v>
      </c>
      <c r="B262" s="70"/>
      <c r="C262" s="87" t="s">
        <v>283</v>
      </c>
      <c r="D262" s="57" t="s">
        <v>58</v>
      </c>
      <c r="E262" s="54" t="s">
        <v>34</v>
      </c>
      <c r="F262" s="67" t="s">
        <v>59</v>
      </c>
      <c r="G262" s="67" t="s">
        <v>50</v>
      </c>
      <c r="H262" s="57" t="s">
        <v>37</v>
      </c>
      <c r="I262" s="67" t="s">
        <v>51</v>
      </c>
      <c r="J262" s="57" t="e">
        <f>ROUND(#REF!*2.4,-1)</f>
        <v>#REF!</v>
      </c>
      <c r="K262" s="58"/>
      <c r="L262" s="59">
        <f>3-3</f>
        <v>0</v>
      </c>
      <c r="M262" s="60"/>
      <c r="N262" s="61"/>
      <c r="O262" s="61"/>
      <c r="P262" s="62">
        <f>1-1</f>
        <v>0</v>
      </c>
      <c r="Q262" s="62">
        <f>1-1</f>
        <v>0</v>
      </c>
      <c r="R262" s="62">
        <f>1-1</f>
        <v>0</v>
      </c>
      <c r="S262" s="62">
        <f>1-1</f>
        <v>0</v>
      </c>
      <c r="T262" s="62">
        <f>1-1</f>
        <v>0</v>
      </c>
      <c r="U262" s="62"/>
      <c r="V262" s="62"/>
      <c r="W262" s="63"/>
      <c r="X262" s="63"/>
      <c r="Z262" s="64"/>
      <c r="AA262" s="54"/>
      <c r="AB262" s="54"/>
      <c r="AC262" s="54"/>
    </row>
    <row r="263" spans="1:29" ht="60" hidden="1" customHeight="1" x14ac:dyDescent="0.2">
      <c r="A263" s="69" t="s">
        <v>464</v>
      </c>
      <c r="B263" s="70"/>
      <c r="C263" s="87" t="s">
        <v>283</v>
      </c>
      <c r="D263" s="57" t="s">
        <v>58</v>
      </c>
      <c r="E263" s="54" t="s">
        <v>34</v>
      </c>
      <c r="F263" s="67" t="s">
        <v>59</v>
      </c>
      <c r="G263" s="67" t="s">
        <v>50</v>
      </c>
      <c r="H263" s="57" t="s">
        <v>37</v>
      </c>
      <c r="I263" s="67" t="s">
        <v>51</v>
      </c>
      <c r="J263" s="57" t="e">
        <f>ROUND(#REF!*2.4,-1)</f>
        <v>#REF!</v>
      </c>
      <c r="K263" s="58"/>
      <c r="L263" s="59">
        <f>3-3</f>
        <v>0</v>
      </c>
      <c r="M263" s="60"/>
      <c r="N263" s="61"/>
      <c r="O263" s="61"/>
      <c r="P263" s="62">
        <f>3-3+3-2-1</f>
        <v>0</v>
      </c>
      <c r="Q263" s="62">
        <f>2-2</f>
        <v>0</v>
      </c>
      <c r="R263" s="62">
        <f>1-1</f>
        <v>0</v>
      </c>
      <c r="S263" s="62">
        <f>1-1</f>
        <v>0</v>
      </c>
      <c r="T263" s="62">
        <f>1-1</f>
        <v>0</v>
      </c>
      <c r="U263" s="62"/>
      <c r="V263" s="62"/>
      <c r="W263" s="63"/>
      <c r="X263" s="63"/>
      <c r="Z263" s="64"/>
      <c r="AA263" s="54"/>
      <c r="AB263" s="54"/>
      <c r="AC263" s="54"/>
    </row>
    <row r="264" spans="1:29" ht="60" hidden="1" customHeight="1" x14ac:dyDescent="0.2">
      <c r="A264" s="72" t="s">
        <v>465</v>
      </c>
      <c r="B264" s="74"/>
      <c r="C264" s="66" t="s">
        <v>466</v>
      </c>
      <c r="D264" s="53" t="s">
        <v>58</v>
      </c>
      <c r="E264" s="54" t="s">
        <v>34</v>
      </c>
      <c r="F264" s="55" t="s">
        <v>59</v>
      </c>
      <c r="G264" s="67" t="s">
        <v>50</v>
      </c>
      <c r="H264" s="57" t="s">
        <v>60</v>
      </c>
      <c r="I264" s="55" t="s">
        <v>51</v>
      </c>
      <c r="J264" s="57" t="e">
        <f>ROUND(#REF!*2.4,-1)</f>
        <v>#REF!</v>
      </c>
      <c r="K264" s="58"/>
      <c r="L264" s="59">
        <f t="shared" ref="L264:L269" si="18">1-1</f>
        <v>0</v>
      </c>
      <c r="M264" s="60"/>
      <c r="N264" s="61"/>
      <c r="O264" s="61"/>
      <c r="P264" s="62">
        <f>3-3</f>
        <v>0</v>
      </c>
      <c r="Q264" s="62">
        <f>1-1</f>
        <v>0</v>
      </c>
      <c r="R264" s="62">
        <f>7-7</f>
        <v>0</v>
      </c>
      <c r="S264" s="62">
        <f>5-5</f>
        <v>0</v>
      </c>
      <c r="T264" s="62">
        <f>1-1</f>
        <v>0</v>
      </c>
      <c r="U264" s="62"/>
      <c r="V264" s="62"/>
      <c r="W264" s="63"/>
      <c r="X264" s="63"/>
      <c r="Z264" s="64"/>
      <c r="AA264" s="54">
        <v>3520096</v>
      </c>
      <c r="AB264" s="54">
        <v>455</v>
      </c>
      <c r="AC264" s="54"/>
    </row>
    <row r="265" spans="1:29" ht="60" customHeight="1" x14ac:dyDescent="0.2">
      <c r="A265" s="69" t="s">
        <v>467</v>
      </c>
      <c r="B265" s="70"/>
      <c r="C265" s="66" t="s">
        <v>113</v>
      </c>
      <c r="D265" s="57" t="s">
        <v>58</v>
      </c>
      <c r="E265" s="54" t="s">
        <v>34</v>
      </c>
      <c r="F265" s="67" t="s">
        <v>59</v>
      </c>
      <c r="G265" s="67" t="s">
        <v>50</v>
      </c>
      <c r="H265" s="57" t="s">
        <v>37</v>
      </c>
      <c r="I265" s="55" t="s">
        <v>51</v>
      </c>
      <c r="J265" s="57" t="e">
        <f>ROUND(#REF!*2.4,-1)</f>
        <v>#REF!</v>
      </c>
      <c r="K265" s="58"/>
      <c r="L265" s="59">
        <f>1-1+1</f>
        <v>1</v>
      </c>
      <c r="M265" s="60"/>
      <c r="N265" s="61"/>
      <c r="O265" s="61"/>
      <c r="P265" s="62">
        <f t="shared" ref="P265:T266" si="19">1-1</f>
        <v>0</v>
      </c>
      <c r="Q265" s="62">
        <f t="shared" si="19"/>
        <v>0</v>
      </c>
      <c r="R265" s="62">
        <f t="shared" si="19"/>
        <v>0</v>
      </c>
      <c r="S265" s="62">
        <f>1-1+1-1</f>
        <v>0</v>
      </c>
      <c r="T265" s="62">
        <f>1-1+1</f>
        <v>1</v>
      </c>
      <c r="U265" s="62"/>
      <c r="V265" s="62"/>
      <c r="W265" s="63"/>
      <c r="X265" s="63"/>
      <c r="Z265" s="64"/>
      <c r="AA265" s="54"/>
      <c r="AB265" s="54"/>
      <c r="AC265" s="54"/>
    </row>
    <row r="266" spans="1:29" ht="60" hidden="1" customHeight="1" x14ac:dyDescent="0.2">
      <c r="A266" s="69" t="s">
        <v>468</v>
      </c>
      <c r="B266" s="70"/>
      <c r="C266" s="66" t="s">
        <v>412</v>
      </c>
      <c r="D266" s="57" t="s">
        <v>58</v>
      </c>
      <c r="E266" s="54" t="s">
        <v>34</v>
      </c>
      <c r="F266" s="67" t="s">
        <v>59</v>
      </c>
      <c r="G266" s="67" t="s">
        <v>50</v>
      </c>
      <c r="H266" s="57" t="s">
        <v>37</v>
      </c>
      <c r="I266" s="55" t="s">
        <v>51</v>
      </c>
      <c r="J266" s="57" t="e">
        <f>ROUND(#REF!*2.4,-1)</f>
        <v>#REF!</v>
      </c>
      <c r="K266" s="58"/>
      <c r="L266" s="59">
        <f t="shared" si="18"/>
        <v>0</v>
      </c>
      <c r="M266" s="60"/>
      <c r="N266" s="61"/>
      <c r="O266" s="61"/>
      <c r="P266" s="62">
        <f t="shared" si="19"/>
        <v>0</v>
      </c>
      <c r="Q266" s="62">
        <f t="shared" si="19"/>
        <v>0</v>
      </c>
      <c r="R266" s="62">
        <f>1-1</f>
        <v>0</v>
      </c>
      <c r="S266" s="62">
        <f t="shared" si="19"/>
        <v>0</v>
      </c>
      <c r="T266" s="62">
        <f t="shared" si="19"/>
        <v>0</v>
      </c>
      <c r="U266" s="62"/>
      <c r="V266" s="62"/>
      <c r="W266" s="63"/>
      <c r="X266" s="63"/>
      <c r="Z266" s="64"/>
      <c r="AA266" s="54"/>
      <c r="AB266" s="54"/>
      <c r="AC266" s="54"/>
    </row>
    <row r="267" spans="1:29" ht="60" customHeight="1" x14ac:dyDescent="0.2">
      <c r="A267" s="69" t="s">
        <v>469</v>
      </c>
      <c r="B267" s="70"/>
      <c r="C267" s="66" t="s">
        <v>193</v>
      </c>
      <c r="D267" s="57" t="s">
        <v>58</v>
      </c>
      <c r="E267" s="54" t="s">
        <v>34</v>
      </c>
      <c r="F267" s="67" t="s">
        <v>59</v>
      </c>
      <c r="G267" s="67" t="s">
        <v>50</v>
      </c>
      <c r="H267" s="57" t="s">
        <v>37</v>
      </c>
      <c r="I267" s="55" t="s">
        <v>51</v>
      </c>
      <c r="J267" s="57" t="e">
        <f>ROUND(#REF!*2.4,-1)</f>
        <v>#REF!</v>
      </c>
      <c r="K267" s="58"/>
      <c r="L267" s="59">
        <f>1-1+1</f>
        <v>1</v>
      </c>
      <c r="M267" s="60"/>
      <c r="N267" s="61"/>
      <c r="O267" s="61"/>
      <c r="P267" s="62">
        <f>1-1</f>
        <v>0</v>
      </c>
      <c r="Q267" s="62">
        <f>1-1+1-1</f>
        <v>0</v>
      </c>
      <c r="R267" s="62">
        <f>1-1</f>
        <v>0</v>
      </c>
      <c r="S267" s="62">
        <f>1-1+1</f>
        <v>1</v>
      </c>
      <c r="T267" s="62">
        <f>1-1</f>
        <v>0</v>
      </c>
      <c r="U267" s="62"/>
      <c r="V267" s="62"/>
      <c r="W267" s="63"/>
      <c r="X267" s="63"/>
      <c r="Z267" s="64"/>
      <c r="AA267" s="54"/>
      <c r="AB267" s="54"/>
      <c r="AC267" s="54"/>
    </row>
    <row r="268" spans="1:29" ht="60" hidden="1" customHeight="1" x14ac:dyDescent="0.2">
      <c r="A268" s="69" t="s">
        <v>470</v>
      </c>
      <c r="B268" s="70"/>
      <c r="C268" s="66" t="s">
        <v>241</v>
      </c>
      <c r="D268" s="57" t="s">
        <v>58</v>
      </c>
      <c r="E268" s="54" t="s">
        <v>34</v>
      </c>
      <c r="F268" s="67" t="s">
        <v>59</v>
      </c>
      <c r="G268" s="67" t="s">
        <v>50</v>
      </c>
      <c r="H268" s="57" t="s">
        <v>37</v>
      </c>
      <c r="I268" s="55" t="s">
        <v>51</v>
      </c>
      <c r="J268" s="57" t="e">
        <f>ROUND(#REF!*2.4,-1)</f>
        <v>#REF!</v>
      </c>
      <c r="K268" s="58"/>
      <c r="L268" s="59">
        <f>1-1</f>
        <v>0</v>
      </c>
      <c r="M268" s="60"/>
      <c r="N268" s="61"/>
      <c r="O268" s="61"/>
      <c r="P268" s="62">
        <f>1-1+1-1</f>
        <v>0</v>
      </c>
      <c r="Q268" s="62">
        <f>1-1</f>
        <v>0</v>
      </c>
      <c r="R268" s="62">
        <f>1-1</f>
        <v>0</v>
      </c>
      <c r="S268" s="62">
        <f>1-1</f>
        <v>0</v>
      </c>
      <c r="T268" s="62">
        <f>1-1</f>
        <v>0</v>
      </c>
      <c r="U268" s="62"/>
      <c r="V268" s="62"/>
      <c r="W268" s="63"/>
      <c r="X268" s="63"/>
      <c r="Z268" s="71"/>
      <c r="AA268" s="54"/>
      <c r="AB268" s="54"/>
      <c r="AC268" s="54"/>
    </row>
    <row r="269" spans="1:29" ht="60" hidden="1" customHeight="1" x14ac:dyDescent="0.2">
      <c r="A269" s="69" t="s">
        <v>471</v>
      </c>
      <c r="B269" s="70"/>
      <c r="C269" s="66" t="s">
        <v>237</v>
      </c>
      <c r="D269" s="57" t="s">
        <v>58</v>
      </c>
      <c r="E269" s="54" t="s">
        <v>34</v>
      </c>
      <c r="F269" s="67" t="s">
        <v>59</v>
      </c>
      <c r="G269" s="67" t="s">
        <v>50</v>
      </c>
      <c r="H269" s="57" t="s">
        <v>37</v>
      </c>
      <c r="I269" s="55" t="s">
        <v>51</v>
      </c>
      <c r="J269" s="57" t="e">
        <f>ROUND(#REF!*2.4,-1)</f>
        <v>#REF!</v>
      </c>
      <c r="K269" s="58"/>
      <c r="L269" s="59">
        <f t="shared" si="18"/>
        <v>0</v>
      </c>
      <c r="M269" s="60"/>
      <c r="N269" s="61"/>
      <c r="O269" s="61"/>
      <c r="P269" s="62">
        <f t="shared" ref="P269:S272" si="20">1-1</f>
        <v>0</v>
      </c>
      <c r="Q269" s="62">
        <f t="shared" si="20"/>
        <v>0</v>
      </c>
      <c r="R269" s="62">
        <f>1-1</f>
        <v>0</v>
      </c>
      <c r="S269" s="62">
        <f>1-1</f>
        <v>0</v>
      </c>
      <c r="T269" s="62">
        <f>2-2</f>
        <v>0</v>
      </c>
      <c r="U269" s="62"/>
      <c r="V269" s="62"/>
      <c r="W269" s="63"/>
      <c r="X269" s="63"/>
      <c r="Z269" s="71"/>
      <c r="AA269" s="54"/>
      <c r="AB269" s="54"/>
      <c r="AC269" s="54"/>
    </row>
    <row r="270" spans="1:29" ht="60" hidden="1" customHeight="1" x14ac:dyDescent="0.2">
      <c r="A270" s="69" t="s">
        <v>472</v>
      </c>
      <c r="B270" s="74"/>
      <c r="C270" s="87" t="s">
        <v>256</v>
      </c>
      <c r="D270" s="53" t="s">
        <v>58</v>
      </c>
      <c r="E270" s="54" t="s">
        <v>34</v>
      </c>
      <c r="F270" s="55" t="s">
        <v>59</v>
      </c>
      <c r="G270" s="67" t="s">
        <v>50</v>
      </c>
      <c r="H270" s="57" t="s">
        <v>37</v>
      </c>
      <c r="I270" s="55" t="s">
        <v>51</v>
      </c>
      <c r="J270" s="57" t="e">
        <f>ROUND(#REF!*2.4,-1)</f>
        <v>#REF!</v>
      </c>
      <c r="K270" s="58"/>
      <c r="L270" s="59">
        <f>1-1</f>
        <v>0</v>
      </c>
      <c r="M270" s="60"/>
      <c r="N270" s="61"/>
      <c r="O270" s="61"/>
      <c r="P270" s="62">
        <f t="shared" si="20"/>
        <v>0</v>
      </c>
      <c r="Q270" s="62">
        <f t="shared" si="20"/>
        <v>0</v>
      </c>
      <c r="R270" s="62">
        <f t="shared" si="20"/>
        <v>0</v>
      </c>
      <c r="S270" s="62">
        <f t="shared" si="20"/>
        <v>0</v>
      </c>
      <c r="T270" s="62">
        <f>1-1</f>
        <v>0</v>
      </c>
      <c r="U270" s="62"/>
      <c r="V270" s="62"/>
      <c r="W270" s="63"/>
      <c r="X270" s="63"/>
      <c r="Z270" s="64"/>
      <c r="AA270" s="54"/>
      <c r="AB270" s="54"/>
      <c r="AC270" s="54"/>
    </row>
    <row r="271" spans="1:29" ht="60" hidden="1" customHeight="1" x14ac:dyDescent="0.2">
      <c r="A271" s="69" t="s">
        <v>473</v>
      </c>
      <c r="B271" s="74"/>
      <c r="C271" s="87" t="s">
        <v>397</v>
      </c>
      <c r="D271" s="53" t="s">
        <v>58</v>
      </c>
      <c r="E271" s="54" t="s">
        <v>34</v>
      </c>
      <c r="F271" s="55" t="s">
        <v>59</v>
      </c>
      <c r="G271" s="56" t="s">
        <v>36</v>
      </c>
      <c r="H271" s="57" t="s">
        <v>37</v>
      </c>
      <c r="I271" s="55" t="s">
        <v>51</v>
      </c>
      <c r="J271" s="57" t="e">
        <f>ROUND(#REF!*2.4,-1)</f>
        <v>#REF!</v>
      </c>
      <c r="K271" s="58"/>
      <c r="L271" s="59">
        <f>1-1</f>
        <v>0</v>
      </c>
      <c r="M271" s="60"/>
      <c r="N271" s="61"/>
      <c r="O271" s="61"/>
      <c r="P271" s="62">
        <f>1-1</f>
        <v>0</v>
      </c>
      <c r="Q271" s="62">
        <f t="shared" si="20"/>
        <v>0</v>
      </c>
      <c r="R271" s="62">
        <f>1-1</f>
        <v>0</v>
      </c>
      <c r="S271" s="62">
        <f>1-1</f>
        <v>0</v>
      </c>
      <c r="T271" s="62">
        <f>1-1</f>
        <v>0</v>
      </c>
      <c r="U271" s="62"/>
      <c r="V271" s="62"/>
      <c r="W271" s="63"/>
      <c r="X271" s="63"/>
      <c r="Z271" s="64"/>
      <c r="AA271" s="54"/>
      <c r="AB271" s="54"/>
      <c r="AC271" s="54"/>
    </row>
    <row r="272" spans="1:29" ht="60" customHeight="1" x14ac:dyDescent="0.2">
      <c r="A272" s="69" t="s">
        <v>474</v>
      </c>
      <c r="B272" s="74"/>
      <c r="C272" s="87" t="s">
        <v>475</v>
      </c>
      <c r="D272" s="53" t="s">
        <v>48</v>
      </c>
      <c r="E272" s="54" t="s">
        <v>34</v>
      </c>
      <c r="F272" s="55" t="s">
        <v>49</v>
      </c>
      <c r="G272" s="56" t="s">
        <v>36</v>
      </c>
      <c r="H272" s="57" t="s">
        <v>60</v>
      </c>
      <c r="I272" s="55" t="s">
        <v>51</v>
      </c>
      <c r="J272" s="57" t="e">
        <f>ROUND(#REF!*2.4,-1)</f>
        <v>#REF!</v>
      </c>
      <c r="K272" s="58"/>
      <c r="L272" s="59">
        <f>35-1</f>
        <v>34</v>
      </c>
      <c r="M272" s="60"/>
      <c r="N272" s="61"/>
      <c r="O272" s="61"/>
      <c r="P272" s="62"/>
      <c r="Q272" s="62">
        <f>9-1+9+1</f>
        <v>18</v>
      </c>
      <c r="R272" s="62">
        <f>1-1</f>
        <v>0</v>
      </c>
      <c r="S272" s="62">
        <f t="shared" si="20"/>
        <v>0</v>
      </c>
      <c r="T272" s="62">
        <f>17-1</f>
        <v>16</v>
      </c>
      <c r="U272" s="62">
        <f>2-2</f>
        <v>0</v>
      </c>
      <c r="V272" s="62"/>
      <c r="W272" s="63"/>
      <c r="X272" s="63"/>
      <c r="Z272" s="93"/>
      <c r="AA272" s="54"/>
      <c r="AB272" s="54"/>
      <c r="AC272" s="54"/>
    </row>
    <row r="273" spans="1:29" ht="60" customHeight="1" x14ac:dyDescent="0.2">
      <c r="A273" s="69" t="s">
        <v>476</v>
      </c>
      <c r="B273" s="74"/>
      <c r="C273" s="87" t="s">
        <v>475</v>
      </c>
      <c r="D273" s="53" t="s">
        <v>58</v>
      </c>
      <c r="E273" s="54" t="s">
        <v>34</v>
      </c>
      <c r="F273" s="55" t="s">
        <v>59</v>
      </c>
      <c r="G273" s="56" t="s">
        <v>36</v>
      </c>
      <c r="H273" s="57" t="s">
        <v>60</v>
      </c>
      <c r="I273" s="55" t="s">
        <v>51</v>
      </c>
      <c r="J273" s="57" t="e">
        <f>ROUND(#REF!*2.4,-1)</f>
        <v>#REF!</v>
      </c>
      <c r="K273" s="58"/>
      <c r="L273" s="59">
        <f>6-1</f>
        <v>5</v>
      </c>
      <c r="M273" s="60"/>
      <c r="N273" s="61"/>
      <c r="O273" s="61"/>
      <c r="P273" s="62">
        <f>3-3</f>
        <v>0</v>
      </c>
      <c r="Q273" s="62">
        <f>12-12+5</f>
        <v>5</v>
      </c>
      <c r="R273" s="62">
        <f>5-5</f>
        <v>0</v>
      </c>
      <c r="S273" s="62">
        <f>9-9</f>
        <v>0</v>
      </c>
      <c r="T273" s="62">
        <f>1-1</f>
        <v>0</v>
      </c>
      <c r="U273" s="62"/>
      <c r="V273" s="62"/>
      <c r="W273" s="63"/>
      <c r="X273" s="63"/>
      <c r="Z273" s="64"/>
      <c r="AA273" s="54"/>
      <c r="AB273" s="54"/>
      <c r="AC273" s="54"/>
    </row>
    <row r="274" spans="1:29" ht="60" hidden="1" customHeight="1" x14ac:dyDescent="0.2">
      <c r="A274" s="69" t="s">
        <v>477</v>
      </c>
      <c r="B274" s="51"/>
      <c r="C274" s="68" t="s">
        <v>91</v>
      </c>
      <c r="D274" s="53" t="s">
        <v>58</v>
      </c>
      <c r="E274" s="54" t="s">
        <v>34</v>
      </c>
      <c r="F274" s="55" t="s">
        <v>59</v>
      </c>
      <c r="G274" s="56" t="s">
        <v>36</v>
      </c>
      <c r="H274" s="57" t="s">
        <v>60</v>
      </c>
      <c r="I274" s="55" t="s">
        <v>51</v>
      </c>
      <c r="J274" s="57" t="e">
        <f>ROUND(#REF!*2.4,-1)</f>
        <v>#REF!</v>
      </c>
      <c r="K274" s="58"/>
      <c r="L274" s="59">
        <f>6-6</f>
        <v>0</v>
      </c>
      <c r="M274" s="60"/>
      <c r="N274" s="61"/>
      <c r="O274" s="61"/>
      <c r="P274" s="62">
        <f>1-1</f>
        <v>0</v>
      </c>
      <c r="Q274" s="62">
        <f>6-6</f>
        <v>0</v>
      </c>
      <c r="R274" s="62">
        <f>5-5</f>
        <v>0</v>
      </c>
      <c r="S274" s="62">
        <f>1-1</f>
        <v>0</v>
      </c>
      <c r="T274" s="62">
        <v>0</v>
      </c>
      <c r="U274" s="62"/>
      <c r="V274" s="62"/>
      <c r="W274" s="63"/>
      <c r="X274" s="63"/>
      <c r="Z274" s="64"/>
      <c r="AA274" s="54"/>
      <c r="AB274" s="54"/>
      <c r="AC274" s="54"/>
    </row>
    <row r="275" spans="1:29" ht="60" hidden="1" customHeight="1" x14ac:dyDescent="0.2">
      <c r="A275" s="69" t="s">
        <v>478</v>
      </c>
      <c r="B275" s="74"/>
      <c r="C275" s="87" t="s">
        <v>479</v>
      </c>
      <c r="D275" s="53" t="s">
        <v>58</v>
      </c>
      <c r="E275" s="54" t="s">
        <v>34</v>
      </c>
      <c r="F275" s="55" t="s">
        <v>382</v>
      </c>
      <c r="G275" s="56" t="s">
        <v>36</v>
      </c>
      <c r="H275" s="57" t="s">
        <v>128</v>
      </c>
      <c r="I275" s="55" t="s">
        <v>51</v>
      </c>
      <c r="J275" s="57" t="e">
        <f>ROUND(#REF!*2.4,-1)</f>
        <v>#REF!</v>
      </c>
      <c r="K275" s="58"/>
      <c r="L275" s="59">
        <f>2-2</f>
        <v>0</v>
      </c>
      <c r="M275" s="60"/>
      <c r="N275" s="61"/>
      <c r="O275" s="61"/>
      <c r="P275" s="62">
        <f>2-2</f>
        <v>0</v>
      </c>
      <c r="Q275" s="62">
        <f>1-1</f>
        <v>0</v>
      </c>
      <c r="R275" s="62">
        <f>1-1</f>
        <v>0</v>
      </c>
      <c r="S275" s="62">
        <f>2-2</f>
        <v>0</v>
      </c>
      <c r="T275" s="62">
        <f>1-1</f>
        <v>0</v>
      </c>
      <c r="U275" s="62"/>
      <c r="V275" s="62"/>
      <c r="W275" s="63"/>
      <c r="X275" s="63"/>
      <c r="Z275" s="64"/>
      <c r="AA275" s="54"/>
      <c r="AB275" s="54"/>
      <c r="AC275" s="54"/>
    </row>
    <row r="276" spans="1:29" ht="60" customHeight="1" x14ac:dyDescent="0.2">
      <c r="A276" s="69" t="s">
        <v>480</v>
      </c>
      <c r="B276" s="70"/>
      <c r="C276" s="66" t="s">
        <v>481</v>
      </c>
      <c r="D276" s="53" t="s">
        <v>48</v>
      </c>
      <c r="E276" s="54" t="s">
        <v>34</v>
      </c>
      <c r="F276" s="55" t="s">
        <v>49</v>
      </c>
      <c r="G276" s="56" t="s">
        <v>36</v>
      </c>
      <c r="H276" s="57" t="s">
        <v>37</v>
      </c>
      <c r="I276" s="55" t="s">
        <v>51</v>
      </c>
      <c r="J276" s="57" t="e">
        <f>ROUND(#REF!*2.4,-1)</f>
        <v>#REF!</v>
      </c>
      <c r="K276" s="58"/>
      <c r="L276" s="59">
        <f>8-1</f>
        <v>7</v>
      </c>
      <c r="M276" s="60"/>
      <c r="N276" s="61"/>
      <c r="O276" s="61"/>
      <c r="P276" s="62"/>
      <c r="Q276" s="62">
        <f>3-1</f>
        <v>2</v>
      </c>
      <c r="R276" s="62">
        <f>3-2+1</f>
        <v>2</v>
      </c>
      <c r="S276" s="62">
        <f>3-2</f>
        <v>1</v>
      </c>
      <c r="T276" s="62">
        <f>2-1</f>
        <v>1</v>
      </c>
      <c r="U276" s="62">
        <f>2-1</f>
        <v>1</v>
      </c>
      <c r="V276" s="62">
        <f>1-1</f>
        <v>0</v>
      </c>
      <c r="W276" s="63"/>
      <c r="X276" s="63"/>
      <c r="Z276" s="64"/>
      <c r="AA276" s="54"/>
      <c r="AB276" s="54"/>
      <c r="AC276" s="54"/>
    </row>
    <row r="277" spans="1:29" ht="60" customHeight="1" x14ac:dyDescent="0.2">
      <c r="A277" s="69" t="s">
        <v>482</v>
      </c>
      <c r="B277" s="74" t="s">
        <v>329</v>
      </c>
      <c r="C277" s="66" t="s">
        <v>372</v>
      </c>
      <c r="D277" s="57" t="s">
        <v>58</v>
      </c>
      <c r="E277" s="54" t="s">
        <v>34</v>
      </c>
      <c r="F277" s="67" t="s">
        <v>59</v>
      </c>
      <c r="G277" s="67" t="s">
        <v>50</v>
      </c>
      <c r="H277" s="57" t="s">
        <v>375</v>
      </c>
      <c r="I277" s="67" t="s">
        <v>51</v>
      </c>
      <c r="J277" s="57" t="e">
        <f>ROUND(#REF!*2.4,-1)</f>
        <v>#REF!</v>
      </c>
      <c r="K277" s="58"/>
      <c r="L277" s="59">
        <f>31-9</f>
        <v>22</v>
      </c>
      <c r="M277" s="60"/>
      <c r="N277" s="61"/>
      <c r="O277" s="61"/>
      <c r="P277" s="62">
        <f>5-2</f>
        <v>3</v>
      </c>
      <c r="Q277" s="62">
        <f>9-2</f>
        <v>7</v>
      </c>
      <c r="R277" s="62">
        <f>7-2</f>
        <v>5</v>
      </c>
      <c r="S277" s="62">
        <f>6-2</f>
        <v>4</v>
      </c>
      <c r="T277" s="62">
        <f>4-1</f>
        <v>3</v>
      </c>
      <c r="U277" s="62"/>
      <c r="V277" s="62"/>
      <c r="W277" s="63"/>
      <c r="X277" s="63"/>
      <c r="Z277" s="64"/>
      <c r="AA277" s="54"/>
      <c r="AB277" s="54"/>
      <c r="AC277" s="54"/>
    </row>
    <row r="278" spans="1:29" ht="60" hidden="1" customHeight="1" x14ac:dyDescent="0.2">
      <c r="A278" s="69" t="s">
        <v>483</v>
      </c>
      <c r="B278" s="70"/>
      <c r="C278" s="54" t="s">
        <v>484</v>
      </c>
      <c r="D278" s="57" t="s">
        <v>48</v>
      </c>
      <c r="E278" s="54" t="s">
        <v>34</v>
      </c>
      <c r="F278" s="67" t="s">
        <v>121</v>
      </c>
      <c r="G278" s="67" t="s">
        <v>68</v>
      </c>
      <c r="H278" s="68" t="s">
        <v>60</v>
      </c>
      <c r="I278" s="67" t="s">
        <v>51</v>
      </c>
      <c r="J278" s="57" t="e">
        <f>ROUND(#REF!*2.4,-1)</f>
        <v>#REF!</v>
      </c>
      <c r="K278" s="58"/>
      <c r="L278" s="59">
        <f>1-1</f>
        <v>0</v>
      </c>
      <c r="M278" s="60"/>
      <c r="N278" s="61"/>
      <c r="O278" s="61"/>
      <c r="P278" s="62"/>
      <c r="Q278" s="62">
        <f>1-1</f>
        <v>0</v>
      </c>
      <c r="R278" s="62">
        <f>1-1</f>
        <v>0</v>
      </c>
      <c r="S278" s="62">
        <f>1-1</f>
        <v>0</v>
      </c>
      <c r="T278" s="62">
        <f>1-1</f>
        <v>0</v>
      </c>
      <c r="U278" s="62">
        <f>1-1</f>
        <v>0</v>
      </c>
      <c r="V278" s="62"/>
      <c r="W278" s="63"/>
      <c r="X278" s="63"/>
      <c r="Z278" s="64"/>
      <c r="AA278" s="54"/>
      <c r="AB278" s="54"/>
      <c r="AC278" s="54"/>
    </row>
    <row r="279" spans="1:29" ht="25.5" x14ac:dyDescent="0.2">
      <c r="A279" s="69" t="s">
        <v>485</v>
      </c>
      <c r="B279" s="74"/>
      <c r="C279" s="54" t="s">
        <v>486</v>
      </c>
      <c r="D279" s="53" t="s">
        <v>48</v>
      </c>
      <c r="E279" s="54" t="s">
        <v>34</v>
      </c>
      <c r="F279" s="55" t="s">
        <v>49</v>
      </c>
      <c r="G279" s="67" t="s">
        <v>487</v>
      </c>
      <c r="H279" s="57" t="s">
        <v>37</v>
      </c>
      <c r="I279" s="55" t="s">
        <v>51</v>
      </c>
      <c r="J279" s="57" t="e">
        <f>ROUND(#REF!*2.4,-1)</f>
        <v>#REF!</v>
      </c>
      <c r="K279" s="58"/>
      <c r="L279" s="59">
        <f>21-2</f>
        <v>19</v>
      </c>
      <c r="M279" s="60"/>
      <c r="N279" s="61"/>
      <c r="O279" s="61"/>
      <c r="P279" s="62"/>
      <c r="Q279" s="62">
        <f>5-1+1</f>
        <v>5</v>
      </c>
      <c r="R279" s="62">
        <f>2-1</f>
        <v>1</v>
      </c>
      <c r="S279" s="62">
        <f>2-1</f>
        <v>1</v>
      </c>
      <c r="T279" s="62">
        <f>4-1+1</f>
        <v>4</v>
      </c>
      <c r="U279" s="62">
        <f>6-1</f>
        <v>5</v>
      </c>
      <c r="V279" s="62">
        <f>3-1+1</f>
        <v>3</v>
      </c>
      <c r="W279" s="63"/>
      <c r="X279" s="63"/>
      <c r="Z279" s="93"/>
      <c r="AA279" s="54"/>
      <c r="AB279" s="54"/>
      <c r="AC279" s="54"/>
    </row>
    <row r="280" spans="1:29" ht="60" hidden="1" customHeight="1" x14ac:dyDescent="0.2">
      <c r="A280" s="69" t="s">
        <v>488</v>
      </c>
      <c r="B280" s="74"/>
      <c r="C280" s="66" t="s">
        <v>489</v>
      </c>
      <c r="D280" s="53" t="s">
        <v>48</v>
      </c>
      <c r="E280" s="54" t="s">
        <v>34</v>
      </c>
      <c r="F280" s="55" t="s">
        <v>49</v>
      </c>
      <c r="G280" s="67" t="s">
        <v>50</v>
      </c>
      <c r="H280" s="57" t="s">
        <v>37</v>
      </c>
      <c r="I280" s="55" t="s">
        <v>51</v>
      </c>
      <c r="J280" s="57" t="e">
        <f>ROUND(#REF!*2.4,-1)</f>
        <v>#REF!</v>
      </c>
      <c r="K280" s="58"/>
      <c r="L280" s="59">
        <f>1-1</f>
        <v>0</v>
      </c>
      <c r="M280" s="60"/>
      <c r="N280" s="61"/>
      <c r="O280" s="61"/>
      <c r="P280" s="62"/>
      <c r="Q280" s="62">
        <f t="shared" ref="Q280:V280" si="21">1-1</f>
        <v>0</v>
      </c>
      <c r="R280" s="62">
        <f t="shared" si="21"/>
        <v>0</v>
      </c>
      <c r="S280" s="62">
        <f t="shared" si="21"/>
        <v>0</v>
      </c>
      <c r="T280" s="62">
        <f t="shared" si="21"/>
        <v>0</v>
      </c>
      <c r="U280" s="62">
        <f t="shared" si="21"/>
        <v>0</v>
      </c>
      <c r="V280" s="62">
        <f t="shared" si="21"/>
        <v>0</v>
      </c>
      <c r="W280" s="63"/>
      <c r="X280" s="63"/>
      <c r="Z280" s="71"/>
      <c r="AA280" s="54"/>
      <c r="AB280" s="54"/>
      <c r="AC280" s="54"/>
    </row>
    <row r="281" spans="1:29" ht="60" customHeight="1" x14ac:dyDescent="0.2">
      <c r="A281" s="69" t="s">
        <v>490</v>
      </c>
      <c r="B281" s="74"/>
      <c r="C281" s="66" t="s">
        <v>491</v>
      </c>
      <c r="D281" s="53" t="s">
        <v>48</v>
      </c>
      <c r="E281" s="54" t="s">
        <v>34</v>
      </c>
      <c r="F281" s="55" t="s">
        <v>49</v>
      </c>
      <c r="G281" s="67" t="s">
        <v>50</v>
      </c>
      <c r="H281" s="57" t="s">
        <v>37</v>
      </c>
      <c r="I281" s="55" t="s">
        <v>51</v>
      </c>
      <c r="J281" s="57" t="e">
        <f>ROUND(#REF!*2.4,-1)</f>
        <v>#REF!</v>
      </c>
      <c r="K281" s="58"/>
      <c r="L281" s="59">
        <f>1-1+1</f>
        <v>1</v>
      </c>
      <c r="M281" s="60"/>
      <c r="N281" s="61"/>
      <c r="O281" s="61"/>
      <c r="P281" s="62"/>
      <c r="Q281" s="62">
        <f>1-1</f>
        <v>0</v>
      </c>
      <c r="R281" s="62">
        <f>1-1</f>
        <v>0</v>
      </c>
      <c r="S281" s="62">
        <f>1-1+1</f>
        <v>1</v>
      </c>
      <c r="T281" s="62">
        <f>1-1</f>
        <v>0</v>
      </c>
      <c r="U281" s="62">
        <f>1-1</f>
        <v>0</v>
      </c>
      <c r="V281" s="62"/>
      <c r="W281" s="63"/>
      <c r="X281" s="63"/>
      <c r="Z281" s="64"/>
      <c r="AA281" s="54">
        <v>1410102</v>
      </c>
      <c r="AB281" s="54">
        <v>420</v>
      </c>
      <c r="AC281" s="54"/>
    </row>
    <row r="282" spans="1:29" ht="60" customHeight="1" x14ac:dyDescent="0.2">
      <c r="A282" s="69" t="s">
        <v>492</v>
      </c>
      <c r="B282" s="74"/>
      <c r="C282" s="66" t="s">
        <v>493</v>
      </c>
      <c r="D282" s="53" t="s">
        <v>48</v>
      </c>
      <c r="E282" s="54" t="s">
        <v>34</v>
      </c>
      <c r="F282" s="55" t="s">
        <v>49</v>
      </c>
      <c r="G282" s="67" t="s">
        <v>50</v>
      </c>
      <c r="H282" s="57" t="s">
        <v>37</v>
      </c>
      <c r="I282" s="55" t="s">
        <v>51</v>
      </c>
      <c r="J282" s="57" t="e">
        <f>ROUND(#REF!*2.4,-1)</f>
        <v>#REF!</v>
      </c>
      <c r="K282" s="58"/>
      <c r="L282" s="59">
        <f>3-1</f>
        <v>2</v>
      </c>
      <c r="M282" s="60"/>
      <c r="N282" s="61"/>
      <c r="O282" s="61"/>
      <c r="P282" s="62"/>
      <c r="Q282" s="62">
        <f>1-1+1</f>
        <v>1</v>
      </c>
      <c r="R282" s="62">
        <f t="shared" ref="R282:T283" si="22">1-1</f>
        <v>0</v>
      </c>
      <c r="S282" s="62">
        <f t="shared" si="22"/>
        <v>0</v>
      </c>
      <c r="T282" s="62">
        <f t="shared" si="22"/>
        <v>0</v>
      </c>
      <c r="U282" s="62">
        <f>2-2</f>
        <v>0</v>
      </c>
      <c r="V282" s="62">
        <f>1-1+1</f>
        <v>1</v>
      </c>
      <c r="W282" s="63"/>
      <c r="X282" s="63"/>
      <c r="Z282" s="71"/>
      <c r="AA282" s="54"/>
      <c r="AB282" s="54"/>
      <c r="AC282" s="54"/>
    </row>
    <row r="283" spans="1:29" ht="60" hidden="1" customHeight="1" x14ac:dyDescent="0.2">
      <c r="A283" s="69" t="s">
        <v>494</v>
      </c>
      <c r="B283" s="74"/>
      <c r="C283" s="66" t="s">
        <v>495</v>
      </c>
      <c r="D283" s="53" t="s">
        <v>48</v>
      </c>
      <c r="E283" s="54" t="s">
        <v>34</v>
      </c>
      <c r="F283" s="55" t="s">
        <v>49</v>
      </c>
      <c r="G283" s="67" t="s">
        <v>50</v>
      </c>
      <c r="H283" s="57" t="s">
        <v>37</v>
      </c>
      <c r="I283" s="55" t="s">
        <v>51</v>
      </c>
      <c r="J283" s="57" t="e">
        <f>ROUND(#REF!*2.4,-1)</f>
        <v>#REF!</v>
      </c>
      <c r="K283" s="58"/>
      <c r="L283" s="59">
        <f>1-1</f>
        <v>0</v>
      </c>
      <c r="M283" s="60"/>
      <c r="N283" s="61"/>
      <c r="O283" s="61"/>
      <c r="P283" s="62"/>
      <c r="Q283" s="62">
        <f>1-1</f>
        <v>0</v>
      </c>
      <c r="R283" s="62">
        <f t="shared" si="22"/>
        <v>0</v>
      </c>
      <c r="S283" s="62">
        <f t="shared" si="22"/>
        <v>0</v>
      </c>
      <c r="T283" s="62">
        <f t="shared" si="22"/>
        <v>0</v>
      </c>
      <c r="U283" s="62">
        <f>1-1</f>
        <v>0</v>
      </c>
      <c r="V283" s="62"/>
      <c r="W283" s="63"/>
      <c r="X283" s="63"/>
      <c r="Z283" s="64"/>
      <c r="AA283" s="54"/>
      <c r="AB283" s="54"/>
      <c r="AC283" s="54"/>
    </row>
    <row r="284" spans="1:29" ht="60" hidden="1" customHeight="1" x14ac:dyDescent="0.2">
      <c r="A284" s="69" t="s">
        <v>496</v>
      </c>
      <c r="B284" s="74"/>
      <c r="C284" s="66" t="s">
        <v>456</v>
      </c>
      <c r="D284" s="53" t="s">
        <v>48</v>
      </c>
      <c r="E284" s="54" t="s">
        <v>34</v>
      </c>
      <c r="F284" s="55" t="s">
        <v>49</v>
      </c>
      <c r="G284" s="67" t="s">
        <v>50</v>
      </c>
      <c r="H284" s="57" t="s">
        <v>37</v>
      </c>
      <c r="I284" s="55" t="s">
        <v>51</v>
      </c>
      <c r="J284" s="57" t="e">
        <f>ROUND(#REF!*2.4,-1)</f>
        <v>#REF!</v>
      </c>
      <c r="K284" s="58"/>
      <c r="L284" s="59">
        <v>0</v>
      </c>
      <c r="M284" s="60"/>
      <c r="N284" s="61"/>
      <c r="O284" s="61"/>
      <c r="P284" s="62"/>
      <c r="Q284" s="62"/>
      <c r="R284" s="62"/>
      <c r="S284" s="62"/>
      <c r="T284" s="62"/>
      <c r="U284" s="62"/>
      <c r="V284" s="62"/>
      <c r="W284" s="63"/>
      <c r="X284" s="63"/>
      <c r="Z284" s="64"/>
      <c r="AA284" s="54"/>
      <c r="AB284" s="54"/>
      <c r="AC284" s="54"/>
    </row>
    <row r="285" spans="1:29" ht="60" hidden="1" customHeight="1" x14ac:dyDescent="0.2">
      <c r="A285" s="69" t="s">
        <v>497</v>
      </c>
      <c r="B285" s="74"/>
      <c r="C285" s="66" t="s">
        <v>495</v>
      </c>
      <c r="D285" s="53" t="s">
        <v>48</v>
      </c>
      <c r="E285" s="54" t="s">
        <v>34</v>
      </c>
      <c r="F285" s="55" t="s">
        <v>49</v>
      </c>
      <c r="G285" s="67" t="s">
        <v>50</v>
      </c>
      <c r="H285" s="57" t="s">
        <v>37</v>
      </c>
      <c r="I285" s="55" t="s">
        <v>51</v>
      </c>
      <c r="J285" s="57" t="e">
        <f>ROUND(#REF!*2.4,-1)</f>
        <v>#REF!</v>
      </c>
      <c r="K285" s="58"/>
      <c r="L285" s="59">
        <f>2-2</f>
        <v>0</v>
      </c>
      <c r="M285" s="60"/>
      <c r="N285" s="61"/>
      <c r="O285" s="61"/>
      <c r="P285" s="62"/>
      <c r="Q285" s="62">
        <f>2-2</f>
        <v>0</v>
      </c>
      <c r="R285" s="62">
        <f>2-2</f>
        <v>0</v>
      </c>
      <c r="S285" s="62">
        <f>1-1</f>
        <v>0</v>
      </c>
      <c r="T285" s="62">
        <f>3-3</f>
        <v>0</v>
      </c>
      <c r="U285" s="62">
        <f>2-2</f>
        <v>0</v>
      </c>
      <c r="V285" s="62">
        <f>1-1</f>
        <v>0</v>
      </c>
      <c r="W285" s="63"/>
      <c r="X285" s="63"/>
      <c r="Z285" s="64"/>
      <c r="AA285" s="54"/>
      <c r="AB285" s="54"/>
      <c r="AC285" s="54"/>
    </row>
    <row r="286" spans="1:29" ht="60" hidden="1" customHeight="1" x14ac:dyDescent="0.2">
      <c r="A286" s="69" t="s">
        <v>498</v>
      </c>
      <c r="B286" s="74"/>
      <c r="C286" s="66" t="s">
        <v>182</v>
      </c>
      <c r="D286" s="53" t="s">
        <v>48</v>
      </c>
      <c r="E286" s="54" t="s">
        <v>34</v>
      </c>
      <c r="F286" s="55" t="s">
        <v>49</v>
      </c>
      <c r="G286" s="67" t="s">
        <v>50</v>
      </c>
      <c r="H286" s="57" t="s">
        <v>37</v>
      </c>
      <c r="I286" s="55" t="s">
        <v>51</v>
      </c>
      <c r="J286" s="57" t="e">
        <f>ROUND(#REF!*2.4,-1)</f>
        <v>#REF!</v>
      </c>
      <c r="K286" s="58"/>
      <c r="L286" s="59">
        <f>1-1</f>
        <v>0</v>
      </c>
      <c r="M286" s="60"/>
      <c r="N286" s="61"/>
      <c r="O286" s="61"/>
      <c r="P286" s="62"/>
      <c r="Q286" s="62">
        <f t="shared" ref="Q286:V286" si="23">1-1</f>
        <v>0</v>
      </c>
      <c r="R286" s="62">
        <f t="shared" si="23"/>
        <v>0</v>
      </c>
      <c r="S286" s="62">
        <f t="shared" si="23"/>
        <v>0</v>
      </c>
      <c r="T286" s="62">
        <f t="shared" si="23"/>
        <v>0</v>
      </c>
      <c r="U286" s="62">
        <f t="shared" si="23"/>
        <v>0</v>
      </c>
      <c r="V286" s="62">
        <f t="shared" si="23"/>
        <v>0</v>
      </c>
      <c r="W286" s="63"/>
      <c r="X286" s="63"/>
      <c r="Z286" s="64"/>
      <c r="AA286" s="54"/>
      <c r="AB286" s="54"/>
      <c r="AC286" s="54"/>
    </row>
    <row r="287" spans="1:29" ht="60" hidden="1" customHeight="1" x14ac:dyDescent="0.2">
      <c r="A287" s="69" t="s">
        <v>499</v>
      </c>
      <c r="B287" s="74"/>
      <c r="C287" s="66" t="s">
        <v>500</v>
      </c>
      <c r="D287" s="57" t="s">
        <v>48</v>
      </c>
      <c r="E287" s="54" t="s">
        <v>34</v>
      </c>
      <c r="F287" s="67" t="s">
        <v>49</v>
      </c>
      <c r="G287" s="56" t="s">
        <v>36</v>
      </c>
      <c r="H287" s="57" t="s">
        <v>37</v>
      </c>
      <c r="I287" s="67" t="s">
        <v>51</v>
      </c>
      <c r="J287" s="57" t="e">
        <f>ROUND(#REF!*2.4,-1)</f>
        <v>#REF!</v>
      </c>
      <c r="K287" s="58"/>
      <c r="L287" s="59">
        <f>1-1</f>
        <v>0</v>
      </c>
      <c r="M287" s="60"/>
      <c r="N287" s="61"/>
      <c r="O287" s="61"/>
      <c r="P287" s="62"/>
      <c r="Q287" s="62">
        <f>1-1</f>
        <v>0</v>
      </c>
      <c r="R287" s="62">
        <f>7-7</f>
        <v>0</v>
      </c>
      <c r="S287" s="62">
        <f>1-1</f>
        <v>0</v>
      </c>
      <c r="T287" s="62">
        <f>4-4</f>
        <v>0</v>
      </c>
      <c r="U287" s="62">
        <f>7-7</f>
        <v>0</v>
      </c>
      <c r="V287" s="62"/>
      <c r="W287" s="63"/>
      <c r="X287" s="63"/>
      <c r="Z287" s="64"/>
      <c r="AA287" s="54">
        <v>1410125</v>
      </c>
      <c r="AB287" s="54">
        <v>421</v>
      </c>
      <c r="AC287" s="54"/>
    </row>
    <row r="288" spans="1:29" ht="60" hidden="1" customHeight="1" x14ac:dyDescent="0.2">
      <c r="A288" s="69" t="s">
        <v>501</v>
      </c>
      <c r="B288" s="74"/>
      <c r="C288" s="66" t="s">
        <v>500</v>
      </c>
      <c r="D288" s="57" t="s">
        <v>48</v>
      </c>
      <c r="E288" s="54" t="s">
        <v>34</v>
      </c>
      <c r="F288" s="67" t="s">
        <v>49</v>
      </c>
      <c r="G288" s="56" t="s">
        <v>36</v>
      </c>
      <c r="H288" s="57" t="s">
        <v>37</v>
      </c>
      <c r="I288" s="67" t="s">
        <v>51</v>
      </c>
      <c r="J288" s="57" t="e">
        <f>ROUND(#REF!*2.4,-1)</f>
        <v>#REF!</v>
      </c>
      <c r="K288" s="58"/>
      <c r="L288" s="59">
        <f>1-1</f>
        <v>0</v>
      </c>
      <c r="M288" s="60"/>
      <c r="N288" s="61"/>
      <c r="O288" s="61"/>
      <c r="P288" s="62"/>
      <c r="Q288" s="62">
        <f>1-1</f>
        <v>0</v>
      </c>
      <c r="R288" s="62">
        <f>2-2+1-1</f>
        <v>0</v>
      </c>
      <c r="S288" s="62">
        <f>2-2</f>
        <v>0</v>
      </c>
      <c r="T288" s="62">
        <f>1-1</f>
        <v>0</v>
      </c>
      <c r="U288" s="62">
        <f>1-1</f>
        <v>0</v>
      </c>
      <c r="V288" s="62">
        <v>0</v>
      </c>
      <c r="W288" s="63"/>
      <c r="X288" s="63"/>
      <c r="Z288" s="64"/>
      <c r="AA288" s="54"/>
      <c r="AB288" s="54"/>
      <c r="AC288" s="54"/>
    </row>
    <row r="289" spans="1:29" ht="60" customHeight="1" x14ac:dyDescent="0.2">
      <c r="A289" s="69" t="s">
        <v>502</v>
      </c>
      <c r="B289" s="74"/>
      <c r="C289" s="66" t="s">
        <v>503</v>
      </c>
      <c r="D289" s="57" t="s">
        <v>48</v>
      </c>
      <c r="E289" s="54" t="s">
        <v>34</v>
      </c>
      <c r="F289" s="67" t="s">
        <v>49</v>
      </c>
      <c r="G289" s="56" t="s">
        <v>36</v>
      </c>
      <c r="H289" s="57" t="s">
        <v>37</v>
      </c>
      <c r="I289" s="67" t="s">
        <v>51</v>
      </c>
      <c r="J289" s="57" t="e">
        <f>ROUND(#REF!*2.4,-1)</f>
        <v>#REF!</v>
      </c>
      <c r="K289" s="58"/>
      <c r="L289" s="59">
        <f>2-1</f>
        <v>1</v>
      </c>
      <c r="M289" s="60"/>
      <c r="N289" s="61"/>
      <c r="O289" s="61"/>
      <c r="P289" s="62"/>
      <c r="Q289" s="62">
        <f>1-1+1</f>
        <v>1</v>
      </c>
      <c r="R289" s="62">
        <f>1-1</f>
        <v>0</v>
      </c>
      <c r="S289" s="62">
        <f>1-1</f>
        <v>0</v>
      </c>
      <c r="T289" s="62">
        <f>1-1</f>
        <v>0</v>
      </c>
      <c r="U289" s="62">
        <f>1-1</f>
        <v>0</v>
      </c>
      <c r="V289" s="62"/>
      <c r="W289" s="63"/>
      <c r="X289" s="63"/>
      <c r="Z289" s="64"/>
      <c r="AA289" s="54"/>
      <c r="AB289" s="54"/>
      <c r="AC289" s="54"/>
    </row>
    <row r="290" spans="1:29" ht="60" hidden="1" customHeight="1" x14ac:dyDescent="0.2">
      <c r="A290" s="69" t="s">
        <v>504</v>
      </c>
      <c r="B290" s="74"/>
      <c r="C290" s="66" t="s">
        <v>235</v>
      </c>
      <c r="D290" s="57" t="s">
        <v>48</v>
      </c>
      <c r="E290" s="54" t="s">
        <v>34</v>
      </c>
      <c r="F290" s="67" t="s">
        <v>49</v>
      </c>
      <c r="G290" s="56" t="s">
        <v>36</v>
      </c>
      <c r="H290" s="57" t="s">
        <v>37</v>
      </c>
      <c r="I290" s="67" t="s">
        <v>51</v>
      </c>
      <c r="J290" s="57" t="e">
        <f>ROUND(#REF!*2.4,-1)</f>
        <v>#REF!</v>
      </c>
      <c r="K290" s="58"/>
      <c r="L290" s="59">
        <f>1-1</f>
        <v>0</v>
      </c>
      <c r="M290" s="60"/>
      <c r="N290" s="61"/>
      <c r="O290" s="61"/>
      <c r="P290" s="62"/>
      <c r="Q290" s="62">
        <f>1-1</f>
        <v>0</v>
      </c>
      <c r="R290" s="62">
        <v>0</v>
      </c>
      <c r="S290" s="62"/>
      <c r="T290" s="62">
        <f>1-1</f>
        <v>0</v>
      </c>
      <c r="U290" s="62">
        <v>0</v>
      </c>
      <c r="V290" s="62"/>
      <c r="W290" s="63"/>
      <c r="X290" s="63"/>
      <c r="Z290" s="64"/>
      <c r="AA290" s="54"/>
      <c r="AB290" s="54"/>
      <c r="AC290" s="54"/>
    </row>
    <row r="291" spans="1:29" ht="60" customHeight="1" x14ac:dyDescent="0.2">
      <c r="A291" s="69" t="s">
        <v>505</v>
      </c>
      <c r="B291" s="70"/>
      <c r="C291" s="66" t="s">
        <v>506</v>
      </c>
      <c r="D291" s="53" t="s">
        <v>48</v>
      </c>
      <c r="E291" s="54" t="s">
        <v>34</v>
      </c>
      <c r="F291" s="55" t="s">
        <v>49</v>
      </c>
      <c r="G291" s="56" t="s">
        <v>36</v>
      </c>
      <c r="H291" s="57" t="s">
        <v>37</v>
      </c>
      <c r="I291" s="55" t="s">
        <v>51</v>
      </c>
      <c r="J291" s="57" t="e">
        <f>ROUND(#REF!*2.4,-1)</f>
        <v>#REF!</v>
      </c>
      <c r="K291" s="58"/>
      <c r="L291" s="59">
        <f>11-3</f>
        <v>8</v>
      </c>
      <c r="M291" s="60"/>
      <c r="N291" s="61"/>
      <c r="O291" s="61"/>
      <c r="P291" s="62"/>
      <c r="Q291" s="62">
        <f>4-1</f>
        <v>3</v>
      </c>
      <c r="R291" s="62">
        <f>4-1</f>
        <v>3</v>
      </c>
      <c r="S291" s="62">
        <f>1-1+1</f>
        <v>1</v>
      </c>
      <c r="T291" s="62">
        <f>2-1</f>
        <v>1</v>
      </c>
      <c r="U291" s="62">
        <f>1-1</f>
        <v>0</v>
      </c>
      <c r="V291" s="62"/>
      <c r="W291" s="63"/>
      <c r="X291" s="63"/>
      <c r="Z291" s="64"/>
      <c r="AA291" s="54"/>
      <c r="AB291" s="54"/>
      <c r="AC291" s="54"/>
    </row>
    <row r="292" spans="1:29" ht="38.25" hidden="1" x14ac:dyDescent="0.2">
      <c r="A292" s="69" t="s">
        <v>507</v>
      </c>
      <c r="B292" s="94" t="s">
        <v>508</v>
      </c>
      <c r="C292" s="66" t="s">
        <v>509</v>
      </c>
      <c r="D292" s="53" t="s">
        <v>48</v>
      </c>
      <c r="E292" s="54" t="s">
        <v>34</v>
      </c>
      <c r="F292" s="55" t="s">
        <v>49</v>
      </c>
      <c r="G292" s="67" t="s">
        <v>50</v>
      </c>
      <c r="H292" s="57" t="s">
        <v>37</v>
      </c>
      <c r="I292" s="55" t="s">
        <v>51</v>
      </c>
      <c r="J292" s="57" t="e">
        <f>ROUND(#REF!*2.4,-1)</f>
        <v>#REF!</v>
      </c>
      <c r="K292" s="58"/>
      <c r="L292" s="59">
        <v>0</v>
      </c>
      <c r="M292" s="60"/>
      <c r="N292" s="61"/>
      <c r="O292" s="61"/>
      <c r="P292" s="62"/>
      <c r="Q292" s="62"/>
      <c r="R292" s="62"/>
      <c r="S292" s="62"/>
      <c r="T292" s="62"/>
      <c r="U292" s="62"/>
      <c r="V292" s="62"/>
      <c r="W292" s="63"/>
      <c r="X292" s="63"/>
      <c r="Z292" s="64"/>
      <c r="AA292" s="54"/>
      <c r="AB292" s="54"/>
      <c r="AC292" s="54"/>
    </row>
    <row r="293" spans="1:29" ht="60" hidden="1" customHeight="1" x14ac:dyDescent="0.2">
      <c r="A293" s="69" t="s">
        <v>510</v>
      </c>
      <c r="B293" s="74"/>
      <c r="C293" s="66" t="s">
        <v>511</v>
      </c>
      <c r="D293" s="53" t="s">
        <v>48</v>
      </c>
      <c r="E293" s="54" t="s">
        <v>34</v>
      </c>
      <c r="F293" s="55" t="s">
        <v>49</v>
      </c>
      <c r="G293" s="67" t="s">
        <v>50</v>
      </c>
      <c r="H293" s="57" t="s">
        <v>37</v>
      </c>
      <c r="I293" s="55" t="s">
        <v>51</v>
      </c>
      <c r="J293" s="57" t="e">
        <f>ROUND(#REF!*2.4,-1)</f>
        <v>#REF!</v>
      </c>
      <c r="K293" s="58"/>
      <c r="L293" s="59">
        <f>1-1</f>
        <v>0</v>
      </c>
      <c r="M293" s="60"/>
      <c r="N293" s="61"/>
      <c r="O293" s="61"/>
      <c r="P293" s="62"/>
      <c r="Q293" s="62"/>
      <c r="R293" s="62"/>
      <c r="S293" s="62">
        <f>1-1</f>
        <v>0</v>
      </c>
      <c r="T293" s="62"/>
      <c r="U293" s="62">
        <f>1-1</f>
        <v>0</v>
      </c>
      <c r="V293" s="62">
        <f>1-1</f>
        <v>0</v>
      </c>
      <c r="W293" s="63"/>
      <c r="X293" s="63"/>
      <c r="Z293" s="64"/>
      <c r="AA293" s="54"/>
      <c r="AB293" s="54"/>
      <c r="AC293" s="54"/>
    </row>
    <row r="294" spans="1:29" ht="51" hidden="1" x14ac:dyDescent="0.2">
      <c r="A294" s="69" t="s">
        <v>512</v>
      </c>
      <c r="B294" s="94" t="s">
        <v>508</v>
      </c>
      <c r="C294" s="66" t="s">
        <v>377</v>
      </c>
      <c r="D294" s="53" t="s">
        <v>48</v>
      </c>
      <c r="E294" s="54" t="s">
        <v>34</v>
      </c>
      <c r="F294" s="55" t="s">
        <v>49</v>
      </c>
      <c r="G294" s="67" t="s">
        <v>50</v>
      </c>
      <c r="H294" s="57" t="s">
        <v>37</v>
      </c>
      <c r="I294" s="55" t="s">
        <v>51</v>
      </c>
      <c r="J294" s="57" t="e">
        <f>ROUND(#REF!*2.4,-1)</f>
        <v>#REF!</v>
      </c>
      <c r="K294" s="58"/>
      <c r="L294" s="59">
        <v>0</v>
      </c>
      <c r="M294" s="60"/>
      <c r="N294" s="61"/>
      <c r="O294" s="61"/>
      <c r="P294" s="62"/>
      <c r="Q294" s="62"/>
      <c r="R294" s="62"/>
      <c r="S294" s="62"/>
      <c r="T294" s="62"/>
      <c r="U294" s="62"/>
      <c r="V294" s="62"/>
      <c r="W294" s="63"/>
      <c r="X294" s="63"/>
      <c r="Z294" s="64"/>
      <c r="AA294" s="54"/>
      <c r="AB294" s="54"/>
      <c r="AC294" s="54"/>
    </row>
    <row r="295" spans="1:29" ht="60" hidden="1" customHeight="1" x14ac:dyDescent="0.2">
      <c r="A295" s="69" t="s">
        <v>513</v>
      </c>
      <c r="B295" s="70"/>
      <c r="C295" s="87" t="s">
        <v>441</v>
      </c>
      <c r="D295" s="53" t="s">
        <v>48</v>
      </c>
      <c r="E295" s="54" t="s">
        <v>34</v>
      </c>
      <c r="F295" s="55" t="s">
        <v>121</v>
      </c>
      <c r="G295" s="67" t="s">
        <v>50</v>
      </c>
      <c r="H295" s="57" t="s">
        <v>37</v>
      </c>
      <c r="I295" s="55" t="s">
        <v>51</v>
      </c>
      <c r="J295" s="57" t="e">
        <f>ROUND(#REF!*2.4,-1)</f>
        <v>#REF!</v>
      </c>
      <c r="K295" s="58"/>
      <c r="L295" s="59">
        <f>2-2</f>
        <v>0</v>
      </c>
      <c r="M295" s="60"/>
      <c r="N295" s="61"/>
      <c r="O295" s="61"/>
      <c r="P295" s="62"/>
      <c r="Q295" s="62">
        <f>1-1</f>
        <v>0</v>
      </c>
      <c r="R295" s="62">
        <f>1-1</f>
        <v>0</v>
      </c>
      <c r="S295" s="62">
        <f>1-1</f>
        <v>0</v>
      </c>
      <c r="T295" s="62">
        <f>1-1</f>
        <v>0</v>
      </c>
      <c r="U295" s="62"/>
      <c r="V295" s="62"/>
      <c r="W295" s="63"/>
      <c r="X295" s="63"/>
      <c r="Z295" s="64"/>
      <c r="AA295" s="54"/>
      <c r="AB295" s="54"/>
      <c r="AC295" s="54"/>
    </row>
    <row r="296" spans="1:29" ht="60" hidden="1" customHeight="1" x14ac:dyDescent="0.2">
      <c r="A296" s="69" t="s">
        <v>514</v>
      </c>
      <c r="B296" s="70"/>
      <c r="C296" s="66" t="s">
        <v>515</v>
      </c>
      <c r="D296" s="53" t="s">
        <v>48</v>
      </c>
      <c r="E296" s="54" t="s">
        <v>34</v>
      </c>
      <c r="F296" s="55" t="s">
        <v>49</v>
      </c>
      <c r="G296" s="67" t="s">
        <v>50</v>
      </c>
      <c r="H296" s="57" t="s">
        <v>37</v>
      </c>
      <c r="I296" s="55" t="s">
        <v>51</v>
      </c>
      <c r="J296" s="57" t="e">
        <f>ROUND(#REF!*2.4,-1)</f>
        <v>#REF!</v>
      </c>
      <c r="K296" s="58"/>
      <c r="L296" s="59">
        <f>1-1</f>
        <v>0</v>
      </c>
      <c r="M296" s="60"/>
      <c r="N296" s="61"/>
      <c r="O296" s="61"/>
      <c r="P296" s="62"/>
      <c r="Q296" s="62">
        <f>1-1</f>
        <v>0</v>
      </c>
      <c r="R296" s="62"/>
      <c r="S296" s="62"/>
      <c r="T296" s="62"/>
      <c r="U296" s="62"/>
      <c r="V296" s="62"/>
      <c r="W296" s="63"/>
      <c r="X296" s="63"/>
      <c r="Z296" s="64"/>
      <c r="AA296" s="54"/>
      <c r="AB296" s="54"/>
      <c r="AC296" s="54"/>
    </row>
    <row r="297" spans="1:29" ht="60" hidden="1" customHeight="1" x14ac:dyDescent="0.2">
      <c r="A297" s="69" t="s">
        <v>516</v>
      </c>
      <c r="B297" s="70"/>
      <c r="C297" s="66" t="s">
        <v>517</v>
      </c>
      <c r="D297" s="53" t="s">
        <v>48</v>
      </c>
      <c r="E297" s="54" t="s">
        <v>34</v>
      </c>
      <c r="F297" s="55" t="s">
        <v>49</v>
      </c>
      <c r="G297" s="67" t="s">
        <v>50</v>
      </c>
      <c r="H297" s="57" t="s">
        <v>37</v>
      </c>
      <c r="I297" s="55" t="s">
        <v>51</v>
      </c>
      <c r="J297" s="57" t="e">
        <f>ROUND(#REF!*2.4,-1)</f>
        <v>#REF!</v>
      </c>
      <c r="K297" s="58"/>
      <c r="L297" s="59">
        <v>0</v>
      </c>
      <c r="M297" s="60"/>
      <c r="N297" s="61"/>
      <c r="O297" s="61"/>
      <c r="P297" s="62"/>
      <c r="Q297" s="62"/>
      <c r="R297" s="62"/>
      <c r="S297" s="62"/>
      <c r="T297" s="62"/>
      <c r="U297" s="62"/>
      <c r="V297" s="62"/>
      <c r="W297" s="63"/>
      <c r="X297" s="63"/>
      <c r="Z297" s="64"/>
      <c r="AA297" s="54"/>
      <c r="AB297" s="54"/>
      <c r="AC297" s="54"/>
    </row>
    <row r="298" spans="1:29" ht="60" hidden="1" customHeight="1" x14ac:dyDescent="0.2">
      <c r="A298" s="69" t="s">
        <v>518</v>
      </c>
      <c r="B298" s="70"/>
      <c r="C298" s="66" t="s">
        <v>519</v>
      </c>
      <c r="D298" s="53" t="s">
        <v>48</v>
      </c>
      <c r="E298" s="54" t="s">
        <v>34</v>
      </c>
      <c r="F298" s="55" t="s">
        <v>49</v>
      </c>
      <c r="G298" s="67" t="s">
        <v>50</v>
      </c>
      <c r="H298" s="57" t="s">
        <v>37</v>
      </c>
      <c r="I298" s="55" t="s">
        <v>51</v>
      </c>
      <c r="J298" s="57" t="e">
        <f>ROUND(#REF!*2.4,-1)</f>
        <v>#REF!</v>
      </c>
      <c r="K298" s="58"/>
      <c r="L298" s="59">
        <f>2-2</f>
        <v>0</v>
      </c>
      <c r="M298" s="60"/>
      <c r="N298" s="61"/>
      <c r="O298" s="61"/>
      <c r="P298" s="62"/>
      <c r="Q298" s="62">
        <f t="shared" ref="Q298:U303" si="24">1-1</f>
        <v>0</v>
      </c>
      <c r="R298" s="62">
        <f t="shared" si="24"/>
        <v>0</v>
      </c>
      <c r="S298" s="62">
        <f t="shared" si="24"/>
        <v>0</v>
      </c>
      <c r="T298" s="62">
        <f>1-1</f>
        <v>0</v>
      </c>
      <c r="U298" s="62">
        <f>1-1</f>
        <v>0</v>
      </c>
      <c r="V298" s="62"/>
      <c r="W298" s="63"/>
      <c r="X298" s="63"/>
      <c r="Z298" s="64"/>
      <c r="AA298" s="54"/>
      <c r="AB298" s="54"/>
      <c r="AC298" s="54"/>
    </row>
    <row r="299" spans="1:29" ht="60" hidden="1" customHeight="1" x14ac:dyDescent="0.2">
      <c r="A299" s="69" t="s">
        <v>520</v>
      </c>
      <c r="B299" s="70"/>
      <c r="C299" s="66" t="s">
        <v>521</v>
      </c>
      <c r="D299" s="53" t="s">
        <v>48</v>
      </c>
      <c r="E299" s="54" t="s">
        <v>34</v>
      </c>
      <c r="F299" s="55" t="s">
        <v>49</v>
      </c>
      <c r="G299" s="67" t="s">
        <v>50</v>
      </c>
      <c r="H299" s="57" t="s">
        <v>37</v>
      </c>
      <c r="I299" s="55" t="s">
        <v>51</v>
      </c>
      <c r="J299" s="57" t="e">
        <f>ROUND(#REF!*2.4,-1)</f>
        <v>#REF!</v>
      </c>
      <c r="K299" s="58"/>
      <c r="L299" s="59">
        <v>0</v>
      </c>
      <c r="M299" s="60"/>
      <c r="N299" s="61"/>
      <c r="O299" s="61"/>
      <c r="P299" s="62"/>
      <c r="Q299" s="62">
        <v>0</v>
      </c>
      <c r="R299" s="62">
        <f>1-1</f>
        <v>0</v>
      </c>
      <c r="S299" s="62">
        <f t="shared" si="24"/>
        <v>0</v>
      </c>
      <c r="T299" s="62">
        <v>0</v>
      </c>
      <c r="U299" s="62"/>
      <c r="V299" s="62"/>
      <c r="W299" s="63"/>
      <c r="X299" s="63"/>
      <c r="Z299" s="64"/>
      <c r="AA299" s="54"/>
      <c r="AB299" s="54"/>
      <c r="AC299" s="54"/>
    </row>
    <row r="300" spans="1:29" ht="60" hidden="1" customHeight="1" x14ac:dyDescent="0.2">
      <c r="A300" s="69" t="s">
        <v>522</v>
      </c>
      <c r="B300" s="70"/>
      <c r="C300" s="66" t="s">
        <v>521</v>
      </c>
      <c r="D300" s="53" t="s">
        <v>48</v>
      </c>
      <c r="E300" s="54" t="s">
        <v>34</v>
      </c>
      <c r="F300" s="55" t="s">
        <v>49</v>
      </c>
      <c r="G300" s="67" t="s">
        <v>50</v>
      </c>
      <c r="H300" s="57" t="s">
        <v>37</v>
      </c>
      <c r="I300" s="55" t="s">
        <v>51</v>
      </c>
      <c r="J300" s="57" t="e">
        <f>ROUND(#REF!*2.4,-1)</f>
        <v>#REF!</v>
      </c>
      <c r="K300" s="58"/>
      <c r="L300" s="59">
        <f t="shared" ref="L300:L305" si="25">1-1</f>
        <v>0</v>
      </c>
      <c r="M300" s="60"/>
      <c r="N300" s="61"/>
      <c r="O300" s="61"/>
      <c r="P300" s="62"/>
      <c r="Q300" s="62">
        <f>1-1</f>
        <v>0</v>
      </c>
      <c r="R300" s="62">
        <f>1-1</f>
        <v>0</v>
      </c>
      <c r="S300" s="62">
        <f t="shared" si="24"/>
        <v>0</v>
      </c>
      <c r="T300" s="62">
        <f t="shared" si="24"/>
        <v>0</v>
      </c>
      <c r="U300" s="62">
        <f t="shared" si="24"/>
        <v>0</v>
      </c>
      <c r="V300" s="62"/>
      <c r="W300" s="63"/>
      <c r="X300" s="63"/>
      <c r="Z300" s="64"/>
      <c r="AA300" s="54"/>
      <c r="AB300" s="54"/>
      <c r="AC300" s="54"/>
    </row>
    <row r="301" spans="1:29" ht="60" hidden="1" customHeight="1" x14ac:dyDescent="0.2">
      <c r="A301" s="69" t="s">
        <v>523</v>
      </c>
      <c r="B301" s="70"/>
      <c r="C301" s="66" t="s">
        <v>372</v>
      </c>
      <c r="D301" s="53" t="s">
        <v>48</v>
      </c>
      <c r="E301" s="54" t="s">
        <v>34</v>
      </c>
      <c r="F301" s="55" t="s">
        <v>49</v>
      </c>
      <c r="G301" s="56" t="s">
        <v>36</v>
      </c>
      <c r="H301" s="57" t="s">
        <v>37</v>
      </c>
      <c r="I301" s="55" t="s">
        <v>51</v>
      </c>
      <c r="J301" s="57" t="e">
        <f>ROUND(#REF!*2.4,-1)</f>
        <v>#REF!</v>
      </c>
      <c r="K301" s="58"/>
      <c r="L301" s="59">
        <f t="shared" si="25"/>
        <v>0</v>
      </c>
      <c r="M301" s="60"/>
      <c r="N301" s="61"/>
      <c r="O301" s="61"/>
      <c r="P301" s="62"/>
      <c r="Q301" s="62">
        <f t="shared" ref="Q301:R303" si="26">1-1</f>
        <v>0</v>
      </c>
      <c r="R301" s="62">
        <f t="shared" si="26"/>
        <v>0</v>
      </c>
      <c r="S301" s="62">
        <f>1-1</f>
        <v>0</v>
      </c>
      <c r="T301" s="62">
        <f t="shared" si="24"/>
        <v>0</v>
      </c>
      <c r="U301" s="62"/>
      <c r="V301" s="62"/>
      <c r="W301" s="63"/>
      <c r="X301" s="63"/>
      <c r="Z301" s="64"/>
      <c r="AA301" s="54"/>
      <c r="AB301" s="54"/>
      <c r="AC301" s="54"/>
    </row>
    <row r="302" spans="1:29" ht="60" hidden="1" customHeight="1" x14ac:dyDescent="0.2">
      <c r="A302" s="69" t="s">
        <v>524</v>
      </c>
      <c r="B302" s="74"/>
      <c r="C302" s="66" t="s">
        <v>525</v>
      </c>
      <c r="D302" s="53" t="s">
        <v>48</v>
      </c>
      <c r="E302" s="54" t="s">
        <v>34</v>
      </c>
      <c r="F302" s="55" t="s">
        <v>49</v>
      </c>
      <c r="G302" s="56" t="s">
        <v>36</v>
      </c>
      <c r="H302" s="57" t="s">
        <v>37</v>
      </c>
      <c r="I302" s="55" t="s">
        <v>51</v>
      </c>
      <c r="J302" s="57" t="e">
        <f>ROUND(#REF!*2.4,-1)</f>
        <v>#REF!</v>
      </c>
      <c r="K302" s="58"/>
      <c r="L302" s="59">
        <f t="shared" si="25"/>
        <v>0</v>
      </c>
      <c r="M302" s="60"/>
      <c r="N302" s="61"/>
      <c r="O302" s="61"/>
      <c r="P302" s="62"/>
      <c r="Q302" s="62">
        <f>2-2</f>
        <v>0</v>
      </c>
      <c r="R302" s="62">
        <f>1-1</f>
        <v>0</v>
      </c>
      <c r="S302" s="62">
        <f t="shared" si="24"/>
        <v>0</v>
      </c>
      <c r="T302" s="62">
        <f t="shared" si="24"/>
        <v>0</v>
      </c>
      <c r="U302" s="62">
        <f>1-1</f>
        <v>0</v>
      </c>
      <c r="V302" s="62">
        <f>1-1</f>
        <v>0</v>
      </c>
      <c r="W302" s="63"/>
      <c r="X302" s="63"/>
      <c r="Z302" s="64"/>
      <c r="AA302" s="54"/>
      <c r="AB302" s="54"/>
      <c r="AC302" s="54"/>
    </row>
    <row r="303" spans="1:29" ht="60" hidden="1" customHeight="1" x14ac:dyDescent="0.2">
      <c r="A303" s="69" t="s">
        <v>526</v>
      </c>
      <c r="B303" s="70"/>
      <c r="C303" s="66" t="s">
        <v>527</v>
      </c>
      <c r="D303" s="53" t="s">
        <v>48</v>
      </c>
      <c r="E303" s="54" t="s">
        <v>34</v>
      </c>
      <c r="F303" s="55" t="s">
        <v>49</v>
      </c>
      <c r="G303" s="56" t="s">
        <v>36</v>
      </c>
      <c r="H303" s="57" t="s">
        <v>37</v>
      </c>
      <c r="I303" s="55" t="s">
        <v>51</v>
      </c>
      <c r="J303" s="57" t="e">
        <f>ROUND(#REF!*2.4,-1)</f>
        <v>#REF!</v>
      </c>
      <c r="K303" s="58"/>
      <c r="L303" s="59">
        <f t="shared" si="25"/>
        <v>0</v>
      </c>
      <c r="M303" s="60"/>
      <c r="N303" s="61"/>
      <c r="O303" s="61"/>
      <c r="P303" s="62"/>
      <c r="Q303" s="62">
        <f t="shared" si="26"/>
        <v>0</v>
      </c>
      <c r="R303" s="62">
        <f t="shared" si="26"/>
        <v>0</v>
      </c>
      <c r="S303" s="62">
        <f t="shared" si="24"/>
        <v>0</v>
      </c>
      <c r="T303" s="62">
        <f t="shared" si="24"/>
        <v>0</v>
      </c>
      <c r="U303" s="62">
        <f>1-1</f>
        <v>0</v>
      </c>
      <c r="V303" s="62"/>
      <c r="W303" s="63"/>
      <c r="X303" s="63"/>
      <c r="Z303" s="64"/>
      <c r="AA303" s="54"/>
      <c r="AB303" s="54"/>
      <c r="AC303" s="54"/>
    </row>
    <row r="304" spans="1:29" ht="60" hidden="1" customHeight="1" x14ac:dyDescent="0.2">
      <c r="A304" s="69" t="s">
        <v>528</v>
      </c>
      <c r="B304" s="70"/>
      <c r="C304" s="66" t="s">
        <v>529</v>
      </c>
      <c r="D304" s="53" t="s">
        <v>48</v>
      </c>
      <c r="E304" s="54" t="s">
        <v>34</v>
      </c>
      <c r="F304" s="55" t="s">
        <v>49</v>
      </c>
      <c r="G304" s="56" t="s">
        <v>36</v>
      </c>
      <c r="H304" s="57" t="s">
        <v>37</v>
      </c>
      <c r="I304" s="55" t="s">
        <v>51</v>
      </c>
      <c r="J304" s="57" t="e">
        <f>ROUND(#REF!*2.4,-1)</f>
        <v>#REF!</v>
      </c>
      <c r="K304" s="58"/>
      <c r="L304" s="59">
        <f>1-1</f>
        <v>0</v>
      </c>
      <c r="M304" s="60"/>
      <c r="N304" s="61"/>
      <c r="O304" s="61"/>
      <c r="P304" s="62"/>
      <c r="Q304" s="62">
        <f>1-1</f>
        <v>0</v>
      </c>
      <c r="R304" s="62">
        <f>1-1</f>
        <v>0</v>
      </c>
      <c r="S304" s="62">
        <f>1-1</f>
        <v>0</v>
      </c>
      <c r="T304" s="62">
        <f>1-1</f>
        <v>0</v>
      </c>
      <c r="U304" s="62">
        <f>1-1</f>
        <v>0</v>
      </c>
      <c r="V304" s="62"/>
      <c r="W304" s="63"/>
      <c r="X304" s="63"/>
      <c r="Z304" s="64"/>
      <c r="AA304" s="54">
        <v>1410514</v>
      </c>
      <c r="AB304" s="54">
        <v>423</v>
      </c>
      <c r="AC304" s="54"/>
    </row>
    <row r="305" spans="1:29" ht="60" hidden="1" customHeight="1" x14ac:dyDescent="0.2">
      <c r="A305" s="69" t="s">
        <v>530</v>
      </c>
      <c r="B305" s="70"/>
      <c r="C305" s="66" t="s">
        <v>531</v>
      </c>
      <c r="D305" s="53" t="s">
        <v>48</v>
      </c>
      <c r="E305" s="54" t="s">
        <v>34</v>
      </c>
      <c r="F305" s="55" t="s">
        <v>49</v>
      </c>
      <c r="G305" s="67" t="s">
        <v>50</v>
      </c>
      <c r="H305" s="57" t="s">
        <v>37</v>
      </c>
      <c r="I305" s="55" t="s">
        <v>51</v>
      </c>
      <c r="J305" s="57" t="e">
        <f>ROUND(#REF!*2.4,-1)</f>
        <v>#REF!</v>
      </c>
      <c r="K305" s="58"/>
      <c r="L305" s="59">
        <f t="shared" si="25"/>
        <v>0</v>
      </c>
      <c r="M305" s="60"/>
      <c r="N305" s="61"/>
      <c r="O305" s="61"/>
      <c r="P305" s="62"/>
      <c r="Q305" s="62"/>
      <c r="R305" s="62"/>
      <c r="S305" s="62">
        <f t="shared" ref="S305:V322" si="27">1-1</f>
        <v>0</v>
      </c>
      <c r="T305" s="62"/>
      <c r="U305" s="62"/>
      <c r="V305" s="62"/>
      <c r="W305" s="63"/>
      <c r="X305" s="63"/>
      <c r="Z305" s="64"/>
      <c r="AA305" s="54"/>
      <c r="AB305" s="54"/>
      <c r="AC305" s="54"/>
    </row>
    <row r="306" spans="1:29" ht="60" customHeight="1" x14ac:dyDescent="0.2">
      <c r="A306" s="69" t="s">
        <v>532</v>
      </c>
      <c r="B306" s="70"/>
      <c r="C306" s="66" t="s">
        <v>225</v>
      </c>
      <c r="D306" s="53" t="s">
        <v>48</v>
      </c>
      <c r="E306" s="54" t="s">
        <v>34</v>
      </c>
      <c r="F306" s="55" t="s">
        <v>49</v>
      </c>
      <c r="G306" s="56" t="s">
        <v>36</v>
      </c>
      <c r="H306" s="57" t="s">
        <v>37</v>
      </c>
      <c r="I306" s="55" t="s">
        <v>51</v>
      </c>
      <c r="J306" s="57" t="e">
        <f>ROUND(#REF!*2.4,-1)</f>
        <v>#REF!</v>
      </c>
      <c r="K306" s="58"/>
      <c r="L306" s="59">
        <f>2-1</f>
        <v>1</v>
      </c>
      <c r="M306" s="60"/>
      <c r="N306" s="61"/>
      <c r="O306" s="61"/>
      <c r="P306" s="62"/>
      <c r="Q306" s="62">
        <f>2-1</f>
        <v>1</v>
      </c>
      <c r="R306" s="62">
        <f>1-1</f>
        <v>0</v>
      </c>
      <c r="S306" s="62">
        <f t="shared" si="27"/>
        <v>0</v>
      </c>
      <c r="T306" s="62">
        <f t="shared" si="27"/>
        <v>0</v>
      </c>
      <c r="U306" s="62">
        <f>2-2</f>
        <v>0</v>
      </c>
      <c r="V306" s="62"/>
      <c r="W306" s="63"/>
      <c r="X306" s="63"/>
      <c r="Z306" s="64"/>
      <c r="AA306" s="54"/>
      <c r="AB306" s="54"/>
      <c r="AC306" s="54"/>
    </row>
    <row r="307" spans="1:29" ht="60" hidden="1" customHeight="1" x14ac:dyDescent="0.2">
      <c r="A307" s="69" t="s">
        <v>533</v>
      </c>
      <c r="B307" s="70"/>
      <c r="C307" s="66" t="s">
        <v>360</v>
      </c>
      <c r="D307" s="53" t="s">
        <v>48</v>
      </c>
      <c r="E307" s="54" t="s">
        <v>34</v>
      </c>
      <c r="F307" s="55" t="s">
        <v>49</v>
      </c>
      <c r="G307" s="56" t="s">
        <v>36</v>
      </c>
      <c r="H307" s="57" t="s">
        <v>37</v>
      </c>
      <c r="I307" s="55" t="s">
        <v>51</v>
      </c>
      <c r="J307" s="57" t="e">
        <f>ROUND(#REF!*2.4,-1)</f>
        <v>#REF!</v>
      </c>
      <c r="K307" s="58"/>
      <c r="L307" s="59">
        <f>1-1</f>
        <v>0</v>
      </c>
      <c r="M307" s="60"/>
      <c r="N307" s="61"/>
      <c r="O307" s="61"/>
      <c r="P307" s="62"/>
      <c r="Q307" s="62">
        <f>1-1</f>
        <v>0</v>
      </c>
      <c r="R307" s="62">
        <f>1-1</f>
        <v>0</v>
      </c>
      <c r="S307" s="62">
        <f t="shared" si="27"/>
        <v>0</v>
      </c>
      <c r="T307" s="62">
        <f t="shared" si="27"/>
        <v>0</v>
      </c>
      <c r="U307" s="62">
        <f>1-1</f>
        <v>0</v>
      </c>
      <c r="V307" s="62"/>
      <c r="W307" s="63"/>
      <c r="X307" s="63"/>
      <c r="Z307" s="64"/>
      <c r="AA307" s="54"/>
      <c r="AB307" s="54"/>
      <c r="AC307" s="54"/>
    </row>
    <row r="308" spans="1:29" ht="60" customHeight="1" x14ac:dyDescent="0.2">
      <c r="A308" s="69" t="s">
        <v>534</v>
      </c>
      <c r="B308" s="70"/>
      <c r="C308" s="66" t="s">
        <v>535</v>
      </c>
      <c r="D308" s="53" t="s">
        <v>48</v>
      </c>
      <c r="E308" s="54" t="s">
        <v>34</v>
      </c>
      <c r="F308" s="55" t="s">
        <v>49</v>
      </c>
      <c r="G308" s="56" t="s">
        <v>36</v>
      </c>
      <c r="H308" s="57" t="s">
        <v>37</v>
      </c>
      <c r="I308" s="55" t="s">
        <v>51</v>
      </c>
      <c r="J308" s="57">
        <v>480</v>
      </c>
      <c r="K308" s="58"/>
      <c r="L308" s="59">
        <f>6-1+1+1</f>
        <v>7</v>
      </c>
      <c r="M308" s="60"/>
      <c r="N308" s="61"/>
      <c r="O308" s="61"/>
      <c r="P308" s="62"/>
      <c r="Q308" s="62">
        <f>6-1+1+1</f>
        <v>7</v>
      </c>
      <c r="R308" s="62">
        <f>2-2</f>
        <v>0</v>
      </c>
      <c r="S308" s="62">
        <f t="shared" si="27"/>
        <v>0</v>
      </c>
      <c r="T308" s="62">
        <f t="shared" si="27"/>
        <v>0</v>
      </c>
      <c r="U308" s="62">
        <f>1-1</f>
        <v>0</v>
      </c>
      <c r="V308" s="62"/>
      <c r="W308" s="63"/>
      <c r="X308" s="63"/>
      <c r="Z308" s="64"/>
      <c r="AA308" s="54"/>
      <c r="AB308" s="54"/>
      <c r="AC308" s="54"/>
    </row>
    <row r="309" spans="1:29" ht="60" customHeight="1" x14ac:dyDescent="0.2">
      <c r="A309" s="69" t="s">
        <v>536</v>
      </c>
      <c r="B309" s="70"/>
      <c r="C309" s="66" t="s">
        <v>537</v>
      </c>
      <c r="D309" s="53" t="s">
        <v>48</v>
      </c>
      <c r="E309" s="54" t="s">
        <v>34</v>
      </c>
      <c r="F309" s="55" t="s">
        <v>49</v>
      </c>
      <c r="G309" s="56" t="s">
        <v>36</v>
      </c>
      <c r="H309" s="57" t="s">
        <v>37</v>
      </c>
      <c r="I309" s="55" t="s">
        <v>51</v>
      </c>
      <c r="J309" s="57" t="e">
        <f>ROUND(#REF!*2.4,-1)</f>
        <v>#REF!</v>
      </c>
      <c r="K309" s="58"/>
      <c r="L309" s="59">
        <f>2-1</f>
        <v>1</v>
      </c>
      <c r="M309" s="60"/>
      <c r="N309" s="61"/>
      <c r="O309" s="61"/>
      <c r="P309" s="62"/>
      <c r="Q309" s="62">
        <f t="shared" ref="Q309:R312" si="28">1-1</f>
        <v>0</v>
      </c>
      <c r="R309" s="62">
        <f t="shared" si="28"/>
        <v>0</v>
      </c>
      <c r="S309" s="62">
        <f t="shared" si="27"/>
        <v>0</v>
      </c>
      <c r="T309" s="62">
        <f t="shared" si="27"/>
        <v>0</v>
      </c>
      <c r="U309" s="62">
        <f>1-1+1</f>
        <v>1</v>
      </c>
      <c r="V309" s="62">
        <f>1-1+1-1</f>
        <v>0</v>
      </c>
      <c r="W309" s="63"/>
      <c r="X309" s="63"/>
      <c r="Z309" s="71"/>
      <c r="AA309" s="54"/>
      <c r="AB309" s="54"/>
      <c r="AC309" s="54"/>
    </row>
    <row r="310" spans="1:29" ht="60" hidden="1" customHeight="1" x14ac:dyDescent="0.2">
      <c r="A310" s="69" t="s">
        <v>538</v>
      </c>
      <c r="B310" s="70"/>
      <c r="C310" s="66" t="s">
        <v>539</v>
      </c>
      <c r="D310" s="53" t="s">
        <v>48</v>
      </c>
      <c r="E310" s="54" t="s">
        <v>34</v>
      </c>
      <c r="F310" s="55" t="s">
        <v>49</v>
      </c>
      <c r="G310" s="56" t="s">
        <v>36</v>
      </c>
      <c r="H310" s="57" t="s">
        <v>37</v>
      </c>
      <c r="I310" s="55" t="s">
        <v>51</v>
      </c>
      <c r="J310" s="57" t="e">
        <f>ROUND(#REF!*2.4,-1)</f>
        <v>#REF!</v>
      </c>
      <c r="K310" s="58"/>
      <c r="L310" s="59">
        <f>1-1</f>
        <v>0</v>
      </c>
      <c r="M310" s="60"/>
      <c r="N310" s="61"/>
      <c r="O310" s="61"/>
      <c r="P310" s="62"/>
      <c r="Q310" s="62">
        <f>1-1</f>
        <v>0</v>
      </c>
      <c r="R310" s="62">
        <f>1-1+1-1</f>
        <v>0</v>
      </c>
      <c r="S310" s="62">
        <f t="shared" si="27"/>
        <v>0</v>
      </c>
      <c r="T310" s="62">
        <f t="shared" si="27"/>
        <v>0</v>
      </c>
      <c r="U310" s="62">
        <f t="shared" si="27"/>
        <v>0</v>
      </c>
      <c r="V310" s="62">
        <f t="shared" si="27"/>
        <v>0</v>
      </c>
      <c r="W310" s="63"/>
      <c r="X310" s="63"/>
      <c r="Z310" s="64"/>
      <c r="AA310" s="54">
        <v>1410545</v>
      </c>
      <c r="AB310" s="54">
        <v>397</v>
      </c>
      <c r="AC310" s="54"/>
    </row>
    <row r="311" spans="1:29" ht="60" hidden="1" customHeight="1" x14ac:dyDescent="0.2">
      <c r="A311" s="69" t="s">
        <v>540</v>
      </c>
      <c r="B311" s="74"/>
      <c r="C311" s="66" t="s">
        <v>541</v>
      </c>
      <c r="D311" s="53" t="s">
        <v>48</v>
      </c>
      <c r="E311" s="54" t="s">
        <v>34</v>
      </c>
      <c r="F311" s="55" t="s">
        <v>49</v>
      </c>
      <c r="G311" s="56" t="s">
        <v>36</v>
      </c>
      <c r="H311" s="57" t="s">
        <v>37</v>
      </c>
      <c r="I311" s="55" t="s">
        <v>51</v>
      </c>
      <c r="J311" s="57" t="e">
        <f>ROUND(#REF!*2.4,-1)</f>
        <v>#REF!</v>
      </c>
      <c r="K311" s="58"/>
      <c r="L311" s="59">
        <f>1-1</f>
        <v>0</v>
      </c>
      <c r="M311" s="60"/>
      <c r="N311" s="61"/>
      <c r="O311" s="61"/>
      <c r="P311" s="62"/>
      <c r="Q311" s="62">
        <f t="shared" si="28"/>
        <v>0</v>
      </c>
      <c r="R311" s="62">
        <f t="shared" si="28"/>
        <v>0</v>
      </c>
      <c r="S311" s="62">
        <f>1-1</f>
        <v>0</v>
      </c>
      <c r="T311" s="62">
        <f t="shared" si="27"/>
        <v>0</v>
      </c>
      <c r="U311" s="62">
        <f t="shared" si="27"/>
        <v>0</v>
      </c>
      <c r="V311" s="62">
        <f t="shared" si="27"/>
        <v>0</v>
      </c>
      <c r="W311" s="63"/>
      <c r="X311" s="63"/>
      <c r="Z311" s="64"/>
      <c r="AA311" s="54"/>
      <c r="AB311" s="54"/>
      <c r="AC311" s="54"/>
    </row>
    <row r="312" spans="1:29" ht="60" hidden="1" customHeight="1" x14ac:dyDescent="0.2">
      <c r="A312" s="69" t="s">
        <v>542</v>
      </c>
      <c r="B312" s="70"/>
      <c r="C312" s="66" t="s">
        <v>543</v>
      </c>
      <c r="D312" s="53" t="s">
        <v>48</v>
      </c>
      <c r="E312" s="54" t="s">
        <v>34</v>
      </c>
      <c r="F312" s="55" t="s">
        <v>49</v>
      </c>
      <c r="G312" s="56" t="s">
        <v>36</v>
      </c>
      <c r="H312" s="57" t="s">
        <v>37</v>
      </c>
      <c r="I312" s="55" t="s">
        <v>51</v>
      </c>
      <c r="J312" s="57" t="e">
        <f>ROUND(#REF!*2.4,-1)</f>
        <v>#REF!</v>
      </c>
      <c r="K312" s="58"/>
      <c r="L312" s="59">
        <f>1-1</f>
        <v>0</v>
      </c>
      <c r="M312" s="60"/>
      <c r="N312" s="61"/>
      <c r="O312" s="61"/>
      <c r="P312" s="62"/>
      <c r="Q312" s="62">
        <f t="shared" si="28"/>
        <v>0</v>
      </c>
      <c r="R312" s="62">
        <f t="shared" si="28"/>
        <v>0</v>
      </c>
      <c r="S312" s="62">
        <f>1-1</f>
        <v>0</v>
      </c>
      <c r="T312" s="62">
        <f>2-2</f>
        <v>0</v>
      </c>
      <c r="U312" s="62">
        <f>1-1</f>
        <v>0</v>
      </c>
      <c r="V312" s="62">
        <f t="shared" si="27"/>
        <v>0</v>
      </c>
      <c r="W312" s="63"/>
      <c r="X312" s="63"/>
      <c r="Z312" s="64"/>
      <c r="AA312" s="54"/>
      <c r="AB312" s="54"/>
      <c r="AC312" s="54"/>
    </row>
    <row r="313" spans="1:29" ht="60" customHeight="1" x14ac:dyDescent="0.2">
      <c r="A313" s="69" t="s">
        <v>544</v>
      </c>
      <c r="B313" s="74"/>
      <c r="C313" s="66" t="s">
        <v>545</v>
      </c>
      <c r="D313" s="53" t="s">
        <v>48</v>
      </c>
      <c r="E313" s="54" t="s">
        <v>34</v>
      </c>
      <c r="F313" s="55" t="s">
        <v>49</v>
      </c>
      <c r="G313" s="56" t="s">
        <v>36</v>
      </c>
      <c r="H313" s="57" t="s">
        <v>37</v>
      </c>
      <c r="I313" s="55" t="s">
        <v>51</v>
      </c>
      <c r="J313" s="57" t="e">
        <f>ROUND(#REF!*2.4,-1)</f>
        <v>#REF!</v>
      </c>
      <c r="K313" s="58"/>
      <c r="L313" s="59">
        <f>1-1+1</f>
        <v>1</v>
      </c>
      <c r="M313" s="60"/>
      <c r="N313" s="61"/>
      <c r="O313" s="61"/>
      <c r="P313" s="62"/>
      <c r="Q313" s="62">
        <f>3-3</f>
        <v>0</v>
      </c>
      <c r="R313" s="62">
        <f>1-1+1</f>
        <v>1</v>
      </c>
      <c r="S313" s="62">
        <f t="shared" si="27"/>
        <v>0</v>
      </c>
      <c r="T313" s="62">
        <f t="shared" si="27"/>
        <v>0</v>
      </c>
      <c r="U313" s="62">
        <f t="shared" si="27"/>
        <v>0</v>
      </c>
      <c r="V313" s="62">
        <f>6-6</f>
        <v>0</v>
      </c>
      <c r="W313" s="63"/>
      <c r="X313" s="63"/>
      <c r="Z313" s="64"/>
      <c r="AA313" s="54">
        <v>1410602</v>
      </c>
      <c r="AB313" s="54">
        <v>403</v>
      </c>
      <c r="AC313" s="54"/>
    </row>
    <row r="314" spans="1:29" ht="60" customHeight="1" x14ac:dyDescent="0.2">
      <c r="A314" s="69" t="s">
        <v>546</v>
      </c>
      <c r="B314" s="74"/>
      <c r="C314" s="66" t="s">
        <v>547</v>
      </c>
      <c r="D314" s="53" t="s">
        <v>48</v>
      </c>
      <c r="E314" s="54" t="s">
        <v>34</v>
      </c>
      <c r="F314" s="55" t="s">
        <v>49</v>
      </c>
      <c r="G314" s="56" t="s">
        <v>36</v>
      </c>
      <c r="H314" s="57" t="s">
        <v>37</v>
      </c>
      <c r="I314" s="55" t="s">
        <v>51</v>
      </c>
      <c r="J314" s="57" t="e">
        <f>ROUND(#REF!*2.4,-1)</f>
        <v>#REF!</v>
      </c>
      <c r="K314" s="58"/>
      <c r="L314" s="59">
        <f>1-1+1</f>
        <v>1</v>
      </c>
      <c r="M314" s="75"/>
      <c r="N314" s="76"/>
      <c r="O314" s="76"/>
      <c r="P314" s="77"/>
      <c r="Q314" s="77">
        <f>1-1+1</f>
        <v>1</v>
      </c>
      <c r="R314" s="77">
        <f>1-1</f>
        <v>0</v>
      </c>
      <c r="S314" s="77">
        <f t="shared" si="27"/>
        <v>0</v>
      </c>
      <c r="T314" s="77">
        <f t="shared" si="27"/>
        <v>0</v>
      </c>
      <c r="U314" s="77">
        <f t="shared" si="27"/>
        <v>0</v>
      </c>
      <c r="V314" s="77"/>
      <c r="W314" s="63"/>
      <c r="X314" s="63"/>
      <c r="Z314" s="71"/>
      <c r="AA314" s="54"/>
      <c r="AB314" s="54"/>
      <c r="AC314" s="54"/>
    </row>
    <row r="315" spans="1:29" ht="60" hidden="1" customHeight="1" x14ac:dyDescent="0.2">
      <c r="A315" s="69" t="s">
        <v>548</v>
      </c>
      <c r="B315" s="74"/>
      <c r="C315" s="87" t="s">
        <v>549</v>
      </c>
      <c r="D315" s="53" t="s">
        <v>48</v>
      </c>
      <c r="E315" s="54" t="s">
        <v>34</v>
      </c>
      <c r="F315" s="55" t="s">
        <v>49</v>
      </c>
      <c r="G315" s="56" t="s">
        <v>36</v>
      </c>
      <c r="H315" s="57" t="s">
        <v>37</v>
      </c>
      <c r="I315" s="55" t="s">
        <v>51</v>
      </c>
      <c r="J315" s="57" t="e">
        <f>ROUND(#REF!*2.4,-1)</f>
        <v>#REF!</v>
      </c>
      <c r="K315" s="58"/>
      <c r="L315" s="59">
        <f>1-1</f>
        <v>0</v>
      </c>
      <c r="M315" s="60"/>
      <c r="N315" s="61"/>
      <c r="O315" s="61"/>
      <c r="P315" s="62"/>
      <c r="Q315" s="62">
        <f>1-1</f>
        <v>0</v>
      </c>
      <c r="R315" s="62">
        <f>2-2</f>
        <v>0</v>
      </c>
      <c r="S315" s="62">
        <f t="shared" si="27"/>
        <v>0</v>
      </c>
      <c r="T315" s="62">
        <f t="shared" si="27"/>
        <v>0</v>
      </c>
      <c r="U315" s="62">
        <f t="shared" si="27"/>
        <v>0</v>
      </c>
      <c r="V315" s="62">
        <f>1-1</f>
        <v>0</v>
      </c>
      <c r="W315" s="63"/>
      <c r="X315" s="63"/>
      <c r="Z315" s="64"/>
      <c r="AA315" s="54"/>
      <c r="AB315" s="54"/>
      <c r="AC315" s="54"/>
    </row>
    <row r="316" spans="1:29" ht="60" hidden="1" customHeight="1" x14ac:dyDescent="0.2">
      <c r="A316" s="69" t="s">
        <v>550</v>
      </c>
      <c r="B316" s="74"/>
      <c r="C316" s="66" t="s">
        <v>551</v>
      </c>
      <c r="D316" s="53" t="s">
        <v>48</v>
      </c>
      <c r="E316" s="54" t="s">
        <v>34</v>
      </c>
      <c r="F316" s="55" t="s">
        <v>49</v>
      </c>
      <c r="G316" s="56" t="s">
        <v>36</v>
      </c>
      <c r="H316" s="57" t="s">
        <v>37</v>
      </c>
      <c r="I316" s="55" t="s">
        <v>51</v>
      </c>
      <c r="J316" s="57" t="e">
        <f>ROUND(#REF!*2.4,-1)</f>
        <v>#REF!</v>
      </c>
      <c r="K316" s="58"/>
      <c r="L316" s="59">
        <f>1-1</f>
        <v>0</v>
      </c>
      <c r="M316" s="60"/>
      <c r="N316" s="61"/>
      <c r="O316" s="61"/>
      <c r="P316" s="62"/>
      <c r="Q316" s="62">
        <f>1-1</f>
        <v>0</v>
      </c>
      <c r="R316" s="62">
        <f>1-1</f>
        <v>0</v>
      </c>
      <c r="S316" s="62">
        <f>1-1</f>
        <v>0</v>
      </c>
      <c r="T316" s="62">
        <f t="shared" si="27"/>
        <v>0</v>
      </c>
      <c r="U316" s="62">
        <f>1-1</f>
        <v>0</v>
      </c>
      <c r="V316" s="62"/>
      <c r="W316" s="63"/>
      <c r="X316" s="63"/>
      <c r="Z316" s="64"/>
      <c r="AA316" s="54"/>
      <c r="AB316" s="54"/>
      <c r="AC316" s="54"/>
    </row>
    <row r="317" spans="1:29" ht="60" customHeight="1" x14ac:dyDescent="0.2">
      <c r="A317" s="69" t="s">
        <v>552</v>
      </c>
      <c r="B317" s="70"/>
      <c r="C317" s="66" t="s">
        <v>553</v>
      </c>
      <c r="D317" s="53" t="s">
        <v>48</v>
      </c>
      <c r="E317" s="54" t="s">
        <v>34</v>
      </c>
      <c r="F317" s="55" t="s">
        <v>49</v>
      </c>
      <c r="G317" s="67" t="s">
        <v>50</v>
      </c>
      <c r="H317" s="57" t="s">
        <v>37</v>
      </c>
      <c r="I317" s="55" t="s">
        <v>51</v>
      </c>
      <c r="J317" s="57" t="e">
        <f>ROUND(#REF!*2.4,-1)</f>
        <v>#REF!</v>
      </c>
      <c r="K317" s="58"/>
      <c r="L317" s="59">
        <f>1-1+1</f>
        <v>1</v>
      </c>
      <c r="M317" s="60"/>
      <c r="N317" s="61"/>
      <c r="O317" s="61"/>
      <c r="P317" s="62"/>
      <c r="Q317" s="62">
        <f>1-1</f>
        <v>0</v>
      </c>
      <c r="R317" s="62">
        <f>1-1</f>
        <v>0</v>
      </c>
      <c r="S317" s="62">
        <f>1-1+1</f>
        <v>1</v>
      </c>
      <c r="T317" s="62">
        <f t="shared" si="27"/>
        <v>0</v>
      </c>
      <c r="U317" s="62">
        <f t="shared" si="27"/>
        <v>0</v>
      </c>
      <c r="V317" s="62"/>
      <c r="W317" s="63"/>
      <c r="X317" s="63"/>
      <c r="Z317" s="71"/>
      <c r="AA317" s="54"/>
      <c r="AB317" s="54"/>
      <c r="AC317" s="54"/>
    </row>
    <row r="318" spans="1:29" ht="60" customHeight="1" x14ac:dyDescent="0.2">
      <c r="A318" s="69" t="s">
        <v>554</v>
      </c>
      <c r="B318" s="70"/>
      <c r="C318" s="66" t="s">
        <v>142</v>
      </c>
      <c r="D318" s="53" t="s">
        <v>48</v>
      </c>
      <c r="E318" s="54" t="s">
        <v>34</v>
      </c>
      <c r="F318" s="55" t="s">
        <v>49</v>
      </c>
      <c r="G318" s="67" t="s">
        <v>50</v>
      </c>
      <c r="H318" s="57" t="s">
        <v>37</v>
      </c>
      <c r="I318" s="55" t="s">
        <v>51</v>
      </c>
      <c r="J318" s="57" t="e">
        <f>ROUND(#REF!*2.4,-1)</f>
        <v>#REF!</v>
      </c>
      <c r="K318" s="58"/>
      <c r="L318" s="59">
        <f>4-3</f>
        <v>1</v>
      </c>
      <c r="M318" s="60"/>
      <c r="N318" s="61"/>
      <c r="O318" s="61"/>
      <c r="P318" s="62"/>
      <c r="Q318" s="62">
        <f>1-1</f>
        <v>0</v>
      </c>
      <c r="R318" s="62">
        <f>1-1+1</f>
        <v>1</v>
      </c>
      <c r="S318" s="62">
        <f t="shared" si="27"/>
        <v>0</v>
      </c>
      <c r="T318" s="62">
        <f t="shared" si="27"/>
        <v>0</v>
      </c>
      <c r="U318" s="62">
        <f t="shared" si="27"/>
        <v>0</v>
      </c>
      <c r="V318" s="62"/>
      <c r="W318" s="63"/>
      <c r="X318" s="63"/>
      <c r="Z318" s="64"/>
      <c r="AA318" s="54">
        <v>1410584</v>
      </c>
      <c r="AB318" s="54">
        <v>407</v>
      </c>
      <c r="AC318" s="54"/>
    </row>
    <row r="319" spans="1:29" ht="60" hidden="1" customHeight="1" x14ac:dyDescent="0.2">
      <c r="A319" s="69" t="s">
        <v>555</v>
      </c>
      <c r="B319" s="70"/>
      <c r="C319" s="66" t="s">
        <v>556</v>
      </c>
      <c r="D319" s="53" t="s">
        <v>48</v>
      </c>
      <c r="E319" s="54" t="s">
        <v>34</v>
      </c>
      <c r="F319" s="55" t="s">
        <v>49</v>
      </c>
      <c r="G319" s="67" t="s">
        <v>50</v>
      </c>
      <c r="H319" s="57" t="s">
        <v>37</v>
      </c>
      <c r="I319" s="55" t="s">
        <v>51</v>
      </c>
      <c r="J319" s="57" t="e">
        <f>ROUND(#REF!*2.4,-1)</f>
        <v>#REF!</v>
      </c>
      <c r="K319" s="58"/>
      <c r="L319" s="59">
        <f>1-1</f>
        <v>0</v>
      </c>
      <c r="M319" s="60"/>
      <c r="N319" s="61"/>
      <c r="O319" s="61"/>
      <c r="P319" s="62"/>
      <c r="Q319" s="62">
        <f>1-1</f>
        <v>0</v>
      </c>
      <c r="R319" s="62">
        <f>1-1</f>
        <v>0</v>
      </c>
      <c r="S319" s="62">
        <f t="shared" si="27"/>
        <v>0</v>
      </c>
      <c r="T319" s="62">
        <f>1-1+1-1</f>
        <v>0</v>
      </c>
      <c r="U319" s="62">
        <f>1-1</f>
        <v>0</v>
      </c>
      <c r="V319" s="62"/>
      <c r="W319" s="63"/>
      <c r="X319" s="63"/>
      <c r="Z319" s="71"/>
      <c r="AA319" s="54">
        <v>1410585</v>
      </c>
      <c r="AB319" s="54">
        <v>410</v>
      </c>
      <c r="AC319" s="54"/>
    </row>
    <row r="320" spans="1:29" ht="60" hidden="1" customHeight="1" x14ac:dyDescent="0.2">
      <c r="A320" s="69" t="s">
        <v>557</v>
      </c>
      <c r="B320" s="70"/>
      <c r="C320" s="66" t="s">
        <v>558</v>
      </c>
      <c r="D320" s="53" t="s">
        <v>48</v>
      </c>
      <c r="E320" s="54" t="s">
        <v>34</v>
      </c>
      <c r="F320" s="55" t="s">
        <v>49</v>
      </c>
      <c r="G320" s="67" t="s">
        <v>50</v>
      </c>
      <c r="H320" s="57" t="s">
        <v>37</v>
      </c>
      <c r="I320" s="55" t="s">
        <v>51</v>
      </c>
      <c r="J320" s="57" t="e">
        <f>ROUND(#REF!*2.4,-1)</f>
        <v>#REF!</v>
      </c>
      <c r="K320" s="58"/>
      <c r="L320" s="59">
        <f>3-3</f>
        <v>0</v>
      </c>
      <c r="M320" s="60"/>
      <c r="N320" s="61"/>
      <c r="O320" s="61"/>
      <c r="P320" s="62"/>
      <c r="Q320" s="62">
        <f>3-3</f>
        <v>0</v>
      </c>
      <c r="R320" s="62">
        <f>2-2</f>
        <v>0</v>
      </c>
      <c r="S320" s="62">
        <f t="shared" si="27"/>
        <v>0</v>
      </c>
      <c r="T320" s="62">
        <f>1-1</f>
        <v>0</v>
      </c>
      <c r="U320" s="62">
        <f>1-1</f>
        <v>0</v>
      </c>
      <c r="V320" s="62">
        <f>1-1</f>
        <v>0</v>
      </c>
      <c r="W320" s="63"/>
      <c r="X320" s="63"/>
      <c r="Z320" s="71"/>
      <c r="AA320" s="54">
        <v>1410586</v>
      </c>
      <c r="AB320" s="54">
        <v>411</v>
      </c>
      <c r="AC320" s="54"/>
    </row>
    <row r="321" spans="1:29" ht="60" hidden="1" customHeight="1" x14ac:dyDescent="0.2">
      <c r="A321" s="69" t="s">
        <v>559</v>
      </c>
      <c r="B321" s="70"/>
      <c r="C321" s="66" t="s">
        <v>560</v>
      </c>
      <c r="D321" s="53" t="s">
        <v>48</v>
      </c>
      <c r="E321" s="54" t="s">
        <v>34</v>
      </c>
      <c r="F321" s="55" t="s">
        <v>49</v>
      </c>
      <c r="G321" s="67" t="s">
        <v>50</v>
      </c>
      <c r="H321" s="57" t="s">
        <v>37</v>
      </c>
      <c r="I321" s="55" t="s">
        <v>51</v>
      </c>
      <c r="J321" s="57" t="e">
        <f>ROUND(#REF!*2.4,-1)</f>
        <v>#REF!</v>
      </c>
      <c r="K321" s="58"/>
      <c r="L321" s="59">
        <f>2-2+2-2</f>
        <v>0</v>
      </c>
      <c r="M321" s="60"/>
      <c r="N321" s="61"/>
      <c r="O321" s="61"/>
      <c r="P321" s="62"/>
      <c r="Q321" s="62">
        <f>1-1</f>
        <v>0</v>
      </c>
      <c r="R321" s="62">
        <f>2-2</f>
        <v>0</v>
      </c>
      <c r="S321" s="62">
        <f t="shared" si="27"/>
        <v>0</v>
      </c>
      <c r="T321" s="62">
        <f>1-1+1-1</f>
        <v>0</v>
      </c>
      <c r="U321" s="62">
        <f>1-1+1-1</f>
        <v>0</v>
      </c>
      <c r="V321" s="62">
        <f>1-1</f>
        <v>0</v>
      </c>
      <c r="W321" s="63"/>
      <c r="X321" s="63"/>
      <c r="Z321" s="71"/>
      <c r="AA321" s="54"/>
      <c r="AB321" s="54"/>
      <c r="AC321" s="54"/>
    </row>
    <row r="322" spans="1:29" ht="60" hidden="1" customHeight="1" x14ac:dyDescent="0.2">
      <c r="A322" s="69" t="s">
        <v>561</v>
      </c>
      <c r="B322" s="70"/>
      <c r="C322" s="66" t="s">
        <v>562</v>
      </c>
      <c r="D322" s="53" t="s">
        <v>48</v>
      </c>
      <c r="E322" s="54" t="s">
        <v>34</v>
      </c>
      <c r="F322" s="55" t="s">
        <v>49</v>
      </c>
      <c r="G322" s="67" t="s">
        <v>50</v>
      </c>
      <c r="H322" s="57" t="s">
        <v>37</v>
      </c>
      <c r="I322" s="55" t="s">
        <v>51</v>
      </c>
      <c r="J322" s="57" t="e">
        <f>ROUND(#REF!*2.4,-1)</f>
        <v>#REF!</v>
      </c>
      <c r="K322" s="58"/>
      <c r="L322" s="59">
        <f>1-1</f>
        <v>0</v>
      </c>
      <c r="M322" s="60"/>
      <c r="N322" s="61"/>
      <c r="O322" s="61"/>
      <c r="P322" s="62"/>
      <c r="Q322" s="62">
        <f>1-1</f>
        <v>0</v>
      </c>
      <c r="R322" s="62">
        <f>1-1</f>
        <v>0</v>
      </c>
      <c r="S322" s="62">
        <f t="shared" si="27"/>
        <v>0</v>
      </c>
      <c r="T322" s="62">
        <f>1-1</f>
        <v>0</v>
      </c>
      <c r="U322" s="62">
        <f>1-1</f>
        <v>0</v>
      </c>
      <c r="V322" s="62"/>
      <c r="W322" s="63"/>
      <c r="X322" s="63"/>
      <c r="Z322" s="71"/>
      <c r="AA322" s="54"/>
      <c r="AB322" s="54"/>
      <c r="AC322" s="54"/>
    </row>
    <row r="323" spans="1:29" ht="60" hidden="1" customHeight="1" x14ac:dyDescent="0.2">
      <c r="A323" s="69" t="s">
        <v>563</v>
      </c>
      <c r="B323" s="74"/>
      <c r="C323" s="87" t="s">
        <v>564</v>
      </c>
      <c r="D323" s="53" t="s">
        <v>48</v>
      </c>
      <c r="E323" s="54" t="s">
        <v>34</v>
      </c>
      <c r="F323" s="55" t="s">
        <v>49</v>
      </c>
      <c r="G323" s="67" t="s">
        <v>50</v>
      </c>
      <c r="H323" s="57" t="s">
        <v>37</v>
      </c>
      <c r="I323" s="55" t="s">
        <v>51</v>
      </c>
      <c r="J323" s="57" t="e">
        <f>ROUND(#REF!*2.4,-1)</f>
        <v>#REF!</v>
      </c>
      <c r="K323" s="58"/>
      <c r="L323" s="59">
        <v>0</v>
      </c>
      <c r="M323" s="60"/>
      <c r="N323" s="61"/>
      <c r="O323" s="61"/>
      <c r="P323" s="62"/>
      <c r="Q323" s="62"/>
      <c r="R323" s="62"/>
      <c r="S323" s="62"/>
      <c r="T323" s="62"/>
      <c r="U323" s="62"/>
      <c r="V323" s="62"/>
      <c r="W323" s="63"/>
      <c r="X323" s="63"/>
      <c r="Z323" s="64"/>
      <c r="AA323" s="54"/>
      <c r="AB323" s="54"/>
      <c r="AC323" s="54"/>
    </row>
    <row r="324" spans="1:29" ht="60" hidden="1" customHeight="1" x14ac:dyDescent="0.2">
      <c r="A324" s="69" t="s">
        <v>565</v>
      </c>
      <c r="B324" s="74"/>
      <c r="C324" s="66" t="s">
        <v>566</v>
      </c>
      <c r="D324" s="53" t="s">
        <v>48</v>
      </c>
      <c r="E324" s="54" t="s">
        <v>34</v>
      </c>
      <c r="F324" s="55" t="s">
        <v>49</v>
      </c>
      <c r="G324" s="67" t="s">
        <v>50</v>
      </c>
      <c r="H324" s="57" t="s">
        <v>37</v>
      </c>
      <c r="I324" s="55" t="s">
        <v>51</v>
      </c>
      <c r="J324" s="57" t="e">
        <f>ROUND(#REF!*2.4,-1)</f>
        <v>#REF!</v>
      </c>
      <c r="K324" s="58"/>
      <c r="L324" s="59">
        <f>1-1</f>
        <v>0</v>
      </c>
      <c r="M324" s="60"/>
      <c r="N324" s="61"/>
      <c r="O324" s="61"/>
      <c r="P324" s="62"/>
      <c r="Q324" s="62">
        <f t="shared" ref="Q324:R326" si="29">1-1</f>
        <v>0</v>
      </c>
      <c r="R324" s="62">
        <f t="shared" si="29"/>
        <v>0</v>
      </c>
      <c r="S324" s="62">
        <f>3-3</f>
        <v>0</v>
      </c>
      <c r="T324" s="62">
        <f>1-1</f>
        <v>0</v>
      </c>
      <c r="U324" s="62">
        <f>3-3</f>
        <v>0</v>
      </c>
      <c r="V324" s="62">
        <f>1-1</f>
        <v>0</v>
      </c>
      <c r="W324" s="63"/>
      <c r="X324" s="63"/>
      <c r="Z324" s="64"/>
      <c r="AA324" s="54">
        <v>1410600</v>
      </c>
      <c r="AB324" s="54">
        <v>412</v>
      </c>
      <c r="AC324" s="54">
        <v>401</v>
      </c>
    </row>
    <row r="325" spans="1:29" ht="60" hidden="1" customHeight="1" x14ac:dyDescent="0.2">
      <c r="A325" s="69" t="s">
        <v>567</v>
      </c>
      <c r="B325" s="74"/>
      <c r="C325" s="66" t="s">
        <v>568</v>
      </c>
      <c r="D325" s="53" t="s">
        <v>48</v>
      </c>
      <c r="E325" s="54" t="s">
        <v>34</v>
      </c>
      <c r="F325" s="55" t="s">
        <v>49</v>
      </c>
      <c r="G325" s="67" t="s">
        <v>50</v>
      </c>
      <c r="H325" s="57" t="s">
        <v>37</v>
      </c>
      <c r="I325" s="55" t="s">
        <v>51</v>
      </c>
      <c r="J325" s="57" t="e">
        <f>ROUND(#REF!*2.4,-1)</f>
        <v>#REF!</v>
      </c>
      <c r="K325" s="58"/>
      <c r="L325" s="59">
        <f>1-1</f>
        <v>0</v>
      </c>
      <c r="M325" s="60"/>
      <c r="N325" s="61"/>
      <c r="O325" s="61"/>
      <c r="P325" s="62"/>
      <c r="Q325" s="62">
        <f t="shared" si="29"/>
        <v>0</v>
      </c>
      <c r="R325" s="62">
        <f t="shared" si="29"/>
        <v>0</v>
      </c>
      <c r="S325" s="62">
        <f>2-2</f>
        <v>0</v>
      </c>
      <c r="T325" s="62">
        <f>2-2</f>
        <v>0</v>
      </c>
      <c r="U325" s="62">
        <f>1-1</f>
        <v>0</v>
      </c>
      <c r="V325" s="62">
        <f>1-1</f>
        <v>0</v>
      </c>
      <c r="W325" s="63"/>
      <c r="X325" s="63"/>
      <c r="Z325" s="64"/>
      <c r="AA325" s="54">
        <v>1410601</v>
      </c>
      <c r="AB325" s="54">
        <v>402</v>
      </c>
      <c r="AC325" s="54">
        <v>402</v>
      </c>
    </row>
    <row r="326" spans="1:29" ht="60" hidden="1" customHeight="1" x14ac:dyDescent="0.2">
      <c r="A326" s="69" t="s">
        <v>569</v>
      </c>
      <c r="B326" s="74"/>
      <c r="C326" s="66" t="s">
        <v>570</v>
      </c>
      <c r="D326" s="53" t="s">
        <v>48</v>
      </c>
      <c r="E326" s="54" t="s">
        <v>34</v>
      </c>
      <c r="F326" s="55" t="s">
        <v>49</v>
      </c>
      <c r="G326" s="67" t="s">
        <v>50</v>
      </c>
      <c r="H326" s="57" t="s">
        <v>37</v>
      </c>
      <c r="I326" s="55" t="s">
        <v>51</v>
      </c>
      <c r="J326" s="57" t="e">
        <f>ROUND(#REF!*2.4,-1)</f>
        <v>#REF!</v>
      </c>
      <c r="K326" s="58"/>
      <c r="L326" s="59">
        <f>1-1</f>
        <v>0</v>
      </c>
      <c r="M326" s="60"/>
      <c r="N326" s="61"/>
      <c r="O326" s="61"/>
      <c r="P326" s="62"/>
      <c r="Q326" s="62">
        <f t="shared" si="29"/>
        <v>0</v>
      </c>
      <c r="R326" s="62">
        <f t="shared" si="29"/>
        <v>0</v>
      </c>
      <c r="S326" s="62">
        <f>1-1</f>
        <v>0</v>
      </c>
      <c r="T326" s="62">
        <f>1-1</f>
        <v>0</v>
      </c>
      <c r="U326" s="62">
        <f>1-1</f>
        <v>0</v>
      </c>
      <c r="V326" s="62">
        <f>1-1</f>
        <v>0</v>
      </c>
      <c r="W326" s="63"/>
      <c r="X326" s="63"/>
      <c r="Z326" s="71"/>
      <c r="AA326" s="54">
        <v>1410607</v>
      </c>
      <c r="AB326" s="54">
        <v>413</v>
      </c>
      <c r="AC326" s="54"/>
    </row>
    <row r="327" spans="1:29" ht="60" hidden="1" customHeight="1" x14ac:dyDescent="0.2">
      <c r="A327" s="72" t="s">
        <v>571</v>
      </c>
      <c r="B327" s="74"/>
      <c r="C327" s="66" t="s">
        <v>572</v>
      </c>
      <c r="D327" s="53" t="s">
        <v>48</v>
      </c>
      <c r="E327" s="54" t="s">
        <v>34</v>
      </c>
      <c r="F327" s="55" t="s">
        <v>49</v>
      </c>
      <c r="G327" s="67" t="s">
        <v>50</v>
      </c>
      <c r="H327" s="57" t="s">
        <v>37</v>
      </c>
      <c r="I327" s="55" t="s">
        <v>51</v>
      </c>
      <c r="J327" s="57" t="e">
        <f>ROUND(#REF!*2.4,-1)</f>
        <v>#REF!</v>
      </c>
      <c r="K327" s="58"/>
      <c r="L327" s="59">
        <f>3-3</f>
        <v>0</v>
      </c>
      <c r="M327" s="75"/>
      <c r="N327" s="76"/>
      <c r="O327" s="76"/>
      <c r="P327" s="77"/>
      <c r="Q327" s="77">
        <f>2-2</f>
        <v>0</v>
      </c>
      <c r="R327" s="77">
        <f>3-3</f>
        <v>0</v>
      </c>
      <c r="S327" s="77">
        <f>1-1</f>
        <v>0</v>
      </c>
      <c r="T327" s="77"/>
      <c r="U327" s="77"/>
      <c r="V327" s="77"/>
      <c r="W327" s="63"/>
      <c r="X327" s="63"/>
      <c r="Z327" s="64"/>
      <c r="AA327" s="54">
        <v>1410629</v>
      </c>
      <c r="AB327" s="54">
        <v>415</v>
      </c>
      <c r="AC327" s="54"/>
    </row>
    <row r="328" spans="1:29" ht="60" hidden="1" customHeight="1" x14ac:dyDescent="0.2">
      <c r="A328" s="72" t="s">
        <v>573</v>
      </c>
      <c r="B328" s="74"/>
      <c r="C328" s="66" t="s">
        <v>574</v>
      </c>
      <c r="D328" s="53" t="s">
        <v>48</v>
      </c>
      <c r="E328" s="54" t="s">
        <v>34</v>
      </c>
      <c r="F328" s="55" t="s">
        <v>49</v>
      </c>
      <c r="G328" s="67" t="s">
        <v>50</v>
      </c>
      <c r="H328" s="57" t="s">
        <v>37</v>
      </c>
      <c r="I328" s="55" t="s">
        <v>51</v>
      </c>
      <c r="J328" s="57" t="e">
        <f>ROUND(#REF!*2.4,-1)</f>
        <v>#REF!</v>
      </c>
      <c r="K328" s="58"/>
      <c r="L328" s="59">
        <f>1-1</f>
        <v>0</v>
      </c>
      <c r="M328" s="75"/>
      <c r="N328" s="76"/>
      <c r="O328" s="76"/>
      <c r="P328" s="77"/>
      <c r="Q328" s="77">
        <f>1-1</f>
        <v>0</v>
      </c>
      <c r="R328" s="77">
        <f>3-3</f>
        <v>0</v>
      </c>
      <c r="S328" s="77">
        <f>1-1</f>
        <v>0</v>
      </c>
      <c r="T328" s="77">
        <f>5-5</f>
        <v>0</v>
      </c>
      <c r="U328" s="77">
        <f>1-1</f>
        <v>0</v>
      </c>
      <c r="V328" s="77">
        <f>1-1</f>
        <v>0</v>
      </c>
      <c r="W328" s="63"/>
      <c r="X328" s="63"/>
      <c r="Z328" s="64"/>
      <c r="AA328" s="54">
        <v>1410630</v>
      </c>
      <c r="AB328" s="54">
        <v>416</v>
      </c>
      <c r="AC328" s="54"/>
    </row>
    <row r="329" spans="1:29" ht="60" hidden="1" customHeight="1" x14ac:dyDescent="0.2">
      <c r="A329" s="72" t="s">
        <v>575</v>
      </c>
      <c r="B329" s="74"/>
      <c r="C329" s="66" t="s">
        <v>576</v>
      </c>
      <c r="D329" s="53" t="s">
        <v>48</v>
      </c>
      <c r="E329" s="54" t="s">
        <v>34</v>
      </c>
      <c r="F329" s="55" t="s">
        <v>49</v>
      </c>
      <c r="G329" s="67" t="s">
        <v>50</v>
      </c>
      <c r="H329" s="57" t="s">
        <v>37</v>
      </c>
      <c r="I329" s="55" t="s">
        <v>51</v>
      </c>
      <c r="J329" s="57" t="e">
        <f>ROUND(#REF!*2.4,-1)</f>
        <v>#REF!</v>
      </c>
      <c r="K329" s="58"/>
      <c r="L329" s="59">
        <f>1-1</f>
        <v>0</v>
      </c>
      <c r="M329" s="75"/>
      <c r="N329" s="76"/>
      <c r="O329" s="76"/>
      <c r="P329" s="77"/>
      <c r="Q329" s="77">
        <f>1-1</f>
        <v>0</v>
      </c>
      <c r="R329" s="77">
        <f>1-1</f>
        <v>0</v>
      </c>
      <c r="S329" s="77">
        <f>1-1</f>
        <v>0</v>
      </c>
      <c r="T329" s="77">
        <f>2-2</f>
        <v>0</v>
      </c>
      <c r="U329" s="77">
        <f>1-1</f>
        <v>0</v>
      </c>
      <c r="V329" s="77">
        <f>1-1</f>
        <v>0</v>
      </c>
      <c r="W329" s="63"/>
      <c r="X329" s="63"/>
      <c r="Z329" s="71"/>
      <c r="AA329" s="54"/>
      <c r="AB329" s="54"/>
      <c r="AC329" s="54"/>
    </row>
    <row r="330" spans="1:29" ht="60" hidden="1" customHeight="1" x14ac:dyDescent="0.2">
      <c r="A330" s="69" t="s">
        <v>577</v>
      </c>
      <c r="B330" s="74"/>
      <c r="C330" s="66" t="s">
        <v>578</v>
      </c>
      <c r="D330" s="53" t="s">
        <v>48</v>
      </c>
      <c r="E330" s="54" t="s">
        <v>34</v>
      </c>
      <c r="F330" s="55" t="s">
        <v>49</v>
      </c>
      <c r="G330" s="67" t="s">
        <v>50</v>
      </c>
      <c r="H330" s="57" t="s">
        <v>37</v>
      </c>
      <c r="I330" s="55" t="s">
        <v>51</v>
      </c>
      <c r="J330" s="57" t="e">
        <f>ROUND(#REF!*2.4,-1)</f>
        <v>#REF!</v>
      </c>
      <c r="K330" s="58"/>
      <c r="L330" s="59">
        <v>0</v>
      </c>
      <c r="M330" s="60"/>
      <c r="N330" s="61"/>
      <c r="O330" s="61"/>
      <c r="P330" s="62"/>
      <c r="Q330" s="62"/>
      <c r="R330" s="62"/>
      <c r="S330" s="62"/>
      <c r="T330" s="62"/>
      <c r="U330" s="62"/>
      <c r="V330" s="62"/>
      <c r="W330" s="63"/>
      <c r="X330" s="63"/>
      <c r="Z330" s="64"/>
      <c r="AA330" s="54"/>
      <c r="AB330" s="54"/>
      <c r="AC330" s="54"/>
    </row>
    <row r="331" spans="1:29" ht="38.25" hidden="1" x14ac:dyDescent="0.2">
      <c r="A331" s="69" t="s">
        <v>579</v>
      </c>
      <c r="B331" s="70"/>
      <c r="C331" s="68" t="s">
        <v>580</v>
      </c>
      <c r="D331" s="53" t="s">
        <v>48</v>
      </c>
      <c r="E331" s="54" t="s">
        <v>34</v>
      </c>
      <c r="F331" s="55" t="s">
        <v>49</v>
      </c>
      <c r="G331" s="67" t="s">
        <v>50</v>
      </c>
      <c r="H331" s="57" t="s">
        <v>37</v>
      </c>
      <c r="I331" s="55" t="s">
        <v>51</v>
      </c>
      <c r="J331" s="57" t="e">
        <f>ROUND(#REF!*2.4,-1)</f>
        <v>#REF!</v>
      </c>
      <c r="K331" s="58"/>
      <c r="L331" s="59">
        <v>0</v>
      </c>
      <c r="M331" s="60"/>
      <c r="N331" s="61"/>
      <c r="O331" s="61"/>
      <c r="P331" s="62"/>
      <c r="Q331" s="62"/>
      <c r="R331" s="62"/>
      <c r="S331" s="62"/>
      <c r="T331" s="62"/>
      <c r="U331" s="62"/>
      <c r="V331" s="62"/>
      <c r="W331" s="63"/>
      <c r="X331" s="63"/>
      <c r="Z331" s="64"/>
      <c r="AA331" s="54"/>
      <c r="AB331" s="54"/>
      <c r="AC331" s="54"/>
    </row>
    <row r="332" spans="1:29" ht="60" hidden="1" customHeight="1" x14ac:dyDescent="0.2">
      <c r="A332" s="69" t="s">
        <v>581</v>
      </c>
      <c r="B332" s="74"/>
      <c r="C332" s="87" t="s">
        <v>582</v>
      </c>
      <c r="D332" s="53" t="s">
        <v>48</v>
      </c>
      <c r="E332" s="54" t="s">
        <v>34</v>
      </c>
      <c r="F332" s="55" t="s">
        <v>49</v>
      </c>
      <c r="G332" s="67" t="s">
        <v>50</v>
      </c>
      <c r="H332" s="57" t="s">
        <v>37</v>
      </c>
      <c r="I332" s="55" t="s">
        <v>51</v>
      </c>
      <c r="J332" s="57" t="e">
        <f>ROUND(#REF!*2.4,-1)</f>
        <v>#REF!</v>
      </c>
      <c r="K332" s="58"/>
      <c r="L332" s="59">
        <f>2-2</f>
        <v>0</v>
      </c>
      <c r="M332" s="60"/>
      <c r="N332" s="61"/>
      <c r="O332" s="61"/>
      <c r="P332" s="62"/>
      <c r="Q332" s="62">
        <f>1-1</f>
        <v>0</v>
      </c>
      <c r="R332" s="62">
        <f>1-1</f>
        <v>0</v>
      </c>
      <c r="S332" s="62">
        <f>1-1</f>
        <v>0</v>
      </c>
      <c r="T332" s="62"/>
      <c r="U332" s="62"/>
      <c r="V332" s="62"/>
      <c r="W332" s="63"/>
      <c r="X332" s="63"/>
      <c r="Z332" s="64"/>
      <c r="AA332" s="54"/>
      <c r="AB332" s="54"/>
      <c r="AC332" s="54"/>
    </row>
    <row r="333" spans="1:29" ht="60" hidden="1" customHeight="1" x14ac:dyDescent="0.2">
      <c r="A333" s="69" t="s">
        <v>583</v>
      </c>
      <c r="B333" s="74"/>
      <c r="C333" s="66" t="s">
        <v>584</v>
      </c>
      <c r="D333" s="53" t="s">
        <v>48</v>
      </c>
      <c r="E333" s="54" t="s">
        <v>585</v>
      </c>
      <c r="F333" s="55" t="s">
        <v>49</v>
      </c>
      <c r="G333" s="67" t="s">
        <v>50</v>
      </c>
      <c r="H333" s="57" t="s">
        <v>37</v>
      </c>
      <c r="I333" s="55" t="s">
        <v>51</v>
      </c>
      <c r="J333" s="57" t="e">
        <f>ROUND(#REF!*2.4,-1)</f>
        <v>#REF!</v>
      </c>
      <c r="K333" s="58"/>
      <c r="L333" s="59">
        <f>7-7</f>
        <v>0</v>
      </c>
      <c r="M333" s="60"/>
      <c r="N333" s="61"/>
      <c r="O333" s="61"/>
      <c r="P333" s="62"/>
      <c r="Q333" s="62">
        <f>1-1</f>
        <v>0</v>
      </c>
      <c r="R333" s="62">
        <f>2-2</f>
        <v>0</v>
      </c>
      <c r="S333" s="62">
        <f>3-3</f>
        <v>0</v>
      </c>
      <c r="T333" s="62">
        <f>1-1</f>
        <v>0</v>
      </c>
      <c r="U333" s="62">
        <f>4-4</f>
        <v>0</v>
      </c>
      <c r="V333" s="62"/>
      <c r="W333" s="63"/>
      <c r="X333" s="63"/>
      <c r="Z333" s="64"/>
      <c r="AA333" s="54"/>
      <c r="AB333" s="54"/>
      <c r="AC333" s="54"/>
    </row>
    <row r="334" spans="1:29" ht="25.5" x14ac:dyDescent="0.2">
      <c r="A334" s="69" t="s">
        <v>586</v>
      </c>
      <c r="B334" s="74"/>
      <c r="C334" s="54" t="s">
        <v>486</v>
      </c>
      <c r="D334" s="53" t="s">
        <v>48</v>
      </c>
      <c r="E334" s="54" t="s">
        <v>34</v>
      </c>
      <c r="F334" s="55" t="s">
        <v>49</v>
      </c>
      <c r="G334" s="67" t="s">
        <v>487</v>
      </c>
      <c r="H334" s="57" t="s">
        <v>60</v>
      </c>
      <c r="I334" s="55" t="s">
        <v>51</v>
      </c>
      <c r="J334" s="57" t="e">
        <f>ROUND(#REF!*2.4,-1)</f>
        <v>#REF!</v>
      </c>
      <c r="K334" s="58"/>
      <c r="L334" s="59">
        <f>32-1</f>
        <v>31</v>
      </c>
      <c r="M334" s="60"/>
      <c r="N334" s="61"/>
      <c r="O334" s="61"/>
      <c r="P334" s="62"/>
      <c r="Q334" s="62">
        <f>8-1</f>
        <v>7</v>
      </c>
      <c r="R334" s="62">
        <f>3-1</f>
        <v>2</v>
      </c>
      <c r="S334" s="62">
        <f>4-1+2</f>
        <v>5</v>
      </c>
      <c r="T334" s="62">
        <f>7-1</f>
        <v>6</v>
      </c>
      <c r="U334" s="62">
        <f>7-1</f>
        <v>6</v>
      </c>
      <c r="V334" s="62">
        <f>5-1+1</f>
        <v>5</v>
      </c>
      <c r="W334" s="63"/>
      <c r="X334" s="63"/>
      <c r="Z334" s="93"/>
      <c r="AA334" s="54">
        <v>1420000</v>
      </c>
      <c r="AB334" s="54">
        <v>343</v>
      </c>
      <c r="AC334" s="54"/>
    </row>
    <row r="335" spans="1:29" ht="60" customHeight="1" x14ac:dyDescent="0.2">
      <c r="A335" s="69" t="s">
        <v>587</v>
      </c>
      <c r="B335" s="74"/>
      <c r="C335" s="66" t="s">
        <v>588</v>
      </c>
      <c r="D335" s="53" t="s">
        <v>48</v>
      </c>
      <c r="E335" s="54" t="s">
        <v>34</v>
      </c>
      <c r="F335" s="55" t="s">
        <v>49</v>
      </c>
      <c r="G335" s="56" t="s">
        <v>36</v>
      </c>
      <c r="H335" s="57" t="s">
        <v>60</v>
      </c>
      <c r="I335" s="55" t="s">
        <v>51</v>
      </c>
      <c r="J335" s="57" t="e">
        <f>ROUND(#REF!*2.4,-1)</f>
        <v>#REF!</v>
      </c>
      <c r="K335" s="58"/>
      <c r="L335" s="59">
        <f>12-1</f>
        <v>11</v>
      </c>
      <c r="M335" s="60"/>
      <c r="N335" s="61"/>
      <c r="O335" s="61"/>
      <c r="P335" s="62"/>
      <c r="Q335" s="62"/>
      <c r="R335" s="62"/>
      <c r="S335" s="62"/>
      <c r="T335" s="62"/>
      <c r="U335" s="62"/>
      <c r="V335" s="62">
        <f>12-1</f>
        <v>11</v>
      </c>
      <c r="W335" s="63"/>
      <c r="X335" s="63"/>
      <c r="Z335" s="93"/>
      <c r="AA335" s="54"/>
      <c r="AB335" s="54"/>
      <c r="AC335" s="54"/>
    </row>
    <row r="336" spans="1:29" ht="60" hidden="1" customHeight="1" x14ac:dyDescent="0.2">
      <c r="A336" s="69" t="s">
        <v>589</v>
      </c>
      <c r="B336" s="70"/>
      <c r="C336" s="66" t="s">
        <v>590</v>
      </c>
      <c r="D336" s="53" t="s">
        <v>48</v>
      </c>
      <c r="E336" s="54" t="s">
        <v>34</v>
      </c>
      <c r="F336" s="55" t="s">
        <v>49</v>
      </c>
      <c r="G336" s="56" t="s">
        <v>36</v>
      </c>
      <c r="H336" s="57" t="s">
        <v>60</v>
      </c>
      <c r="I336" s="55" t="s">
        <v>51</v>
      </c>
      <c r="J336" s="57" t="e">
        <f>ROUND(#REF!*2.4,-1)</f>
        <v>#REF!</v>
      </c>
      <c r="K336" s="58"/>
      <c r="L336" s="59">
        <f>1-1</f>
        <v>0</v>
      </c>
      <c r="M336" s="60"/>
      <c r="N336" s="61"/>
      <c r="O336" s="61"/>
      <c r="P336" s="62"/>
      <c r="Q336" s="62">
        <f t="shared" ref="Q336:V336" si="30">1-1</f>
        <v>0</v>
      </c>
      <c r="R336" s="62">
        <f t="shared" si="30"/>
        <v>0</v>
      </c>
      <c r="S336" s="62">
        <f t="shared" si="30"/>
        <v>0</v>
      </c>
      <c r="T336" s="62">
        <f t="shared" si="30"/>
        <v>0</v>
      </c>
      <c r="U336" s="62">
        <f t="shared" si="30"/>
        <v>0</v>
      </c>
      <c r="V336" s="62">
        <f t="shared" si="30"/>
        <v>0</v>
      </c>
      <c r="W336" s="63"/>
      <c r="X336" s="63"/>
      <c r="Z336" s="64"/>
      <c r="AA336" s="54"/>
      <c r="AB336" s="54"/>
      <c r="AC336" s="54"/>
    </row>
    <row r="337" spans="1:29" ht="60" hidden="1" customHeight="1" x14ac:dyDescent="0.2">
      <c r="A337" s="69" t="s">
        <v>591</v>
      </c>
      <c r="B337" s="51"/>
      <c r="C337" s="87" t="s">
        <v>365</v>
      </c>
      <c r="D337" s="53" t="s">
        <v>48</v>
      </c>
      <c r="E337" s="54" t="s">
        <v>34</v>
      </c>
      <c r="F337" s="55" t="s">
        <v>49</v>
      </c>
      <c r="G337" s="67" t="s">
        <v>50</v>
      </c>
      <c r="H337" s="57" t="s">
        <v>60</v>
      </c>
      <c r="I337" s="55" t="s">
        <v>51</v>
      </c>
      <c r="J337" s="57" t="e">
        <f>ROUND(#REF!*2.4,-1)</f>
        <v>#REF!</v>
      </c>
      <c r="K337" s="58"/>
      <c r="L337" s="59">
        <v>0</v>
      </c>
      <c r="M337" s="60"/>
      <c r="N337" s="61"/>
      <c r="O337" s="61"/>
      <c r="P337" s="62"/>
      <c r="Q337" s="62"/>
      <c r="R337" s="62"/>
      <c r="S337" s="62"/>
      <c r="T337" s="62"/>
      <c r="U337" s="62"/>
      <c r="V337" s="62"/>
      <c r="W337" s="63"/>
      <c r="X337" s="63"/>
      <c r="Z337" s="64"/>
      <c r="AA337" s="54"/>
      <c r="AB337" s="54"/>
      <c r="AC337" s="54"/>
    </row>
    <row r="338" spans="1:29" ht="60" hidden="1" customHeight="1" x14ac:dyDescent="0.2">
      <c r="A338" s="69" t="s">
        <v>592</v>
      </c>
      <c r="B338" s="51"/>
      <c r="C338" s="87" t="s">
        <v>456</v>
      </c>
      <c r="D338" s="53" t="s">
        <v>48</v>
      </c>
      <c r="E338" s="54" t="s">
        <v>34</v>
      </c>
      <c r="F338" s="55" t="s">
        <v>49</v>
      </c>
      <c r="G338" s="56" t="s">
        <v>36</v>
      </c>
      <c r="H338" s="57" t="s">
        <v>60</v>
      </c>
      <c r="I338" s="55" t="s">
        <v>51</v>
      </c>
      <c r="J338" s="57" t="e">
        <f>ROUND(#REF!*2.4,-1)</f>
        <v>#REF!</v>
      </c>
      <c r="K338" s="58"/>
      <c r="L338" s="59">
        <f>1-1</f>
        <v>0</v>
      </c>
      <c r="M338" s="60"/>
      <c r="N338" s="61"/>
      <c r="O338" s="61"/>
      <c r="P338" s="62"/>
      <c r="Q338" s="62">
        <f>3-3</f>
        <v>0</v>
      </c>
      <c r="R338" s="62">
        <f>1-1</f>
        <v>0</v>
      </c>
      <c r="S338" s="62">
        <f>1-1</f>
        <v>0</v>
      </c>
      <c r="T338" s="62">
        <f>1-1</f>
        <v>0</v>
      </c>
      <c r="U338" s="62">
        <f>1-1</f>
        <v>0</v>
      </c>
      <c r="V338" s="62">
        <f>2-2</f>
        <v>0</v>
      </c>
      <c r="W338" s="63"/>
      <c r="X338" s="63"/>
      <c r="Z338" s="64"/>
      <c r="AA338" s="54"/>
      <c r="AB338" s="54"/>
      <c r="AC338" s="54"/>
    </row>
    <row r="339" spans="1:29" ht="60" hidden="1" customHeight="1" x14ac:dyDescent="0.2">
      <c r="A339" s="69" t="s">
        <v>593</v>
      </c>
      <c r="B339" s="74"/>
      <c r="C339" s="87" t="s">
        <v>594</v>
      </c>
      <c r="D339" s="53" t="s">
        <v>48</v>
      </c>
      <c r="E339" s="54" t="s">
        <v>34</v>
      </c>
      <c r="F339" s="55" t="s">
        <v>49</v>
      </c>
      <c r="G339" s="67" t="s">
        <v>50</v>
      </c>
      <c r="H339" s="57" t="s">
        <v>60</v>
      </c>
      <c r="I339" s="55" t="s">
        <v>51</v>
      </c>
      <c r="J339" s="57" t="e">
        <f>ROUND(#REF!*2.4,-1)</f>
        <v>#REF!</v>
      </c>
      <c r="K339" s="58"/>
      <c r="L339" s="59">
        <f>6-6</f>
        <v>0</v>
      </c>
      <c r="M339" s="60"/>
      <c r="N339" s="61"/>
      <c r="O339" s="61"/>
      <c r="P339" s="62"/>
      <c r="Q339" s="62">
        <f>1-1</f>
        <v>0</v>
      </c>
      <c r="R339" s="62">
        <f>2-2</f>
        <v>0</v>
      </c>
      <c r="S339" s="62">
        <f>1-1</f>
        <v>0</v>
      </c>
      <c r="T339" s="62">
        <f>1-1</f>
        <v>0</v>
      </c>
      <c r="U339" s="62">
        <f>3-3</f>
        <v>0</v>
      </c>
      <c r="V339" s="62">
        <f>1-1</f>
        <v>0</v>
      </c>
      <c r="W339" s="63"/>
      <c r="X339" s="63"/>
      <c r="Z339" s="64"/>
      <c r="AA339" s="54">
        <v>1420027</v>
      </c>
      <c r="AB339" s="54">
        <v>417</v>
      </c>
      <c r="AC339" s="54"/>
    </row>
    <row r="340" spans="1:29" ht="60" customHeight="1" x14ac:dyDescent="0.2">
      <c r="A340" s="69" t="s">
        <v>595</v>
      </c>
      <c r="B340" s="70"/>
      <c r="C340" s="66" t="s">
        <v>596</v>
      </c>
      <c r="D340" s="53" t="s">
        <v>48</v>
      </c>
      <c r="E340" s="54" t="s">
        <v>34</v>
      </c>
      <c r="F340" s="55" t="s">
        <v>49</v>
      </c>
      <c r="G340" s="56" t="s">
        <v>36</v>
      </c>
      <c r="H340" s="57" t="s">
        <v>60</v>
      </c>
      <c r="I340" s="55" t="s">
        <v>51</v>
      </c>
      <c r="J340" s="57" t="e">
        <f>ROUND(#REF!*2.4,-1)</f>
        <v>#REF!</v>
      </c>
      <c r="K340" s="58"/>
      <c r="L340" s="59">
        <f>2-2+2</f>
        <v>2</v>
      </c>
      <c r="M340" s="60"/>
      <c r="N340" s="61"/>
      <c r="O340" s="61"/>
      <c r="P340" s="62"/>
      <c r="Q340" s="62">
        <f>1-1</f>
        <v>0</v>
      </c>
      <c r="R340" s="62">
        <f>1-1+1</f>
        <v>1</v>
      </c>
      <c r="S340" s="62">
        <f>1-1+1</f>
        <v>1</v>
      </c>
      <c r="T340" s="62">
        <f>14-14</f>
        <v>0</v>
      </c>
      <c r="U340" s="62">
        <f>1-1</f>
        <v>0</v>
      </c>
      <c r="V340" s="62">
        <f>14-14</f>
        <v>0</v>
      </c>
      <c r="W340" s="63"/>
      <c r="X340" s="63"/>
      <c r="Z340" s="64"/>
      <c r="AA340" s="54"/>
      <c r="AB340" s="54"/>
      <c r="AC340" s="54"/>
    </row>
    <row r="341" spans="1:29" ht="60" hidden="1" customHeight="1" x14ac:dyDescent="0.2">
      <c r="A341" s="69" t="s">
        <v>597</v>
      </c>
      <c r="B341" s="70"/>
      <c r="C341" s="66" t="s">
        <v>451</v>
      </c>
      <c r="D341" s="53" t="s">
        <v>48</v>
      </c>
      <c r="E341" s="54" t="s">
        <v>34</v>
      </c>
      <c r="F341" s="55" t="s">
        <v>49</v>
      </c>
      <c r="G341" s="56" t="s">
        <v>36</v>
      </c>
      <c r="H341" s="57" t="s">
        <v>60</v>
      </c>
      <c r="I341" s="55" t="s">
        <v>51</v>
      </c>
      <c r="J341" s="57" t="e">
        <f>ROUND(#REF!*2.4,-1)</f>
        <v>#REF!</v>
      </c>
      <c r="K341" s="58"/>
      <c r="L341" s="59">
        <f>1-1</f>
        <v>0</v>
      </c>
      <c r="M341" s="60"/>
      <c r="N341" s="61"/>
      <c r="O341" s="61"/>
      <c r="P341" s="62"/>
      <c r="Q341" s="62">
        <f>1-1</f>
        <v>0</v>
      </c>
      <c r="R341" s="62">
        <f>1-1</f>
        <v>0</v>
      </c>
      <c r="S341" s="62"/>
      <c r="T341" s="62"/>
      <c r="U341" s="62"/>
      <c r="V341" s="62"/>
      <c r="W341" s="63"/>
      <c r="X341" s="63"/>
      <c r="Z341" s="64"/>
      <c r="AA341" s="54"/>
      <c r="AB341" s="54"/>
      <c r="AC341" s="54"/>
    </row>
    <row r="342" spans="1:29" ht="60" customHeight="1" x14ac:dyDescent="0.2">
      <c r="A342" s="69" t="s">
        <v>598</v>
      </c>
      <c r="B342" s="70"/>
      <c r="C342" s="66" t="s">
        <v>372</v>
      </c>
      <c r="D342" s="53" t="s">
        <v>48</v>
      </c>
      <c r="E342" s="54" t="s">
        <v>34</v>
      </c>
      <c r="F342" s="55" t="s">
        <v>49</v>
      </c>
      <c r="G342" s="56" t="s">
        <v>36</v>
      </c>
      <c r="H342" s="57" t="s">
        <v>60</v>
      </c>
      <c r="I342" s="55" t="s">
        <v>51</v>
      </c>
      <c r="J342" s="57" t="e">
        <f>ROUND(#REF!*2.4,-1)</f>
        <v>#REF!</v>
      </c>
      <c r="K342" s="58"/>
      <c r="L342" s="59">
        <f>1-1+1</f>
        <v>1</v>
      </c>
      <c r="M342" s="60"/>
      <c r="N342" s="61"/>
      <c r="O342" s="61"/>
      <c r="P342" s="62"/>
      <c r="Q342" s="62">
        <f>1-1</f>
        <v>0</v>
      </c>
      <c r="R342" s="62">
        <f>1-1</f>
        <v>0</v>
      </c>
      <c r="S342" s="62">
        <v>0</v>
      </c>
      <c r="T342" s="62">
        <f>1-1</f>
        <v>0</v>
      </c>
      <c r="U342" s="62">
        <f>1-1+1</f>
        <v>1</v>
      </c>
      <c r="V342" s="62">
        <f>1-1</f>
        <v>0</v>
      </c>
      <c r="W342" s="63"/>
      <c r="X342" s="63"/>
      <c r="Z342" s="64"/>
      <c r="AA342" s="54"/>
      <c r="AB342" s="54"/>
      <c r="AC342" s="54"/>
    </row>
    <row r="343" spans="1:29" ht="38.25" hidden="1" x14ac:dyDescent="0.2">
      <c r="A343" s="69" t="s">
        <v>599</v>
      </c>
      <c r="B343" s="70"/>
      <c r="C343" s="87" t="s">
        <v>360</v>
      </c>
      <c r="D343" s="53" t="s">
        <v>48</v>
      </c>
      <c r="E343" s="54" t="s">
        <v>34</v>
      </c>
      <c r="F343" s="55" t="s">
        <v>49</v>
      </c>
      <c r="G343" s="67" t="s">
        <v>50</v>
      </c>
      <c r="H343" s="57" t="s">
        <v>60</v>
      </c>
      <c r="I343" s="55" t="s">
        <v>51</v>
      </c>
      <c r="J343" s="57" t="e">
        <f>ROUND(#REF!*2.4,-1)</f>
        <v>#REF!</v>
      </c>
      <c r="K343" s="58"/>
      <c r="L343" s="59">
        <f>1-1</f>
        <v>0</v>
      </c>
      <c r="M343" s="60"/>
      <c r="N343" s="61"/>
      <c r="O343" s="61"/>
      <c r="P343" s="62"/>
      <c r="Q343" s="62"/>
      <c r="R343" s="62"/>
      <c r="S343" s="62"/>
      <c r="T343" s="62">
        <f>1-1</f>
        <v>0</v>
      </c>
      <c r="U343" s="62"/>
      <c r="V343" s="62"/>
      <c r="W343" s="63"/>
      <c r="X343" s="63"/>
      <c r="Z343" s="64"/>
      <c r="AA343" s="54"/>
      <c r="AB343" s="54"/>
      <c r="AC343" s="54"/>
    </row>
    <row r="344" spans="1:29" ht="60" customHeight="1" x14ac:dyDescent="0.2">
      <c r="A344" s="69" t="s">
        <v>600</v>
      </c>
      <c r="B344" s="70"/>
      <c r="C344" s="66" t="s">
        <v>601</v>
      </c>
      <c r="D344" s="53" t="s">
        <v>48</v>
      </c>
      <c r="E344" s="54" t="s">
        <v>34</v>
      </c>
      <c r="F344" s="55" t="s">
        <v>49</v>
      </c>
      <c r="G344" s="56" t="s">
        <v>36</v>
      </c>
      <c r="H344" s="57" t="s">
        <v>60</v>
      </c>
      <c r="I344" s="55" t="s">
        <v>51</v>
      </c>
      <c r="J344" s="57" t="e">
        <f>ROUND(#REF!*2.4,-1)</f>
        <v>#REF!</v>
      </c>
      <c r="K344" s="58"/>
      <c r="L344" s="59">
        <f>31-1</f>
        <v>30</v>
      </c>
      <c r="M344" s="60"/>
      <c r="N344" s="61"/>
      <c r="O344" s="61"/>
      <c r="P344" s="62"/>
      <c r="Q344" s="62">
        <f>3-1+2</f>
        <v>4</v>
      </c>
      <c r="R344" s="62">
        <f>2-2+1</f>
        <v>1</v>
      </c>
      <c r="S344" s="62">
        <f>11-1</f>
        <v>10</v>
      </c>
      <c r="T344" s="62">
        <f>16-1</f>
        <v>15</v>
      </c>
      <c r="U344" s="62">
        <f>1-1</f>
        <v>0</v>
      </c>
      <c r="V344" s="62"/>
      <c r="W344" s="63"/>
      <c r="X344" s="63"/>
      <c r="Z344" s="64"/>
      <c r="AA344" s="54"/>
      <c r="AB344" s="54"/>
      <c r="AC344" s="54"/>
    </row>
    <row r="345" spans="1:29" ht="38.25" hidden="1" x14ac:dyDescent="0.2">
      <c r="A345" s="69" t="s">
        <v>602</v>
      </c>
      <c r="B345" s="51"/>
      <c r="C345" s="54" t="s">
        <v>603</v>
      </c>
      <c r="D345" s="53" t="s">
        <v>48</v>
      </c>
      <c r="E345" s="54" t="s">
        <v>34</v>
      </c>
      <c r="F345" s="55" t="s">
        <v>49</v>
      </c>
      <c r="G345" s="67" t="s">
        <v>50</v>
      </c>
      <c r="H345" s="57" t="s">
        <v>60</v>
      </c>
      <c r="I345" s="55" t="s">
        <v>51</v>
      </c>
      <c r="J345" s="57" t="e">
        <f>ROUND(#REF!*2.4,-1)</f>
        <v>#REF!</v>
      </c>
      <c r="K345" s="58"/>
      <c r="L345" s="59">
        <v>0</v>
      </c>
      <c r="M345" s="60"/>
      <c r="N345" s="61"/>
      <c r="O345" s="61"/>
      <c r="P345" s="62"/>
      <c r="Q345" s="62"/>
      <c r="R345" s="62"/>
      <c r="S345" s="62"/>
      <c r="T345" s="62"/>
      <c r="U345" s="62"/>
      <c r="V345" s="62"/>
      <c r="W345" s="63"/>
      <c r="X345" s="63"/>
      <c r="Z345" s="64"/>
      <c r="AA345" s="54"/>
      <c r="AB345" s="54"/>
      <c r="AC345" s="54"/>
    </row>
    <row r="346" spans="1:29" ht="60" hidden="1" customHeight="1" x14ac:dyDescent="0.2">
      <c r="A346" s="69" t="s">
        <v>604</v>
      </c>
      <c r="B346" s="70"/>
      <c r="C346" s="66" t="s">
        <v>605</v>
      </c>
      <c r="D346" s="53" t="s">
        <v>48</v>
      </c>
      <c r="E346" s="54" t="s">
        <v>34</v>
      </c>
      <c r="F346" s="55" t="s">
        <v>49</v>
      </c>
      <c r="G346" s="56" t="s">
        <v>36</v>
      </c>
      <c r="H346" s="57" t="s">
        <v>60</v>
      </c>
      <c r="I346" s="55" t="s">
        <v>51</v>
      </c>
      <c r="J346" s="57" t="e">
        <f>ROUND(#REF!*2.4,-1)</f>
        <v>#REF!</v>
      </c>
      <c r="K346" s="58"/>
      <c r="L346" s="59">
        <f>1-1</f>
        <v>0</v>
      </c>
      <c r="M346" s="60"/>
      <c r="N346" s="61"/>
      <c r="O346" s="61"/>
      <c r="P346" s="62"/>
      <c r="Q346" s="62">
        <f>1-1</f>
        <v>0</v>
      </c>
      <c r="R346" s="62">
        <f>1-1</f>
        <v>0</v>
      </c>
      <c r="S346" s="62">
        <f>1-1</f>
        <v>0</v>
      </c>
      <c r="T346" s="62">
        <f>1-1</f>
        <v>0</v>
      </c>
      <c r="U346" s="62">
        <f>3-3</f>
        <v>0</v>
      </c>
      <c r="V346" s="62">
        <f>5-5</f>
        <v>0</v>
      </c>
      <c r="W346" s="63"/>
      <c r="X346" s="63"/>
      <c r="Z346" s="64"/>
      <c r="AA346" s="54">
        <v>1420604</v>
      </c>
      <c r="AB346" s="54">
        <v>344</v>
      </c>
      <c r="AC346" s="54"/>
    </row>
    <row r="347" spans="1:29" ht="60" customHeight="1" x14ac:dyDescent="0.2">
      <c r="A347" s="69" t="s">
        <v>606</v>
      </c>
      <c r="B347" s="70"/>
      <c r="C347" s="66" t="s">
        <v>346</v>
      </c>
      <c r="D347" s="53" t="s">
        <v>48</v>
      </c>
      <c r="E347" s="54" t="s">
        <v>34</v>
      </c>
      <c r="F347" s="55" t="s">
        <v>49</v>
      </c>
      <c r="G347" s="56" t="s">
        <v>36</v>
      </c>
      <c r="H347" s="57" t="s">
        <v>60</v>
      </c>
      <c r="I347" s="55" t="s">
        <v>51</v>
      </c>
      <c r="J347" s="57" t="e">
        <f>ROUND(#REF!*2.4,-1)</f>
        <v>#REF!</v>
      </c>
      <c r="K347" s="58"/>
      <c r="L347" s="59">
        <f>1-1+1</f>
        <v>1</v>
      </c>
      <c r="M347" s="60"/>
      <c r="N347" s="61"/>
      <c r="O347" s="61"/>
      <c r="P347" s="62"/>
      <c r="Q347" s="62">
        <f>3-3</f>
        <v>0</v>
      </c>
      <c r="R347" s="62">
        <f>1-1+1</f>
        <v>1</v>
      </c>
      <c r="S347" s="62">
        <f>1-1</f>
        <v>0</v>
      </c>
      <c r="T347" s="62">
        <f>2-2</f>
        <v>0</v>
      </c>
      <c r="U347" s="62">
        <f>1-1</f>
        <v>0</v>
      </c>
      <c r="V347" s="62">
        <f>2-2</f>
        <v>0</v>
      </c>
      <c r="W347" s="63"/>
      <c r="X347" s="63"/>
      <c r="Z347" s="64"/>
      <c r="AA347" s="54"/>
      <c r="AB347" s="54"/>
      <c r="AC347" s="54"/>
    </row>
    <row r="348" spans="1:29" ht="60" customHeight="1" x14ac:dyDescent="0.2">
      <c r="A348" s="69" t="s">
        <v>607</v>
      </c>
      <c r="B348" s="70"/>
      <c r="C348" s="66" t="s">
        <v>608</v>
      </c>
      <c r="D348" s="53" t="s">
        <v>48</v>
      </c>
      <c r="E348" s="54" t="s">
        <v>34</v>
      </c>
      <c r="F348" s="55" t="s">
        <v>49</v>
      </c>
      <c r="G348" s="56" t="s">
        <v>36</v>
      </c>
      <c r="H348" s="57" t="s">
        <v>60</v>
      </c>
      <c r="I348" s="55" t="s">
        <v>51</v>
      </c>
      <c r="J348" s="57" t="e">
        <f>ROUND(#REF!*2.4,-1)</f>
        <v>#REF!</v>
      </c>
      <c r="K348" s="58"/>
      <c r="L348" s="59">
        <f>27-3</f>
        <v>24</v>
      </c>
      <c r="M348" s="60"/>
      <c r="N348" s="61"/>
      <c r="O348" s="61"/>
      <c r="P348" s="62"/>
      <c r="Q348" s="62">
        <f>3-1</f>
        <v>2</v>
      </c>
      <c r="R348" s="62">
        <f>11-1</f>
        <v>10</v>
      </c>
      <c r="S348" s="62">
        <f>5-2</f>
        <v>3</v>
      </c>
      <c r="T348" s="62">
        <f>2-1+2</f>
        <v>3</v>
      </c>
      <c r="U348" s="62">
        <f>4-1+1+2</f>
        <v>6</v>
      </c>
      <c r="V348" s="62"/>
      <c r="W348" s="63"/>
      <c r="X348" s="63"/>
      <c r="Z348" s="64"/>
      <c r="AA348" s="54"/>
      <c r="AB348" s="54"/>
      <c r="AC348" s="54"/>
    </row>
    <row r="349" spans="1:29" ht="60" customHeight="1" x14ac:dyDescent="0.2">
      <c r="A349" s="69" t="s">
        <v>609</v>
      </c>
      <c r="B349" s="70"/>
      <c r="C349" s="66" t="s">
        <v>576</v>
      </c>
      <c r="D349" s="53" t="s">
        <v>48</v>
      </c>
      <c r="E349" s="54" t="s">
        <v>34</v>
      </c>
      <c r="F349" s="55" t="s">
        <v>49</v>
      </c>
      <c r="G349" s="67" t="s">
        <v>50</v>
      </c>
      <c r="H349" s="57" t="s">
        <v>60</v>
      </c>
      <c r="I349" s="55" t="s">
        <v>51</v>
      </c>
      <c r="J349" s="57" t="e">
        <f>ROUND(#REF!*2.4,-1)</f>
        <v>#REF!</v>
      </c>
      <c r="K349" s="58"/>
      <c r="L349" s="59">
        <f>1-1+1</f>
        <v>1</v>
      </c>
      <c r="M349" s="60"/>
      <c r="N349" s="61"/>
      <c r="O349" s="61"/>
      <c r="P349" s="62"/>
      <c r="Q349" s="62">
        <f>1-1</f>
        <v>0</v>
      </c>
      <c r="R349" s="62">
        <f>1-1+1</f>
        <v>1</v>
      </c>
      <c r="S349" s="62">
        <f>1-1</f>
        <v>0</v>
      </c>
      <c r="T349" s="62">
        <f>1-1</f>
        <v>0</v>
      </c>
      <c r="U349" s="62">
        <f t="shared" ref="S349:W350" si="31">1-1</f>
        <v>0</v>
      </c>
      <c r="V349" s="62">
        <f>4-4</f>
        <v>0</v>
      </c>
      <c r="W349" s="63"/>
      <c r="X349" s="63"/>
      <c r="Z349" s="71"/>
      <c r="AA349" s="54">
        <v>1420633</v>
      </c>
      <c r="AB349" s="54">
        <v>430</v>
      </c>
      <c r="AC349" s="54"/>
    </row>
    <row r="350" spans="1:29" ht="60" customHeight="1" x14ac:dyDescent="0.2">
      <c r="A350" s="69" t="s">
        <v>610</v>
      </c>
      <c r="B350" s="70"/>
      <c r="C350" s="66" t="s">
        <v>611</v>
      </c>
      <c r="D350" s="53" t="s">
        <v>48</v>
      </c>
      <c r="E350" s="54" t="s">
        <v>34</v>
      </c>
      <c r="F350" s="55" t="s">
        <v>49</v>
      </c>
      <c r="G350" s="56" t="s">
        <v>36</v>
      </c>
      <c r="H350" s="57" t="s">
        <v>60</v>
      </c>
      <c r="I350" s="55" t="s">
        <v>51</v>
      </c>
      <c r="J350" s="57" t="e">
        <f>ROUND(#REF!*2.4,-1)</f>
        <v>#REF!</v>
      </c>
      <c r="K350" s="58"/>
      <c r="L350" s="59">
        <f>1-1+1</f>
        <v>1</v>
      </c>
      <c r="M350" s="60"/>
      <c r="N350" s="61"/>
      <c r="O350" s="61"/>
      <c r="P350" s="62"/>
      <c r="Q350" s="62">
        <f>1-1+1</f>
        <v>1</v>
      </c>
      <c r="R350" s="62">
        <f>1-1</f>
        <v>0</v>
      </c>
      <c r="S350" s="62">
        <f t="shared" si="31"/>
        <v>0</v>
      </c>
      <c r="T350" s="62">
        <f t="shared" si="31"/>
        <v>0</v>
      </c>
      <c r="U350" s="62">
        <f t="shared" si="31"/>
        <v>0</v>
      </c>
      <c r="V350" s="62">
        <f>1-1</f>
        <v>0</v>
      </c>
      <c r="W350" s="63"/>
      <c r="X350" s="63"/>
      <c r="Z350" s="71"/>
      <c r="AA350" s="54"/>
      <c r="AB350" s="54"/>
      <c r="AC350" s="54"/>
    </row>
    <row r="351" spans="1:29" ht="60" hidden="1" customHeight="1" x14ac:dyDescent="0.2">
      <c r="A351" s="69" t="s">
        <v>612</v>
      </c>
      <c r="B351" s="74"/>
      <c r="C351" s="66" t="s">
        <v>613</v>
      </c>
      <c r="D351" s="53" t="s">
        <v>48</v>
      </c>
      <c r="E351" s="54" t="s">
        <v>34</v>
      </c>
      <c r="F351" s="55" t="s">
        <v>49</v>
      </c>
      <c r="G351" s="67" t="s">
        <v>50</v>
      </c>
      <c r="H351" s="57" t="s">
        <v>60</v>
      </c>
      <c r="I351" s="55" t="s">
        <v>51</v>
      </c>
      <c r="J351" s="57" t="e">
        <f>ROUND(#REF!*2.4,-1)</f>
        <v>#REF!</v>
      </c>
      <c r="K351" s="58"/>
      <c r="L351" s="59">
        <v>0</v>
      </c>
      <c r="M351" s="60"/>
      <c r="N351" s="61"/>
      <c r="O351" s="61"/>
      <c r="P351" s="62"/>
      <c r="Q351" s="62"/>
      <c r="R351" s="62"/>
      <c r="S351" s="62"/>
      <c r="T351" s="62"/>
      <c r="U351" s="62"/>
      <c r="V351" s="62"/>
      <c r="W351" s="63"/>
      <c r="X351" s="63"/>
      <c r="Z351" s="64"/>
      <c r="AA351" s="54"/>
      <c r="AB351" s="54"/>
      <c r="AC351" s="54"/>
    </row>
    <row r="352" spans="1:29" ht="60" hidden="1" customHeight="1" x14ac:dyDescent="0.2">
      <c r="A352" s="69" t="s">
        <v>614</v>
      </c>
      <c r="B352" s="74"/>
      <c r="C352" s="66" t="s">
        <v>615</v>
      </c>
      <c r="D352" s="53" t="s">
        <v>48</v>
      </c>
      <c r="E352" s="54" t="s">
        <v>34</v>
      </c>
      <c r="F352" s="55" t="s">
        <v>49</v>
      </c>
      <c r="G352" s="56" t="s">
        <v>36</v>
      </c>
      <c r="H352" s="57" t="s">
        <v>60</v>
      </c>
      <c r="I352" s="55" t="s">
        <v>51</v>
      </c>
      <c r="J352" s="57" t="e">
        <f>ROUND(#REF!*2.4,-1)</f>
        <v>#REF!</v>
      </c>
      <c r="K352" s="58"/>
      <c r="L352" s="59">
        <f>1-1</f>
        <v>0</v>
      </c>
      <c r="M352" s="60"/>
      <c r="N352" s="61"/>
      <c r="O352" s="61"/>
      <c r="P352" s="62"/>
      <c r="Q352" s="62">
        <f>1-1</f>
        <v>0</v>
      </c>
      <c r="R352" s="62">
        <f>1-1</f>
        <v>0</v>
      </c>
      <c r="S352" s="62"/>
      <c r="T352" s="62"/>
      <c r="U352" s="62"/>
      <c r="V352" s="62"/>
      <c r="W352" s="63"/>
      <c r="X352" s="63"/>
      <c r="Z352" s="64"/>
      <c r="AA352" s="54"/>
      <c r="AB352" s="54"/>
      <c r="AC352" s="54"/>
    </row>
    <row r="353" spans="1:29" ht="60" hidden="1" customHeight="1" x14ac:dyDescent="0.2">
      <c r="A353" s="69" t="s">
        <v>616</v>
      </c>
      <c r="B353" s="74"/>
      <c r="C353" s="66" t="s">
        <v>372</v>
      </c>
      <c r="D353" s="53" t="s">
        <v>48</v>
      </c>
      <c r="E353" s="54" t="s">
        <v>34</v>
      </c>
      <c r="F353" s="55" t="s">
        <v>49</v>
      </c>
      <c r="G353" s="56" t="s">
        <v>36</v>
      </c>
      <c r="H353" s="57" t="s">
        <v>123</v>
      </c>
      <c r="I353" s="55" t="s">
        <v>51</v>
      </c>
      <c r="J353" s="57" t="e">
        <f>ROUND(#REF!*2.4,-1)</f>
        <v>#REF!</v>
      </c>
      <c r="K353" s="58"/>
      <c r="L353" s="59">
        <f>1-1</f>
        <v>0</v>
      </c>
      <c r="M353" s="60"/>
      <c r="N353" s="61"/>
      <c r="O353" s="61"/>
      <c r="P353" s="62"/>
      <c r="Q353" s="62">
        <f>1-1</f>
        <v>0</v>
      </c>
      <c r="R353" s="62">
        <f>10-10</f>
        <v>0</v>
      </c>
      <c r="S353" s="62">
        <f>1-1+4-4</f>
        <v>0</v>
      </c>
      <c r="T353" s="62">
        <f>0+1-1</f>
        <v>0</v>
      </c>
      <c r="U353" s="62">
        <f>1-1</f>
        <v>0</v>
      </c>
      <c r="V353" s="62"/>
      <c r="W353" s="63"/>
      <c r="X353" s="63"/>
      <c r="Z353" s="64"/>
      <c r="AA353" s="54"/>
      <c r="AB353" s="54"/>
      <c r="AC353" s="54"/>
    </row>
    <row r="354" spans="1:29" ht="60" customHeight="1" x14ac:dyDescent="0.2">
      <c r="A354" s="69" t="s">
        <v>617</v>
      </c>
      <c r="B354" s="92"/>
      <c r="C354" s="66" t="s">
        <v>360</v>
      </c>
      <c r="D354" s="53" t="s">
        <v>48</v>
      </c>
      <c r="E354" s="54" t="s">
        <v>34</v>
      </c>
      <c r="F354" s="55" t="s">
        <v>49</v>
      </c>
      <c r="G354" s="56" t="s">
        <v>36</v>
      </c>
      <c r="H354" s="57" t="s">
        <v>375</v>
      </c>
      <c r="I354" s="55" t="s">
        <v>51</v>
      </c>
      <c r="J354" s="57" t="e">
        <f>ROUND(#REF!*2.4,-1)</f>
        <v>#REF!</v>
      </c>
      <c r="K354" s="58"/>
      <c r="L354" s="59">
        <f>1-1+1</f>
        <v>1</v>
      </c>
      <c r="M354" s="60"/>
      <c r="N354" s="61"/>
      <c r="O354" s="61"/>
      <c r="P354" s="62"/>
      <c r="Q354" s="62">
        <f>1-1</f>
        <v>0</v>
      </c>
      <c r="R354" s="62">
        <f t="shared" ref="R354:S357" si="32">1-1</f>
        <v>0</v>
      </c>
      <c r="S354" s="62">
        <f t="shared" si="32"/>
        <v>0</v>
      </c>
      <c r="T354" s="62">
        <f>1-1+1</f>
        <v>1</v>
      </c>
      <c r="U354" s="62">
        <f>1-1</f>
        <v>0</v>
      </c>
      <c r="V354" s="62"/>
      <c r="W354" s="63"/>
      <c r="X354" s="63"/>
      <c r="Z354" s="64"/>
      <c r="AA354" s="54"/>
      <c r="AB354" s="54"/>
      <c r="AC354" s="54"/>
    </row>
    <row r="355" spans="1:29" ht="60" customHeight="1" x14ac:dyDescent="0.2">
      <c r="A355" s="69" t="s">
        <v>618</v>
      </c>
      <c r="B355" s="92"/>
      <c r="C355" s="66" t="s">
        <v>142</v>
      </c>
      <c r="D355" s="53" t="s">
        <v>48</v>
      </c>
      <c r="E355" s="54" t="s">
        <v>34</v>
      </c>
      <c r="F355" s="55" t="s">
        <v>49</v>
      </c>
      <c r="G355" s="56" t="s">
        <v>36</v>
      </c>
      <c r="H355" s="57" t="s">
        <v>123</v>
      </c>
      <c r="I355" s="55" t="s">
        <v>51</v>
      </c>
      <c r="J355" s="57" t="e">
        <f>ROUND(#REF!*2.4,-1)</f>
        <v>#REF!</v>
      </c>
      <c r="K355" s="58"/>
      <c r="L355" s="59">
        <f>3-2+1</f>
        <v>2</v>
      </c>
      <c r="M355" s="60"/>
      <c r="N355" s="61"/>
      <c r="O355" s="61"/>
      <c r="P355" s="62"/>
      <c r="Q355" s="62">
        <f>2-1+1-1</f>
        <v>1</v>
      </c>
      <c r="R355" s="62">
        <f>1-1+1-1</f>
        <v>0</v>
      </c>
      <c r="S355" s="62">
        <f>1-1</f>
        <v>0</v>
      </c>
      <c r="T355" s="62">
        <f>1-1</f>
        <v>0</v>
      </c>
      <c r="U355" s="62">
        <f>2-1-1+1</f>
        <v>1</v>
      </c>
      <c r="V355" s="62">
        <f>6-6</f>
        <v>0</v>
      </c>
      <c r="W355" s="63"/>
      <c r="X355" s="63"/>
      <c r="Z355" s="64"/>
      <c r="AA355" s="54">
        <v>1432584</v>
      </c>
      <c r="AB355" s="54">
        <v>401</v>
      </c>
      <c r="AC355" s="54"/>
    </row>
    <row r="356" spans="1:29" ht="60" customHeight="1" x14ac:dyDescent="0.2">
      <c r="A356" s="69" t="s">
        <v>619</v>
      </c>
      <c r="B356" s="74"/>
      <c r="C356" s="66" t="s">
        <v>620</v>
      </c>
      <c r="D356" s="53" t="s">
        <v>48</v>
      </c>
      <c r="E356" s="54" t="s">
        <v>34</v>
      </c>
      <c r="F356" s="55" t="s">
        <v>49</v>
      </c>
      <c r="G356" s="56" t="s">
        <v>36</v>
      </c>
      <c r="H356" s="57" t="s">
        <v>137</v>
      </c>
      <c r="I356" s="55" t="s">
        <v>51</v>
      </c>
      <c r="J356" s="57" t="e">
        <f>ROUND(#REF!*2.4,-1)</f>
        <v>#REF!</v>
      </c>
      <c r="K356" s="58"/>
      <c r="L356" s="59">
        <f>5-2</f>
        <v>3</v>
      </c>
      <c r="M356" s="60"/>
      <c r="N356" s="61"/>
      <c r="O356" s="61"/>
      <c r="P356" s="62"/>
      <c r="Q356" s="62">
        <f>2-1</f>
        <v>1</v>
      </c>
      <c r="R356" s="62">
        <f t="shared" si="32"/>
        <v>0</v>
      </c>
      <c r="S356" s="62">
        <f t="shared" si="32"/>
        <v>0</v>
      </c>
      <c r="T356" s="62">
        <f>1-1</f>
        <v>0</v>
      </c>
      <c r="U356" s="62">
        <f>3-1</f>
        <v>2</v>
      </c>
      <c r="V356" s="62">
        <f>1-1</f>
        <v>0</v>
      </c>
      <c r="W356" s="63"/>
      <c r="X356" s="63"/>
      <c r="Z356" s="64"/>
      <c r="AA356" s="54"/>
      <c r="AB356" s="54"/>
      <c r="AC356" s="54"/>
    </row>
    <row r="357" spans="1:29" ht="60" hidden="1" customHeight="1" x14ac:dyDescent="0.2">
      <c r="A357" s="69" t="s">
        <v>621</v>
      </c>
      <c r="B357" s="74"/>
      <c r="C357" s="66" t="s">
        <v>622</v>
      </c>
      <c r="D357" s="53" t="s">
        <v>48</v>
      </c>
      <c r="E357" s="68" t="s">
        <v>34</v>
      </c>
      <c r="F357" s="55" t="s">
        <v>49</v>
      </c>
      <c r="G357" s="56" t="s">
        <v>36</v>
      </c>
      <c r="H357" s="57" t="s">
        <v>151</v>
      </c>
      <c r="I357" s="55" t="s">
        <v>51</v>
      </c>
      <c r="J357" s="57" t="e">
        <f>ROUND(#REF!*2.4,-1)</f>
        <v>#REF!</v>
      </c>
      <c r="K357" s="58"/>
      <c r="L357" s="59">
        <f>1-1</f>
        <v>0</v>
      </c>
      <c r="M357" s="60"/>
      <c r="N357" s="61"/>
      <c r="O357" s="61"/>
      <c r="P357" s="62"/>
      <c r="Q357" s="62">
        <f>1-1</f>
        <v>0</v>
      </c>
      <c r="R357" s="62">
        <f t="shared" si="32"/>
        <v>0</v>
      </c>
      <c r="S357" s="62">
        <f t="shared" si="32"/>
        <v>0</v>
      </c>
      <c r="T357" s="62">
        <f>4-4</f>
        <v>0</v>
      </c>
      <c r="U357" s="62">
        <f>2-2</f>
        <v>0</v>
      </c>
      <c r="V357" s="62">
        <f>1-1</f>
        <v>0</v>
      </c>
      <c r="W357" s="63"/>
      <c r="X357" s="63"/>
      <c r="Z357" s="64"/>
      <c r="AA357" s="54"/>
      <c r="AB357" s="54"/>
      <c r="AC357" s="54"/>
    </row>
    <row r="358" spans="1:29" ht="60" hidden="1" customHeight="1" x14ac:dyDescent="0.2">
      <c r="A358" s="69" t="s">
        <v>623</v>
      </c>
      <c r="B358" s="74"/>
      <c r="C358" s="87" t="s">
        <v>386</v>
      </c>
      <c r="D358" s="53" t="s">
        <v>48</v>
      </c>
      <c r="E358" s="54" t="s">
        <v>34</v>
      </c>
      <c r="F358" s="55" t="s">
        <v>49</v>
      </c>
      <c r="G358" s="67" t="s">
        <v>50</v>
      </c>
      <c r="H358" s="57" t="s">
        <v>123</v>
      </c>
      <c r="I358" s="55" t="s">
        <v>51</v>
      </c>
      <c r="J358" s="57" t="e">
        <f>ROUND(#REF!*2.4,-1)</f>
        <v>#REF!</v>
      </c>
      <c r="K358" s="58"/>
      <c r="L358" s="59"/>
      <c r="M358" s="60"/>
      <c r="N358" s="61"/>
      <c r="O358" s="61"/>
      <c r="P358" s="62"/>
      <c r="Q358" s="62"/>
      <c r="R358" s="62"/>
      <c r="S358" s="62"/>
      <c r="T358" s="62"/>
      <c r="U358" s="62"/>
      <c r="V358" s="62"/>
      <c r="W358" s="63"/>
      <c r="X358" s="63"/>
      <c r="Z358" s="64"/>
      <c r="AA358" s="54"/>
      <c r="AB358" s="54"/>
      <c r="AC358" s="54"/>
    </row>
    <row r="359" spans="1:29" ht="60" hidden="1" customHeight="1" x14ac:dyDescent="0.2">
      <c r="A359" s="69" t="s">
        <v>624</v>
      </c>
      <c r="B359" s="74"/>
      <c r="C359" s="66" t="s">
        <v>625</v>
      </c>
      <c r="D359" s="53" t="s">
        <v>48</v>
      </c>
      <c r="E359" s="54" t="s">
        <v>34</v>
      </c>
      <c r="F359" s="55" t="s">
        <v>49</v>
      </c>
      <c r="G359" s="67" t="s">
        <v>50</v>
      </c>
      <c r="H359" s="57" t="s">
        <v>123</v>
      </c>
      <c r="I359" s="55" t="s">
        <v>51</v>
      </c>
      <c r="J359" s="57" t="e">
        <f>ROUND(#REF!*2.4,-1)</f>
        <v>#REF!</v>
      </c>
      <c r="K359" s="58"/>
      <c r="L359" s="59">
        <f>2-2</f>
        <v>0</v>
      </c>
      <c r="M359" s="60"/>
      <c r="N359" s="61"/>
      <c r="O359" s="61"/>
      <c r="P359" s="62"/>
      <c r="Q359" s="62"/>
      <c r="R359" s="62"/>
      <c r="S359" s="62">
        <f>1-1</f>
        <v>0</v>
      </c>
      <c r="T359" s="62">
        <f>1-1</f>
        <v>0</v>
      </c>
      <c r="U359" s="62">
        <f>1-1</f>
        <v>0</v>
      </c>
      <c r="V359" s="62"/>
      <c r="W359" s="63"/>
      <c r="X359" s="63"/>
      <c r="Z359" s="64"/>
      <c r="AA359" s="54"/>
      <c r="AB359" s="54"/>
      <c r="AC359" s="54"/>
    </row>
    <row r="360" spans="1:29" ht="60" hidden="1" customHeight="1" x14ac:dyDescent="0.2">
      <c r="A360" s="69" t="s">
        <v>626</v>
      </c>
      <c r="B360" s="74"/>
      <c r="C360" s="87" t="s">
        <v>342</v>
      </c>
      <c r="D360" s="53" t="s">
        <v>48</v>
      </c>
      <c r="E360" s="54" t="s">
        <v>34</v>
      </c>
      <c r="F360" s="55" t="s">
        <v>49</v>
      </c>
      <c r="G360" s="67" t="s">
        <v>50</v>
      </c>
      <c r="H360" s="57" t="s">
        <v>84</v>
      </c>
      <c r="I360" s="55" t="s">
        <v>51</v>
      </c>
      <c r="J360" s="57" t="e">
        <f>ROUND(#REF!*2.4,-1)</f>
        <v>#REF!</v>
      </c>
      <c r="K360" s="58"/>
      <c r="L360" s="59">
        <f>1-1</f>
        <v>0</v>
      </c>
      <c r="M360" s="60"/>
      <c r="N360" s="61"/>
      <c r="O360" s="61"/>
      <c r="P360" s="62"/>
      <c r="Q360" s="62">
        <f>1-1</f>
        <v>0</v>
      </c>
      <c r="R360" s="62">
        <f>1-1</f>
        <v>0</v>
      </c>
      <c r="S360" s="62">
        <f>1-1</f>
        <v>0</v>
      </c>
      <c r="T360" s="62">
        <f>2-2</f>
        <v>0</v>
      </c>
      <c r="U360" s="62">
        <f>2-2</f>
        <v>0</v>
      </c>
      <c r="V360" s="62">
        <f>2-2</f>
        <v>0</v>
      </c>
      <c r="W360" s="63"/>
      <c r="X360" s="63"/>
      <c r="Z360" s="64"/>
      <c r="AA360" s="54"/>
      <c r="AB360" s="54"/>
      <c r="AC360" s="54"/>
    </row>
    <row r="361" spans="1:29" ht="38.25" hidden="1" x14ac:dyDescent="0.2">
      <c r="A361" s="69" t="s">
        <v>627</v>
      </c>
      <c r="B361" s="74" t="s">
        <v>329</v>
      </c>
      <c r="C361" s="87" t="s">
        <v>594</v>
      </c>
      <c r="D361" s="53" t="s">
        <v>48</v>
      </c>
      <c r="E361" s="54" t="s">
        <v>34</v>
      </c>
      <c r="F361" s="55" t="s">
        <v>49</v>
      </c>
      <c r="G361" s="67" t="s">
        <v>50</v>
      </c>
      <c r="H361" s="57" t="s">
        <v>84</v>
      </c>
      <c r="I361" s="55" t="s">
        <v>51</v>
      </c>
      <c r="J361" s="57" t="e">
        <f>ROUND(#REF!*2.4,-1)</f>
        <v>#REF!</v>
      </c>
      <c r="K361" s="58"/>
      <c r="L361" s="59">
        <v>0</v>
      </c>
      <c r="M361" s="60"/>
      <c r="N361" s="61"/>
      <c r="O361" s="61"/>
      <c r="P361" s="62"/>
      <c r="Q361" s="62"/>
      <c r="R361" s="62"/>
      <c r="S361" s="62"/>
      <c r="T361" s="62"/>
      <c r="U361" s="62"/>
      <c r="V361" s="62"/>
      <c r="W361" s="63"/>
      <c r="X361" s="63"/>
      <c r="Z361" s="64"/>
      <c r="AA361" s="54"/>
      <c r="AB361" s="54"/>
      <c r="AC361" s="54"/>
    </row>
    <row r="362" spans="1:29" ht="60" hidden="1" customHeight="1" x14ac:dyDescent="0.2">
      <c r="A362" s="69" t="s">
        <v>628</v>
      </c>
      <c r="B362" s="78"/>
      <c r="C362" s="87" t="s">
        <v>441</v>
      </c>
      <c r="D362" s="57" t="s">
        <v>48</v>
      </c>
      <c r="E362" s="54" t="s">
        <v>34</v>
      </c>
      <c r="F362" s="67" t="s">
        <v>49</v>
      </c>
      <c r="G362" s="56" t="s">
        <v>36</v>
      </c>
      <c r="H362" s="57" t="s">
        <v>84</v>
      </c>
      <c r="I362" s="67" t="s">
        <v>51</v>
      </c>
      <c r="J362" s="57" t="e">
        <f>ROUND(#REF!*2.4,-1)</f>
        <v>#REF!</v>
      </c>
      <c r="K362" s="58"/>
      <c r="L362" s="59">
        <f>1-1</f>
        <v>0</v>
      </c>
      <c r="M362" s="60"/>
      <c r="N362" s="61"/>
      <c r="O362" s="61"/>
      <c r="P362" s="62"/>
      <c r="Q362" s="62">
        <f>1-1</f>
        <v>0</v>
      </c>
      <c r="R362" s="62"/>
      <c r="S362" s="62"/>
      <c r="T362" s="62"/>
      <c r="U362" s="62"/>
      <c r="V362" s="62"/>
      <c r="W362" s="63"/>
      <c r="X362" s="63"/>
      <c r="Z362" s="64"/>
      <c r="AA362" s="54"/>
      <c r="AB362" s="54"/>
      <c r="AC362" s="54"/>
    </row>
    <row r="363" spans="1:29" ht="60" customHeight="1" x14ac:dyDescent="0.2">
      <c r="A363" s="69" t="s">
        <v>629</v>
      </c>
      <c r="B363" s="78"/>
      <c r="C363" s="66" t="s">
        <v>358</v>
      </c>
      <c r="D363" s="57" t="s">
        <v>48</v>
      </c>
      <c r="E363" s="54" t="s">
        <v>34</v>
      </c>
      <c r="F363" s="67" t="s">
        <v>49</v>
      </c>
      <c r="G363" s="56" t="s">
        <v>36</v>
      </c>
      <c r="H363" s="57" t="s">
        <v>84</v>
      </c>
      <c r="I363" s="67" t="s">
        <v>51</v>
      </c>
      <c r="J363" s="57" t="e">
        <f>ROUND(#REF!*2.4,-1)</f>
        <v>#REF!</v>
      </c>
      <c r="K363" s="58"/>
      <c r="L363" s="59">
        <f>1-1+1</f>
        <v>1</v>
      </c>
      <c r="M363" s="60"/>
      <c r="N363" s="61"/>
      <c r="O363" s="61"/>
      <c r="P363" s="62"/>
      <c r="Q363" s="62">
        <f>1-1</f>
        <v>0</v>
      </c>
      <c r="R363" s="62">
        <f>1-1+1</f>
        <v>1</v>
      </c>
      <c r="S363" s="62">
        <f>1-1</f>
        <v>0</v>
      </c>
      <c r="T363" s="62">
        <f>2-2</f>
        <v>0</v>
      </c>
      <c r="U363" s="62">
        <f>1-1</f>
        <v>0</v>
      </c>
      <c r="V363" s="62">
        <f>2-2</f>
        <v>0</v>
      </c>
      <c r="W363" s="63"/>
      <c r="X363" s="63"/>
      <c r="Z363" s="64"/>
      <c r="AA363" s="54">
        <v>1440531</v>
      </c>
      <c r="AB363" s="54">
        <v>418</v>
      </c>
      <c r="AC363" s="54"/>
    </row>
    <row r="364" spans="1:29" ht="60" customHeight="1" x14ac:dyDescent="0.2">
      <c r="A364" s="69" t="s">
        <v>630</v>
      </c>
      <c r="B364" s="78"/>
      <c r="C364" s="66" t="s">
        <v>449</v>
      </c>
      <c r="D364" s="57" t="s">
        <v>48</v>
      </c>
      <c r="E364" s="54" t="s">
        <v>34</v>
      </c>
      <c r="F364" s="67" t="s">
        <v>49</v>
      </c>
      <c r="G364" s="56" t="s">
        <v>36</v>
      </c>
      <c r="H364" s="57" t="s">
        <v>84</v>
      </c>
      <c r="I364" s="67" t="s">
        <v>51</v>
      </c>
      <c r="J364" s="57" t="e">
        <f>ROUND(#REF!*2.4,-1)</f>
        <v>#REF!</v>
      </c>
      <c r="K364" s="58"/>
      <c r="L364" s="59">
        <f>7-2</f>
        <v>5</v>
      </c>
      <c r="M364" s="60"/>
      <c r="N364" s="61"/>
      <c r="O364" s="61"/>
      <c r="P364" s="62"/>
      <c r="Q364" s="62">
        <f>1-1</f>
        <v>0</v>
      </c>
      <c r="R364" s="62">
        <f>1-1</f>
        <v>0</v>
      </c>
      <c r="S364" s="62">
        <f>1-1</f>
        <v>0</v>
      </c>
      <c r="T364" s="62">
        <f>2-2</f>
        <v>0</v>
      </c>
      <c r="U364" s="62">
        <f>7-2</f>
        <v>5</v>
      </c>
      <c r="V364" s="62"/>
      <c r="W364" s="63"/>
      <c r="X364" s="63"/>
      <c r="Z364" s="64"/>
      <c r="AA364" s="54"/>
      <c r="AB364" s="54"/>
      <c r="AC364" s="54"/>
    </row>
    <row r="365" spans="1:29" ht="60" customHeight="1" x14ac:dyDescent="0.2">
      <c r="A365" s="69" t="s">
        <v>631</v>
      </c>
      <c r="B365" s="78"/>
      <c r="C365" s="66" t="s">
        <v>632</v>
      </c>
      <c r="D365" s="57" t="s">
        <v>48</v>
      </c>
      <c r="E365" s="54" t="s">
        <v>34</v>
      </c>
      <c r="F365" s="67" t="s">
        <v>49</v>
      </c>
      <c r="G365" s="67" t="s">
        <v>50</v>
      </c>
      <c r="H365" s="57" t="s">
        <v>84</v>
      </c>
      <c r="I365" s="67" t="s">
        <v>51</v>
      </c>
      <c r="J365" s="57" t="e">
        <f>ROUND(#REF!*2.4,-1)</f>
        <v>#REF!</v>
      </c>
      <c r="K365" s="58"/>
      <c r="L365" s="59">
        <f>2-2+2</f>
        <v>2</v>
      </c>
      <c r="M365" s="60"/>
      <c r="N365" s="61"/>
      <c r="O365" s="61"/>
      <c r="P365" s="62"/>
      <c r="Q365" s="62">
        <f>1-1</f>
        <v>0</v>
      </c>
      <c r="R365" s="62">
        <f>1-1+1</f>
        <v>1</v>
      </c>
      <c r="S365" s="62">
        <f>1-1</f>
        <v>0</v>
      </c>
      <c r="T365" s="62">
        <f>1-1+1</f>
        <v>1</v>
      </c>
      <c r="U365" s="62">
        <f>2-2</f>
        <v>0</v>
      </c>
      <c r="V365" s="62"/>
      <c r="W365" s="63"/>
      <c r="X365" s="63"/>
      <c r="Z365" s="64"/>
      <c r="AA365" s="54"/>
      <c r="AB365" s="54"/>
      <c r="AC365" s="54"/>
    </row>
    <row r="366" spans="1:29" ht="60" hidden="1" customHeight="1" x14ac:dyDescent="0.2">
      <c r="A366" s="69" t="s">
        <v>633</v>
      </c>
      <c r="B366" s="78"/>
      <c r="C366" s="66" t="s">
        <v>346</v>
      </c>
      <c r="D366" s="57" t="s">
        <v>48</v>
      </c>
      <c r="E366" s="54" t="s">
        <v>34</v>
      </c>
      <c r="F366" s="67" t="s">
        <v>49</v>
      </c>
      <c r="G366" s="67" t="s">
        <v>50</v>
      </c>
      <c r="H366" s="57" t="s">
        <v>84</v>
      </c>
      <c r="I366" s="67" t="s">
        <v>51</v>
      </c>
      <c r="J366" s="57" t="e">
        <f>ROUND(#REF!*2.4,-1)</f>
        <v>#REF!</v>
      </c>
      <c r="K366" s="58"/>
      <c r="L366" s="59">
        <f>1-1</f>
        <v>0</v>
      </c>
      <c r="M366" s="60"/>
      <c r="N366" s="61"/>
      <c r="O366" s="61"/>
      <c r="P366" s="62"/>
      <c r="Q366" s="62">
        <f>3-3</f>
        <v>0</v>
      </c>
      <c r="R366" s="62">
        <f>1-1</f>
        <v>0</v>
      </c>
      <c r="S366" s="62">
        <f>3-3</f>
        <v>0</v>
      </c>
      <c r="T366" s="62">
        <f>1-1</f>
        <v>0</v>
      </c>
      <c r="U366" s="62">
        <f>1-1</f>
        <v>0</v>
      </c>
      <c r="V366" s="62"/>
      <c r="W366" s="63"/>
      <c r="X366" s="63"/>
      <c r="Z366" s="64"/>
      <c r="AA366" s="54"/>
      <c r="AB366" s="54"/>
      <c r="AC366" s="54"/>
    </row>
    <row r="367" spans="1:29" ht="60" hidden="1" customHeight="1" x14ac:dyDescent="0.2">
      <c r="A367" s="50" t="s">
        <v>634</v>
      </c>
      <c r="B367" s="78"/>
      <c r="C367" s="66" t="s">
        <v>120</v>
      </c>
      <c r="D367" s="57" t="s">
        <v>48</v>
      </c>
      <c r="E367" s="54" t="s">
        <v>34</v>
      </c>
      <c r="F367" s="67" t="s">
        <v>49</v>
      </c>
      <c r="G367" s="56" t="s">
        <v>36</v>
      </c>
      <c r="H367" s="57" t="s">
        <v>84</v>
      </c>
      <c r="I367" s="67" t="s">
        <v>51</v>
      </c>
      <c r="J367" s="57" t="e">
        <f>ROUND(#REF!*2.4,-1)</f>
        <v>#REF!</v>
      </c>
      <c r="K367" s="58"/>
      <c r="L367" s="59">
        <f>1-1</f>
        <v>0</v>
      </c>
      <c r="M367" s="80"/>
      <c r="N367" s="61"/>
      <c r="O367" s="61"/>
      <c r="P367" s="63"/>
      <c r="Q367" s="63">
        <f>1-1</f>
        <v>0</v>
      </c>
      <c r="R367" s="63">
        <f>1-1</f>
        <v>0</v>
      </c>
      <c r="S367" s="63">
        <f>1-1</f>
        <v>0</v>
      </c>
      <c r="T367" s="63">
        <f>2-2</f>
        <v>0</v>
      </c>
      <c r="U367" s="63">
        <f>1-1</f>
        <v>0</v>
      </c>
      <c r="V367" s="63">
        <f>1-1</f>
        <v>0</v>
      </c>
      <c r="W367" s="63"/>
      <c r="X367" s="63"/>
      <c r="Z367" s="63"/>
      <c r="AA367" s="54"/>
      <c r="AB367" s="54"/>
      <c r="AC367" s="54"/>
    </row>
    <row r="368" spans="1:29" ht="60" customHeight="1" x14ac:dyDescent="0.2">
      <c r="A368" s="72" t="s">
        <v>635</v>
      </c>
      <c r="B368" s="74"/>
      <c r="C368" s="66" t="s">
        <v>636</v>
      </c>
      <c r="D368" s="53" t="s">
        <v>48</v>
      </c>
      <c r="E368" s="54" t="s">
        <v>34</v>
      </c>
      <c r="F368" s="55" t="s">
        <v>49</v>
      </c>
      <c r="G368" s="56" t="s">
        <v>36</v>
      </c>
      <c r="H368" s="57"/>
      <c r="I368" s="53" t="s">
        <v>637</v>
      </c>
      <c r="J368" s="57" t="e">
        <f>ROUND(#REF!*2.4,-1)</f>
        <v>#REF!</v>
      </c>
      <c r="K368" s="58"/>
      <c r="L368" s="59">
        <f>48-10</f>
        <v>38</v>
      </c>
      <c r="M368" s="60"/>
      <c r="N368" s="61"/>
      <c r="O368" s="61"/>
      <c r="P368" s="62"/>
      <c r="Q368" s="62">
        <f>5-5+1</f>
        <v>1</v>
      </c>
      <c r="R368" s="62">
        <f>25-10</f>
        <v>15</v>
      </c>
      <c r="S368" s="62">
        <f>10-1</f>
        <v>9</v>
      </c>
      <c r="T368" s="62">
        <f>10-1</f>
        <v>9</v>
      </c>
      <c r="U368" s="62">
        <f>5-1</f>
        <v>4</v>
      </c>
      <c r="V368" s="62"/>
      <c r="W368" s="63"/>
      <c r="X368" s="63"/>
      <c r="Z368" s="64"/>
      <c r="AA368" s="54"/>
      <c r="AB368" s="54"/>
      <c r="AC368" s="54"/>
    </row>
    <row r="369" spans="1:29" ht="60" customHeight="1" x14ac:dyDescent="0.2">
      <c r="A369" s="69" t="s">
        <v>638</v>
      </c>
      <c r="B369" s="78"/>
      <c r="C369" s="66" t="s">
        <v>489</v>
      </c>
      <c r="D369" s="57" t="s">
        <v>48</v>
      </c>
      <c r="E369" s="54" t="s">
        <v>34</v>
      </c>
      <c r="F369" s="67" t="s">
        <v>49</v>
      </c>
      <c r="G369" s="67" t="s">
        <v>50</v>
      </c>
      <c r="H369" s="57" t="s">
        <v>219</v>
      </c>
      <c r="I369" s="67" t="s">
        <v>51</v>
      </c>
      <c r="J369" s="57" t="e">
        <f>ROUND(#REF!*2.4,-1)</f>
        <v>#REF!</v>
      </c>
      <c r="K369" s="58"/>
      <c r="L369" s="59">
        <f>5-2</f>
        <v>3</v>
      </c>
      <c r="M369" s="60"/>
      <c r="N369" s="61"/>
      <c r="O369" s="61"/>
      <c r="P369" s="62"/>
      <c r="Q369" s="62">
        <f>2-1</f>
        <v>1</v>
      </c>
      <c r="R369" s="62">
        <f>1-1</f>
        <v>0</v>
      </c>
      <c r="S369" s="62">
        <f>1-1</f>
        <v>0</v>
      </c>
      <c r="T369" s="62">
        <f>1-1</f>
        <v>0</v>
      </c>
      <c r="U369" s="62">
        <f>1-1</f>
        <v>0</v>
      </c>
      <c r="V369" s="62">
        <f>3-1</f>
        <v>2</v>
      </c>
      <c r="W369" s="63"/>
      <c r="X369" s="63"/>
      <c r="Z369" s="71"/>
      <c r="AA369" s="54"/>
      <c r="AB369" s="54"/>
      <c r="AC369" s="54"/>
    </row>
    <row r="370" spans="1:29" ht="60" hidden="1" customHeight="1" x14ac:dyDescent="0.2">
      <c r="A370" s="69" t="s">
        <v>639</v>
      </c>
      <c r="B370" s="74"/>
      <c r="C370" s="66" t="s">
        <v>500</v>
      </c>
      <c r="D370" s="57" t="s">
        <v>48</v>
      </c>
      <c r="E370" s="54" t="s">
        <v>34</v>
      </c>
      <c r="F370" s="67" t="s">
        <v>121</v>
      </c>
      <c r="G370" s="67" t="s">
        <v>50</v>
      </c>
      <c r="H370" s="57" t="s">
        <v>640</v>
      </c>
      <c r="I370" s="67" t="s">
        <v>51</v>
      </c>
      <c r="J370" s="57" t="e">
        <f>ROUND(#REF!*2.4,-1)</f>
        <v>#REF!</v>
      </c>
      <c r="K370" s="58"/>
      <c r="L370" s="59">
        <f>1-1</f>
        <v>0</v>
      </c>
      <c r="M370" s="60"/>
      <c r="N370" s="61"/>
      <c r="O370" s="61"/>
      <c r="P370" s="62"/>
      <c r="Q370" s="62">
        <f>1-1</f>
        <v>0</v>
      </c>
      <c r="R370" s="62">
        <f>5-5</f>
        <v>0</v>
      </c>
      <c r="S370" s="62">
        <f>4-3-1</f>
        <v>0</v>
      </c>
      <c r="T370" s="62">
        <f>1-1</f>
        <v>0</v>
      </c>
      <c r="U370" s="62">
        <f>3-3</f>
        <v>0</v>
      </c>
      <c r="V370" s="62"/>
      <c r="W370" s="63"/>
      <c r="X370" s="63"/>
      <c r="Z370" s="64"/>
      <c r="AA370" s="54"/>
      <c r="AB370" s="54"/>
      <c r="AC370" s="54"/>
    </row>
    <row r="371" spans="1:29" ht="60" customHeight="1" x14ac:dyDescent="0.2">
      <c r="A371" s="69" t="s">
        <v>641</v>
      </c>
      <c r="B371" s="74"/>
      <c r="C371" s="66" t="s">
        <v>372</v>
      </c>
      <c r="D371" s="57" t="s">
        <v>48</v>
      </c>
      <c r="E371" s="54" t="s">
        <v>34</v>
      </c>
      <c r="F371" s="67" t="s">
        <v>49</v>
      </c>
      <c r="G371" s="56" t="s">
        <v>36</v>
      </c>
      <c r="H371" s="57" t="s">
        <v>442</v>
      </c>
      <c r="I371" s="67" t="s">
        <v>51</v>
      </c>
      <c r="J371" s="57" t="e">
        <f>ROUND(#REF!*2.4,-1)</f>
        <v>#REF!</v>
      </c>
      <c r="K371" s="58"/>
      <c r="L371" s="59">
        <f>4-3</f>
        <v>1</v>
      </c>
      <c r="M371" s="60"/>
      <c r="N371" s="61"/>
      <c r="O371" s="61"/>
      <c r="P371" s="62"/>
      <c r="Q371" s="62">
        <f>1-1</f>
        <v>0</v>
      </c>
      <c r="R371" s="62">
        <f t="shared" ref="R371:S373" si="33">1-1</f>
        <v>0</v>
      </c>
      <c r="S371" s="62">
        <f>1-1</f>
        <v>0</v>
      </c>
      <c r="T371" s="62">
        <f>3-3</f>
        <v>0</v>
      </c>
      <c r="U371" s="62">
        <f>1-1+1</f>
        <v>1</v>
      </c>
      <c r="V371" s="62">
        <f>1-1</f>
        <v>0</v>
      </c>
      <c r="W371" s="63"/>
      <c r="X371" s="63"/>
      <c r="Z371" s="64"/>
      <c r="AA371" s="54"/>
      <c r="AB371" s="54"/>
      <c r="AC371" s="54"/>
    </row>
    <row r="372" spans="1:29" ht="60" hidden="1" customHeight="1" x14ac:dyDescent="0.2">
      <c r="A372" s="69" t="s">
        <v>642</v>
      </c>
      <c r="B372" s="74"/>
      <c r="C372" s="66" t="s">
        <v>643</v>
      </c>
      <c r="D372" s="57" t="s">
        <v>48</v>
      </c>
      <c r="E372" s="54" t="s">
        <v>34</v>
      </c>
      <c r="F372" s="67" t="s">
        <v>49</v>
      </c>
      <c r="G372" s="67" t="s">
        <v>50</v>
      </c>
      <c r="H372" s="57" t="s">
        <v>442</v>
      </c>
      <c r="I372" s="67" t="s">
        <v>51</v>
      </c>
      <c r="J372" s="57" t="e">
        <f>ROUND(#REF!*2.4,-1)</f>
        <v>#REF!</v>
      </c>
      <c r="K372" s="58"/>
      <c r="L372" s="59">
        <f>3-3</f>
        <v>0</v>
      </c>
      <c r="M372" s="60"/>
      <c r="N372" s="61"/>
      <c r="O372" s="61"/>
      <c r="P372" s="62"/>
      <c r="Q372" s="62">
        <f>1-1</f>
        <v>0</v>
      </c>
      <c r="R372" s="62">
        <f t="shared" si="33"/>
        <v>0</v>
      </c>
      <c r="S372" s="62">
        <f t="shared" si="33"/>
        <v>0</v>
      </c>
      <c r="T372" s="62">
        <f>2-2</f>
        <v>0</v>
      </c>
      <c r="U372" s="62">
        <f>2-2</f>
        <v>0</v>
      </c>
      <c r="V372" s="62"/>
      <c r="W372" s="63"/>
      <c r="X372" s="63"/>
      <c r="Z372" s="64"/>
      <c r="AA372" s="54"/>
      <c r="AB372" s="54"/>
      <c r="AC372" s="54"/>
    </row>
    <row r="373" spans="1:29" ht="60" hidden="1" customHeight="1" x14ac:dyDescent="0.2">
      <c r="A373" s="69" t="s">
        <v>644</v>
      </c>
      <c r="B373" s="74"/>
      <c r="C373" s="66" t="s">
        <v>360</v>
      </c>
      <c r="D373" s="57" t="s">
        <v>48</v>
      </c>
      <c r="E373" s="54" t="s">
        <v>34</v>
      </c>
      <c r="F373" s="67" t="s">
        <v>49</v>
      </c>
      <c r="G373" s="56" t="s">
        <v>36</v>
      </c>
      <c r="H373" s="57" t="s">
        <v>84</v>
      </c>
      <c r="I373" s="67" t="s">
        <v>51</v>
      </c>
      <c r="J373" s="57" t="e">
        <f>ROUND(#REF!*2.4,-1)</f>
        <v>#REF!</v>
      </c>
      <c r="K373" s="58"/>
      <c r="L373" s="59">
        <f>1-1</f>
        <v>0</v>
      </c>
      <c r="M373" s="60"/>
      <c r="N373" s="61"/>
      <c r="O373" s="61"/>
      <c r="P373" s="62"/>
      <c r="Q373" s="62">
        <f>1-1</f>
        <v>0</v>
      </c>
      <c r="R373" s="62">
        <f>1-1</f>
        <v>0</v>
      </c>
      <c r="S373" s="62">
        <f t="shared" si="33"/>
        <v>0</v>
      </c>
      <c r="T373" s="62">
        <f>1-1</f>
        <v>0</v>
      </c>
      <c r="U373" s="62">
        <f>1-1</f>
        <v>0</v>
      </c>
      <c r="V373" s="62"/>
      <c r="W373" s="63"/>
      <c r="X373" s="63"/>
      <c r="Z373" s="64"/>
      <c r="AA373" s="54"/>
      <c r="AB373" s="54"/>
      <c r="AC373" s="54"/>
    </row>
    <row r="374" spans="1:29" ht="60" hidden="1" customHeight="1" x14ac:dyDescent="0.2">
      <c r="A374" s="69" t="s">
        <v>645</v>
      </c>
      <c r="B374" s="74"/>
      <c r="C374" s="66" t="s">
        <v>276</v>
      </c>
      <c r="D374" s="57" t="s">
        <v>48</v>
      </c>
      <c r="E374" s="54" t="s">
        <v>34</v>
      </c>
      <c r="F374" s="67" t="s">
        <v>49</v>
      </c>
      <c r="G374" s="67" t="s">
        <v>50</v>
      </c>
      <c r="H374" s="57" t="s">
        <v>646</v>
      </c>
      <c r="I374" s="67" t="s">
        <v>51</v>
      </c>
      <c r="J374" s="57" t="e">
        <f>ROUND(#REF!*2.4,-1)</f>
        <v>#REF!</v>
      </c>
      <c r="K374" s="58"/>
      <c r="L374" s="59">
        <f>1-1</f>
        <v>0</v>
      </c>
      <c r="M374" s="60"/>
      <c r="N374" s="61"/>
      <c r="O374" s="61"/>
      <c r="P374" s="62"/>
      <c r="Q374" s="62">
        <f>1-1</f>
        <v>0</v>
      </c>
      <c r="R374" s="62">
        <f>1-1</f>
        <v>0</v>
      </c>
      <c r="S374" s="62">
        <f>2-2</f>
        <v>0</v>
      </c>
      <c r="T374" s="62">
        <f>1-1</f>
        <v>0</v>
      </c>
      <c r="U374" s="62">
        <f>2-2</f>
        <v>0</v>
      </c>
      <c r="V374" s="62">
        <f>1-1</f>
        <v>0</v>
      </c>
      <c r="W374" s="63"/>
      <c r="X374" s="63"/>
      <c r="Z374" s="64"/>
      <c r="AA374" s="54"/>
      <c r="AB374" s="54"/>
      <c r="AC374" s="54"/>
    </row>
    <row r="375" spans="1:29" ht="60" hidden="1" customHeight="1" x14ac:dyDescent="0.2">
      <c r="A375" s="69" t="s">
        <v>647</v>
      </c>
      <c r="B375" s="74"/>
      <c r="C375" s="66" t="s">
        <v>384</v>
      </c>
      <c r="D375" s="57" t="s">
        <v>48</v>
      </c>
      <c r="E375" s="54" t="s">
        <v>34</v>
      </c>
      <c r="F375" s="67" t="s">
        <v>121</v>
      </c>
      <c r="G375" s="67" t="s">
        <v>50</v>
      </c>
      <c r="H375" s="57" t="s">
        <v>442</v>
      </c>
      <c r="I375" s="67" t="s">
        <v>51</v>
      </c>
      <c r="J375" s="57" t="e">
        <f>ROUND(#REF!*2.4,-1)</f>
        <v>#REF!</v>
      </c>
      <c r="K375" s="58"/>
      <c r="L375" s="59">
        <v>0</v>
      </c>
      <c r="M375" s="60"/>
      <c r="N375" s="61"/>
      <c r="O375" s="61"/>
      <c r="P375" s="62"/>
      <c r="Q375" s="62"/>
      <c r="R375" s="62"/>
      <c r="S375" s="62"/>
      <c r="T375" s="62"/>
      <c r="U375" s="62"/>
      <c r="V375" s="62"/>
      <c r="W375" s="63"/>
      <c r="X375" s="63"/>
      <c r="Z375" s="64"/>
      <c r="AA375" s="54"/>
      <c r="AB375" s="54"/>
      <c r="AC375" s="54"/>
    </row>
    <row r="376" spans="1:29" ht="60" hidden="1" customHeight="1" x14ac:dyDescent="0.2">
      <c r="A376" s="69" t="s">
        <v>648</v>
      </c>
      <c r="B376" s="74"/>
      <c r="C376" s="66" t="s">
        <v>649</v>
      </c>
      <c r="D376" s="57" t="s">
        <v>48</v>
      </c>
      <c r="E376" s="54" t="s">
        <v>34</v>
      </c>
      <c r="F376" s="67" t="s">
        <v>49</v>
      </c>
      <c r="G376" s="56" t="s">
        <v>36</v>
      </c>
      <c r="H376" s="57" t="s">
        <v>84</v>
      </c>
      <c r="I376" s="67" t="s">
        <v>51</v>
      </c>
      <c r="J376" s="57" t="e">
        <f>ROUND(#REF!*2.4,-1)</f>
        <v>#REF!</v>
      </c>
      <c r="K376" s="58"/>
      <c r="L376" s="59">
        <f>6-6</f>
        <v>0</v>
      </c>
      <c r="M376" s="60"/>
      <c r="N376" s="61"/>
      <c r="O376" s="61"/>
      <c r="P376" s="62"/>
      <c r="Q376" s="62">
        <f>1-1</f>
        <v>0</v>
      </c>
      <c r="R376" s="62">
        <f>1-1</f>
        <v>0</v>
      </c>
      <c r="S376" s="62">
        <f>1-1</f>
        <v>0</v>
      </c>
      <c r="T376" s="62">
        <f>2-2</f>
        <v>0</v>
      </c>
      <c r="U376" s="62">
        <f>1-1</f>
        <v>0</v>
      </c>
      <c r="V376" s="62"/>
      <c r="W376" s="63"/>
      <c r="X376" s="63"/>
      <c r="Z376" s="64"/>
      <c r="AA376" s="54"/>
      <c r="AB376" s="54"/>
      <c r="AC376" s="54"/>
    </row>
    <row r="377" spans="1:29" ht="60" hidden="1" customHeight="1" x14ac:dyDescent="0.2">
      <c r="A377" s="69" t="s">
        <v>650</v>
      </c>
      <c r="B377" s="74"/>
      <c r="C377" s="66" t="s">
        <v>218</v>
      </c>
      <c r="D377" s="57" t="s">
        <v>48</v>
      </c>
      <c r="E377" s="54" t="s">
        <v>34</v>
      </c>
      <c r="F377" s="67" t="s">
        <v>49</v>
      </c>
      <c r="G377" s="67" t="s">
        <v>50</v>
      </c>
      <c r="H377" s="57" t="s">
        <v>640</v>
      </c>
      <c r="I377" s="67" t="s">
        <v>51</v>
      </c>
      <c r="J377" s="57" t="e">
        <f>ROUND(#REF!*2.4,-1)</f>
        <v>#REF!</v>
      </c>
      <c r="K377" s="58"/>
      <c r="L377" s="88">
        <f>2-2</f>
        <v>0</v>
      </c>
      <c r="M377" s="60"/>
      <c r="N377" s="61"/>
      <c r="O377" s="61"/>
      <c r="P377" s="77"/>
      <c r="Q377" s="77">
        <f t="shared" ref="Q377:V377" si="34">1-1</f>
        <v>0</v>
      </c>
      <c r="R377" s="77">
        <f>5-5</f>
        <v>0</v>
      </c>
      <c r="S377" s="77">
        <f t="shared" si="34"/>
        <v>0</v>
      </c>
      <c r="T377" s="77">
        <f t="shared" si="34"/>
        <v>0</v>
      </c>
      <c r="U377" s="77">
        <f t="shared" si="34"/>
        <v>0</v>
      </c>
      <c r="V377" s="62">
        <f t="shared" si="34"/>
        <v>0</v>
      </c>
      <c r="W377" s="63"/>
      <c r="X377" s="63"/>
      <c r="Z377" s="64"/>
      <c r="AA377" s="54"/>
      <c r="AB377" s="54"/>
      <c r="AC377" s="54"/>
    </row>
    <row r="378" spans="1:29" ht="60" hidden="1" customHeight="1" x14ac:dyDescent="0.2">
      <c r="A378" s="69" t="s">
        <v>651</v>
      </c>
      <c r="B378" s="74"/>
      <c r="C378" s="66" t="s">
        <v>449</v>
      </c>
      <c r="D378" s="57" t="s">
        <v>48</v>
      </c>
      <c r="E378" s="54" t="s">
        <v>34</v>
      </c>
      <c r="F378" s="67" t="s">
        <v>49</v>
      </c>
      <c r="G378" s="67" t="s">
        <v>50</v>
      </c>
      <c r="H378" s="57" t="s">
        <v>646</v>
      </c>
      <c r="I378" s="67" t="s">
        <v>51</v>
      </c>
      <c r="J378" s="57" t="e">
        <f>ROUND(#REF!*2.4,-1)</f>
        <v>#REF!</v>
      </c>
      <c r="K378" s="58"/>
      <c r="L378" s="88">
        <f>2-2</f>
        <v>0</v>
      </c>
      <c r="M378" s="60"/>
      <c r="N378" s="61"/>
      <c r="O378" s="61"/>
      <c r="P378" s="62"/>
      <c r="Q378" s="62"/>
      <c r="R378" s="62">
        <f>1-1</f>
        <v>0</v>
      </c>
      <c r="S378" s="62">
        <f>1-1</f>
        <v>0</v>
      </c>
      <c r="T378" s="62"/>
      <c r="U378" s="62"/>
      <c r="V378" s="62"/>
      <c r="W378" s="63"/>
      <c r="X378" s="63"/>
      <c r="Z378" s="64"/>
      <c r="AA378" s="54"/>
      <c r="AB378" s="54"/>
      <c r="AC378" s="54"/>
    </row>
    <row r="379" spans="1:29" ht="60" hidden="1" customHeight="1" x14ac:dyDescent="0.2">
      <c r="A379" s="69" t="s">
        <v>652</v>
      </c>
      <c r="B379" s="74"/>
      <c r="C379" s="66" t="s">
        <v>142</v>
      </c>
      <c r="D379" s="57" t="s">
        <v>48</v>
      </c>
      <c r="E379" s="54" t="s">
        <v>34</v>
      </c>
      <c r="F379" s="67" t="s">
        <v>49</v>
      </c>
      <c r="G379" s="67" t="s">
        <v>50</v>
      </c>
      <c r="H379" s="57" t="s">
        <v>219</v>
      </c>
      <c r="I379" s="67" t="s">
        <v>51</v>
      </c>
      <c r="J379" s="57" t="e">
        <f>ROUND(#REF!*2.4,-1)</f>
        <v>#REF!</v>
      </c>
      <c r="K379" s="58"/>
      <c r="L379" s="59">
        <f t="shared" ref="L379:L384" si="35">1-1</f>
        <v>0</v>
      </c>
      <c r="M379" s="60"/>
      <c r="N379" s="61"/>
      <c r="O379" s="61"/>
      <c r="P379" s="62"/>
      <c r="Q379" s="62"/>
      <c r="R379" s="62"/>
      <c r="S379" s="62">
        <f t="shared" ref="S379:S384" si="36">1-1</f>
        <v>0</v>
      </c>
      <c r="T379" s="62"/>
      <c r="U379" s="62"/>
      <c r="V379" s="62"/>
      <c r="W379" s="63"/>
      <c r="X379" s="63"/>
      <c r="Z379" s="64"/>
      <c r="AA379" s="54"/>
      <c r="AB379" s="54"/>
      <c r="AC379" s="54"/>
    </row>
    <row r="380" spans="1:29" ht="60" hidden="1" customHeight="1" x14ac:dyDescent="0.2">
      <c r="A380" s="69" t="s">
        <v>653</v>
      </c>
      <c r="B380" s="74"/>
      <c r="C380" s="66" t="s">
        <v>632</v>
      </c>
      <c r="D380" s="57" t="s">
        <v>48</v>
      </c>
      <c r="E380" s="54" t="s">
        <v>34</v>
      </c>
      <c r="F380" s="67" t="s">
        <v>49</v>
      </c>
      <c r="G380" s="67" t="s">
        <v>50</v>
      </c>
      <c r="H380" s="57" t="s">
        <v>654</v>
      </c>
      <c r="I380" s="67" t="s">
        <v>51</v>
      </c>
      <c r="J380" s="57" t="e">
        <f>ROUND(#REF!*2.4,-1)</f>
        <v>#REF!</v>
      </c>
      <c r="K380" s="58"/>
      <c r="L380" s="59">
        <f t="shared" si="35"/>
        <v>0</v>
      </c>
      <c r="M380" s="60"/>
      <c r="N380" s="61"/>
      <c r="O380" s="61"/>
      <c r="P380" s="62"/>
      <c r="Q380" s="62">
        <f t="shared" ref="Q380:R382" si="37">1-1</f>
        <v>0</v>
      </c>
      <c r="R380" s="62">
        <f t="shared" si="37"/>
        <v>0</v>
      </c>
      <c r="S380" s="62">
        <f t="shared" si="36"/>
        <v>0</v>
      </c>
      <c r="T380" s="62">
        <f>1-1</f>
        <v>0</v>
      </c>
      <c r="U380" s="62">
        <f>1-1</f>
        <v>0</v>
      </c>
      <c r="V380" s="62"/>
      <c r="W380" s="63"/>
      <c r="X380" s="63"/>
      <c r="Z380" s="64"/>
      <c r="AA380" s="54"/>
      <c r="AB380" s="54"/>
      <c r="AC380" s="54"/>
    </row>
    <row r="381" spans="1:29" ht="60" hidden="1" customHeight="1" x14ac:dyDescent="0.2">
      <c r="A381" s="69" t="s">
        <v>655</v>
      </c>
      <c r="B381" s="74"/>
      <c r="C381" s="66" t="s">
        <v>446</v>
      </c>
      <c r="D381" s="57" t="s">
        <v>48</v>
      </c>
      <c r="E381" s="54" t="s">
        <v>34</v>
      </c>
      <c r="F381" s="67" t="s">
        <v>49</v>
      </c>
      <c r="G381" s="56" t="s">
        <v>36</v>
      </c>
      <c r="H381" s="57" t="s">
        <v>646</v>
      </c>
      <c r="I381" s="67" t="s">
        <v>51</v>
      </c>
      <c r="J381" s="57" t="e">
        <f>ROUND(#REF!*2.4,-1)</f>
        <v>#REF!</v>
      </c>
      <c r="K381" s="58"/>
      <c r="L381" s="59">
        <f>1-1</f>
        <v>0</v>
      </c>
      <c r="M381" s="60"/>
      <c r="N381" s="61"/>
      <c r="O381" s="61"/>
      <c r="P381" s="62"/>
      <c r="Q381" s="62">
        <f t="shared" si="37"/>
        <v>0</v>
      </c>
      <c r="R381" s="62">
        <f>1-1</f>
        <v>0</v>
      </c>
      <c r="S381" s="62">
        <f t="shared" si="36"/>
        <v>0</v>
      </c>
      <c r="T381" s="62">
        <v>0</v>
      </c>
      <c r="U381" s="62">
        <f>1-1</f>
        <v>0</v>
      </c>
      <c r="V381" s="62">
        <f>1-1</f>
        <v>0</v>
      </c>
      <c r="W381" s="63"/>
      <c r="X381" s="63"/>
      <c r="Z381" s="64"/>
      <c r="AA381" s="54"/>
      <c r="AB381" s="54"/>
      <c r="AC381" s="54"/>
    </row>
    <row r="382" spans="1:29" ht="60" hidden="1" customHeight="1" x14ac:dyDescent="0.2">
      <c r="A382" s="69" t="s">
        <v>656</v>
      </c>
      <c r="B382" s="51"/>
      <c r="C382" s="66" t="s">
        <v>346</v>
      </c>
      <c r="D382" s="57" t="s">
        <v>48</v>
      </c>
      <c r="E382" s="54" t="s">
        <v>34</v>
      </c>
      <c r="F382" s="67" t="s">
        <v>49</v>
      </c>
      <c r="G382" s="67" t="s">
        <v>50</v>
      </c>
      <c r="H382" s="57" t="s">
        <v>84</v>
      </c>
      <c r="I382" s="67" t="s">
        <v>51</v>
      </c>
      <c r="J382" s="57" t="e">
        <f>ROUND(#REF!*2.4,-1)</f>
        <v>#REF!</v>
      </c>
      <c r="K382" s="58"/>
      <c r="L382" s="59">
        <f t="shared" si="35"/>
        <v>0</v>
      </c>
      <c r="M382" s="60"/>
      <c r="N382" s="61"/>
      <c r="O382" s="61"/>
      <c r="P382" s="62"/>
      <c r="Q382" s="77">
        <f>1-1</f>
        <v>0</v>
      </c>
      <c r="R382" s="77">
        <f t="shared" si="37"/>
        <v>0</v>
      </c>
      <c r="S382" s="77">
        <f t="shared" si="36"/>
        <v>0</v>
      </c>
      <c r="T382" s="77">
        <f>1-1</f>
        <v>0</v>
      </c>
      <c r="U382" s="62">
        <f>2-2</f>
        <v>0</v>
      </c>
      <c r="V382" s="62">
        <f>1-1</f>
        <v>0</v>
      </c>
      <c r="W382" s="63"/>
      <c r="X382" s="63"/>
      <c r="Z382" s="64"/>
      <c r="AA382" s="54"/>
      <c r="AB382" s="54"/>
      <c r="AC382" s="54"/>
    </row>
    <row r="383" spans="1:29" ht="60" hidden="1" customHeight="1" x14ac:dyDescent="0.2">
      <c r="A383" s="69" t="s">
        <v>657</v>
      </c>
      <c r="B383" s="74"/>
      <c r="C383" s="66" t="s">
        <v>120</v>
      </c>
      <c r="D383" s="57" t="s">
        <v>48</v>
      </c>
      <c r="E383" s="54" t="s">
        <v>34</v>
      </c>
      <c r="F383" s="67" t="s">
        <v>49</v>
      </c>
      <c r="G383" s="56" t="s">
        <v>36</v>
      </c>
      <c r="H383" s="57" t="s">
        <v>442</v>
      </c>
      <c r="I383" s="67" t="s">
        <v>51</v>
      </c>
      <c r="J383" s="57" t="e">
        <f>ROUND(#REF!*2.4,-1)</f>
        <v>#REF!</v>
      </c>
      <c r="K383" s="58"/>
      <c r="L383" s="59">
        <f>1-1</f>
        <v>0</v>
      </c>
      <c r="M383" s="60"/>
      <c r="N383" s="61"/>
      <c r="O383" s="61"/>
      <c r="P383" s="62"/>
      <c r="Q383" s="62">
        <f>2-2</f>
        <v>0</v>
      </c>
      <c r="R383" s="62">
        <f>1-1</f>
        <v>0</v>
      </c>
      <c r="S383" s="62">
        <f>1-1</f>
        <v>0</v>
      </c>
      <c r="T383" s="62">
        <f>1-1</f>
        <v>0</v>
      </c>
      <c r="U383" s="62">
        <f>1-1</f>
        <v>0</v>
      </c>
      <c r="V383" s="62">
        <f>1-1</f>
        <v>0</v>
      </c>
      <c r="W383" s="63"/>
      <c r="X383" s="63"/>
      <c r="Z383" s="64"/>
      <c r="AA383" s="54"/>
      <c r="AB383" s="54"/>
      <c r="AC383" s="54"/>
    </row>
    <row r="384" spans="1:29" ht="60" hidden="1" customHeight="1" x14ac:dyDescent="0.2">
      <c r="A384" s="69" t="s">
        <v>658</v>
      </c>
      <c r="B384" s="74"/>
      <c r="C384" s="66" t="s">
        <v>297</v>
      </c>
      <c r="D384" s="57" t="s">
        <v>48</v>
      </c>
      <c r="E384" s="68" t="s">
        <v>34</v>
      </c>
      <c r="F384" s="67" t="s">
        <v>49</v>
      </c>
      <c r="G384" s="56" t="s">
        <v>36</v>
      </c>
      <c r="H384" s="57" t="s">
        <v>646</v>
      </c>
      <c r="I384" s="67" t="s">
        <v>51</v>
      </c>
      <c r="J384" s="57" t="e">
        <f>ROUND(#REF!*2.4,-1)</f>
        <v>#REF!</v>
      </c>
      <c r="K384" s="58"/>
      <c r="L384" s="59">
        <f t="shared" si="35"/>
        <v>0</v>
      </c>
      <c r="M384" s="60"/>
      <c r="N384" s="61"/>
      <c r="O384" s="61"/>
      <c r="P384" s="62"/>
      <c r="Q384" s="62">
        <f>1-1</f>
        <v>0</v>
      </c>
      <c r="R384" s="62">
        <f>1-1</f>
        <v>0</v>
      </c>
      <c r="S384" s="62">
        <f t="shared" si="36"/>
        <v>0</v>
      </c>
      <c r="T384" s="62">
        <f>1-1</f>
        <v>0</v>
      </c>
      <c r="U384" s="62">
        <f>1-1</f>
        <v>0</v>
      </c>
      <c r="V384" s="62">
        <f>1-1</f>
        <v>0</v>
      </c>
      <c r="W384" s="63"/>
      <c r="X384" s="63"/>
      <c r="Z384" s="64"/>
      <c r="AA384" s="54"/>
      <c r="AB384" s="54"/>
      <c r="AC384" s="54"/>
    </row>
    <row r="385" spans="1:29" ht="60" hidden="1" customHeight="1" x14ac:dyDescent="0.2">
      <c r="A385" s="69" t="s">
        <v>659</v>
      </c>
      <c r="B385" s="74"/>
      <c r="C385" s="66" t="s">
        <v>622</v>
      </c>
      <c r="D385" s="57" t="s">
        <v>48</v>
      </c>
      <c r="E385" s="68" t="s">
        <v>34</v>
      </c>
      <c r="F385" s="67" t="s">
        <v>49</v>
      </c>
      <c r="G385" s="56" t="s">
        <v>36</v>
      </c>
      <c r="H385" s="57" t="s">
        <v>84</v>
      </c>
      <c r="I385" s="67" t="s">
        <v>51</v>
      </c>
      <c r="J385" s="57" t="e">
        <f>ROUND(#REF!*2.4,-1)</f>
        <v>#REF!</v>
      </c>
      <c r="K385" s="58"/>
      <c r="L385" s="59">
        <f>1-1</f>
        <v>0</v>
      </c>
      <c r="M385" s="60"/>
      <c r="N385" s="61"/>
      <c r="O385" s="61"/>
      <c r="P385" s="62"/>
      <c r="Q385" s="62">
        <f>1-1</f>
        <v>0</v>
      </c>
      <c r="R385" s="62">
        <f>1-1</f>
        <v>0</v>
      </c>
      <c r="S385" s="62">
        <f>1-1</f>
        <v>0</v>
      </c>
      <c r="T385" s="62">
        <f>2-2</f>
        <v>0</v>
      </c>
      <c r="U385" s="62">
        <f>1-1</f>
        <v>0</v>
      </c>
      <c r="V385" s="62">
        <f>1-1</f>
        <v>0</v>
      </c>
      <c r="W385" s="63"/>
      <c r="X385" s="63"/>
      <c r="Z385" s="64"/>
      <c r="AA385" s="54"/>
      <c r="AB385" s="54"/>
      <c r="AC385" s="54"/>
    </row>
    <row r="386" spans="1:29" ht="60" hidden="1" customHeight="1" x14ac:dyDescent="0.2">
      <c r="A386" s="69" t="s">
        <v>660</v>
      </c>
      <c r="B386" s="74"/>
      <c r="C386" s="66" t="s">
        <v>441</v>
      </c>
      <c r="D386" s="57" t="s">
        <v>48</v>
      </c>
      <c r="E386" s="54" t="s">
        <v>34</v>
      </c>
      <c r="F386" s="67" t="s">
        <v>121</v>
      </c>
      <c r="G386" s="67" t="s">
        <v>50</v>
      </c>
      <c r="H386" s="57" t="s">
        <v>661</v>
      </c>
      <c r="I386" s="67" t="s">
        <v>51</v>
      </c>
      <c r="J386" s="57" t="e">
        <f>ROUND(#REF!*2.4,-1)</f>
        <v>#REF!</v>
      </c>
      <c r="K386" s="58"/>
      <c r="L386" s="59">
        <v>0</v>
      </c>
      <c r="M386" s="60"/>
      <c r="N386" s="61"/>
      <c r="O386" s="61"/>
      <c r="P386" s="62"/>
      <c r="Q386" s="62"/>
      <c r="R386" s="62"/>
      <c r="S386" s="62"/>
      <c r="T386" s="62"/>
      <c r="U386" s="62"/>
      <c r="V386" s="62"/>
      <c r="W386" s="63"/>
      <c r="X386" s="63"/>
      <c r="Z386" s="64"/>
      <c r="AA386" s="54"/>
      <c r="AB386" s="54"/>
      <c r="AC386" s="54"/>
    </row>
    <row r="387" spans="1:29" ht="60" hidden="1" customHeight="1" x14ac:dyDescent="0.2">
      <c r="A387" s="69" t="s">
        <v>662</v>
      </c>
      <c r="B387" s="74"/>
      <c r="C387" s="66" t="s">
        <v>372</v>
      </c>
      <c r="D387" s="57" t="s">
        <v>48</v>
      </c>
      <c r="E387" s="54" t="s">
        <v>34</v>
      </c>
      <c r="F387" s="67" t="s">
        <v>49</v>
      </c>
      <c r="G387" s="67" t="s">
        <v>50</v>
      </c>
      <c r="H387" s="57" t="s">
        <v>132</v>
      </c>
      <c r="I387" s="67" t="s">
        <v>51</v>
      </c>
      <c r="J387" s="57" t="e">
        <f>ROUND(#REF!*2.4,-1)</f>
        <v>#REF!</v>
      </c>
      <c r="K387" s="58"/>
      <c r="L387" s="59">
        <f>1-1</f>
        <v>0</v>
      </c>
      <c r="M387" s="60"/>
      <c r="N387" s="61"/>
      <c r="O387" s="61"/>
      <c r="P387" s="62"/>
      <c r="Q387" s="62">
        <f>1-1</f>
        <v>0</v>
      </c>
      <c r="R387" s="62">
        <f>1-1</f>
        <v>0</v>
      </c>
      <c r="S387" s="62">
        <f>1-1</f>
        <v>0</v>
      </c>
      <c r="T387" s="62">
        <f>1-1</f>
        <v>0</v>
      </c>
      <c r="U387" s="62">
        <f>1-1</f>
        <v>0</v>
      </c>
      <c r="V387" s="62"/>
      <c r="W387" s="63"/>
      <c r="X387" s="63"/>
      <c r="Z387" s="64"/>
      <c r="AA387" s="54"/>
      <c r="AB387" s="54"/>
      <c r="AC387" s="54"/>
    </row>
    <row r="388" spans="1:29" ht="60" hidden="1" customHeight="1" x14ac:dyDescent="0.2">
      <c r="A388" s="69" t="s">
        <v>663</v>
      </c>
      <c r="B388" s="74"/>
      <c r="C388" s="66" t="s">
        <v>360</v>
      </c>
      <c r="D388" s="57" t="s">
        <v>48</v>
      </c>
      <c r="E388" s="54" t="s">
        <v>34</v>
      </c>
      <c r="F388" s="67" t="s">
        <v>49</v>
      </c>
      <c r="G388" s="56" t="s">
        <v>36</v>
      </c>
      <c r="H388" s="57" t="s">
        <v>132</v>
      </c>
      <c r="I388" s="67" t="s">
        <v>51</v>
      </c>
      <c r="J388" s="57" t="e">
        <f>ROUND(#REF!*2.4,-1)</f>
        <v>#REF!</v>
      </c>
      <c r="K388" s="58"/>
      <c r="L388" s="59">
        <f>1-1</f>
        <v>0</v>
      </c>
      <c r="M388" s="60"/>
      <c r="N388" s="61"/>
      <c r="O388" s="61"/>
      <c r="P388" s="62"/>
      <c r="Q388" s="62">
        <f>1-1</f>
        <v>0</v>
      </c>
      <c r="R388" s="62"/>
      <c r="S388" s="62">
        <f>1-1</f>
        <v>0</v>
      </c>
      <c r="T388" s="62"/>
      <c r="U388" s="62">
        <f>1-1</f>
        <v>0</v>
      </c>
      <c r="V388" s="62"/>
      <c r="W388" s="63"/>
      <c r="X388" s="63"/>
      <c r="Z388" s="64"/>
      <c r="AA388" s="54"/>
      <c r="AB388" s="54"/>
      <c r="AC388" s="54"/>
    </row>
    <row r="389" spans="1:29" ht="60" customHeight="1" x14ac:dyDescent="0.2">
      <c r="A389" s="69" t="s">
        <v>664</v>
      </c>
      <c r="B389" s="74"/>
      <c r="C389" s="66" t="s">
        <v>620</v>
      </c>
      <c r="D389" s="57" t="s">
        <v>48</v>
      </c>
      <c r="E389" s="54" t="s">
        <v>34</v>
      </c>
      <c r="F389" s="67" t="s">
        <v>49</v>
      </c>
      <c r="G389" s="56" t="s">
        <v>36</v>
      </c>
      <c r="H389" s="57" t="s">
        <v>65</v>
      </c>
      <c r="I389" s="67" t="s">
        <v>51</v>
      </c>
      <c r="J389" s="57" t="e">
        <f>ROUND(#REF!*2.4,-1)</f>
        <v>#REF!</v>
      </c>
      <c r="K389" s="58"/>
      <c r="L389" s="59">
        <f>4-1</f>
        <v>3</v>
      </c>
      <c r="M389" s="60"/>
      <c r="N389" s="61"/>
      <c r="O389" s="61"/>
      <c r="P389" s="62"/>
      <c r="Q389" s="62"/>
      <c r="R389" s="62">
        <f>1-1</f>
        <v>0</v>
      </c>
      <c r="S389" s="62"/>
      <c r="T389" s="62">
        <f>1-1</f>
        <v>0</v>
      </c>
      <c r="U389" s="62">
        <f>4-1</f>
        <v>3</v>
      </c>
      <c r="V389" s="62"/>
      <c r="W389" s="63"/>
      <c r="X389" s="63"/>
      <c r="Z389" s="64"/>
      <c r="AA389" s="54"/>
      <c r="AB389" s="54"/>
      <c r="AC389" s="54"/>
    </row>
    <row r="390" spans="1:29" ht="60" hidden="1" customHeight="1" x14ac:dyDescent="0.2">
      <c r="A390" s="69" t="s">
        <v>665</v>
      </c>
      <c r="B390" s="74"/>
      <c r="C390" s="66" t="s">
        <v>625</v>
      </c>
      <c r="D390" s="57" t="s">
        <v>48</v>
      </c>
      <c r="E390" s="54" t="s">
        <v>34</v>
      </c>
      <c r="F390" s="67" t="s">
        <v>49</v>
      </c>
      <c r="G390" s="67" t="s">
        <v>50</v>
      </c>
      <c r="H390" s="57" t="s">
        <v>661</v>
      </c>
      <c r="I390" s="67" t="s">
        <v>51</v>
      </c>
      <c r="J390" s="57" t="e">
        <f>ROUND(#REF!*2.4,-1)</f>
        <v>#REF!</v>
      </c>
      <c r="K390" s="58"/>
      <c r="L390" s="59">
        <f>2-2</f>
        <v>0</v>
      </c>
      <c r="M390" s="60"/>
      <c r="N390" s="61"/>
      <c r="O390" s="61"/>
      <c r="P390" s="62"/>
      <c r="Q390" s="62">
        <f>1-1</f>
        <v>0</v>
      </c>
      <c r="R390" s="62"/>
      <c r="S390" s="62">
        <f>1-1</f>
        <v>0</v>
      </c>
      <c r="T390" s="62">
        <f>1-1</f>
        <v>0</v>
      </c>
      <c r="U390" s="62"/>
      <c r="V390" s="62"/>
      <c r="W390" s="63"/>
      <c r="X390" s="63"/>
      <c r="Z390" s="64"/>
      <c r="AA390" s="54"/>
      <c r="AB390" s="54"/>
      <c r="AC390" s="54"/>
    </row>
    <row r="391" spans="1:29" ht="25.5" x14ac:dyDescent="0.2">
      <c r="A391" s="69" t="s">
        <v>666</v>
      </c>
      <c r="B391" s="74"/>
      <c r="C391" s="66" t="s">
        <v>667</v>
      </c>
      <c r="D391" s="57" t="s">
        <v>48</v>
      </c>
      <c r="E391" s="54" t="s">
        <v>34</v>
      </c>
      <c r="F391" s="67" t="s">
        <v>49</v>
      </c>
      <c r="G391" s="56" t="s">
        <v>36</v>
      </c>
      <c r="H391" s="57" t="s">
        <v>340</v>
      </c>
      <c r="I391" s="67" t="s">
        <v>51</v>
      </c>
      <c r="J391" s="57" t="e">
        <f>ROUND(#REF!*2.4,-1)</f>
        <v>#REF!</v>
      </c>
      <c r="K391" s="58"/>
      <c r="L391" s="59">
        <v>1</v>
      </c>
      <c r="M391" s="60"/>
      <c r="N391" s="61"/>
      <c r="O391" s="61"/>
      <c r="P391" s="62"/>
      <c r="Q391" s="62"/>
      <c r="R391" s="62"/>
      <c r="S391" s="62"/>
      <c r="T391" s="62">
        <v>1</v>
      </c>
      <c r="U391" s="62"/>
      <c r="V391" s="62"/>
      <c r="W391" s="63"/>
      <c r="X391" s="63"/>
      <c r="Z391" s="64"/>
      <c r="AA391" s="54"/>
      <c r="AB391" s="54"/>
      <c r="AC391" s="54"/>
    </row>
    <row r="392" spans="1:29" ht="60" customHeight="1" x14ac:dyDescent="0.2">
      <c r="A392" s="69" t="s">
        <v>668</v>
      </c>
      <c r="B392" s="74"/>
      <c r="C392" s="87" t="s">
        <v>451</v>
      </c>
      <c r="D392" s="53" t="s">
        <v>48</v>
      </c>
      <c r="E392" s="54" t="s">
        <v>34</v>
      </c>
      <c r="F392" s="55" t="s">
        <v>49</v>
      </c>
      <c r="G392" s="56" t="s">
        <v>36</v>
      </c>
      <c r="H392" s="57" t="s">
        <v>149</v>
      </c>
      <c r="I392" s="55" t="s">
        <v>51</v>
      </c>
      <c r="J392" s="57" t="e">
        <f>ROUND(#REF!*2.4,-1)</f>
        <v>#REF!</v>
      </c>
      <c r="K392" s="58"/>
      <c r="L392" s="59">
        <f>15-2</f>
        <v>13</v>
      </c>
      <c r="M392" s="60"/>
      <c r="N392" s="61"/>
      <c r="O392" s="61"/>
      <c r="P392" s="62"/>
      <c r="Q392" s="62">
        <f>12-1</f>
        <v>11</v>
      </c>
      <c r="R392" s="62">
        <f>1-1</f>
        <v>0</v>
      </c>
      <c r="S392" s="62">
        <f t="shared" ref="R392:T394" si="38">1-1</f>
        <v>0</v>
      </c>
      <c r="T392" s="62">
        <f>4-2</f>
        <v>2</v>
      </c>
      <c r="U392" s="62">
        <f>1-1</f>
        <v>0</v>
      </c>
      <c r="V392" s="62"/>
      <c r="W392" s="63"/>
      <c r="X392" s="63"/>
      <c r="Z392" s="64"/>
      <c r="AA392" s="54"/>
      <c r="AB392" s="54"/>
      <c r="AC392" s="54"/>
    </row>
    <row r="393" spans="1:29" ht="60" customHeight="1" x14ac:dyDescent="0.2">
      <c r="A393" s="69" t="s">
        <v>669</v>
      </c>
      <c r="B393" s="51"/>
      <c r="C393" s="66" t="s">
        <v>454</v>
      </c>
      <c r="D393" s="53" t="s">
        <v>48</v>
      </c>
      <c r="E393" s="54" t="s">
        <v>34</v>
      </c>
      <c r="F393" s="55" t="s">
        <v>49</v>
      </c>
      <c r="G393" s="56" t="s">
        <v>36</v>
      </c>
      <c r="H393" s="57" t="s">
        <v>273</v>
      </c>
      <c r="I393" s="55" t="s">
        <v>51</v>
      </c>
      <c r="J393" s="57" t="e">
        <f>ROUND(#REF!*2.4,-1)</f>
        <v>#REF!</v>
      </c>
      <c r="K393" s="58"/>
      <c r="L393" s="59">
        <f>8-2</f>
        <v>6</v>
      </c>
      <c r="M393" s="60"/>
      <c r="N393" s="61"/>
      <c r="O393" s="61"/>
      <c r="P393" s="62"/>
      <c r="Q393" s="62">
        <f>5-1</f>
        <v>4</v>
      </c>
      <c r="R393" s="62">
        <f>1-1+1</f>
        <v>1</v>
      </c>
      <c r="S393" s="62">
        <f t="shared" si="38"/>
        <v>0</v>
      </c>
      <c r="T393" s="62">
        <f>1-1</f>
        <v>0</v>
      </c>
      <c r="U393" s="62">
        <f>2-1</f>
        <v>1</v>
      </c>
      <c r="V393" s="62">
        <f>4-4</f>
        <v>0</v>
      </c>
      <c r="W393" s="63"/>
      <c r="X393" s="63"/>
      <c r="Z393" s="64"/>
      <c r="AA393" s="54"/>
      <c r="AB393" s="54"/>
      <c r="AC393" s="54"/>
    </row>
    <row r="394" spans="1:29" ht="60" hidden="1" customHeight="1" x14ac:dyDescent="0.2">
      <c r="A394" s="69" t="s">
        <v>670</v>
      </c>
      <c r="B394" s="74"/>
      <c r="C394" s="66" t="s">
        <v>276</v>
      </c>
      <c r="D394" s="53" t="s">
        <v>48</v>
      </c>
      <c r="E394" s="54" t="s">
        <v>34</v>
      </c>
      <c r="F394" s="55" t="s">
        <v>49</v>
      </c>
      <c r="G394" s="67" t="s">
        <v>50</v>
      </c>
      <c r="H394" s="57" t="s">
        <v>273</v>
      </c>
      <c r="I394" s="55" t="s">
        <v>51</v>
      </c>
      <c r="J394" s="57" t="e">
        <f>ROUND(#REF!*2.4,-1)</f>
        <v>#REF!</v>
      </c>
      <c r="K394" s="58"/>
      <c r="L394" s="59">
        <f>9-9</f>
        <v>0</v>
      </c>
      <c r="M394" s="60"/>
      <c r="N394" s="61"/>
      <c r="O394" s="61"/>
      <c r="P394" s="62"/>
      <c r="Q394" s="62">
        <f>4-4</f>
        <v>0</v>
      </c>
      <c r="R394" s="62">
        <f t="shared" si="38"/>
        <v>0</v>
      </c>
      <c r="S394" s="62">
        <f t="shared" si="38"/>
        <v>0</v>
      </c>
      <c r="T394" s="62">
        <f>2-2</f>
        <v>0</v>
      </c>
      <c r="U394" s="62">
        <f>1-1</f>
        <v>0</v>
      </c>
      <c r="V394" s="62"/>
      <c r="W394" s="63"/>
      <c r="X394" s="63"/>
      <c r="Z394" s="64"/>
      <c r="AA394" s="54"/>
      <c r="AB394" s="54"/>
      <c r="AC394" s="54"/>
    </row>
    <row r="395" spans="1:29" ht="60" customHeight="1" x14ac:dyDescent="0.2">
      <c r="A395" s="69" t="s">
        <v>671</v>
      </c>
      <c r="B395" s="74"/>
      <c r="C395" s="66" t="s">
        <v>649</v>
      </c>
      <c r="D395" s="53" t="s">
        <v>48</v>
      </c>
      <c r="E395" s="54" t="s">
        <v>34</v>
      </c>
      <c r="F395" s="55" t="s">
        <v>49</v>
      </c>
      <c r="G395" s="56" t="s">
        <v>36</v>
      </c>
      <c r="H395" s="57" t="s">
        <v>273</v>
      </c>
      <c r="I395" s="55" t="s">
        <v>51</v>
      </c>
      <c r="J395" s="57" t="e">
        <f>ROUND(#REF!*2.4,-1)</f>
        <v>#REF!</v>
      </c>
      <c r="K395" s="58"/>
      <c r="L395" s="59">
        <f>3-3+1</f>
        <v>1</v>
      </c>
      <c r="M395" s="60"/>
      <c r="N395" s="61"/>
      <c r="O395" s="61"/>
      <c r="P395" s="62"/>
      <c r="Q395" s="62">
        <f>1-1</f>
        <v>0</v>
      </c>
      <c r="R395" s="62">
        <f>2-2</f>
        <v>0</v>
      </c>
      <c r="S395" s="62">
        <f>2-2</f>
        <v>0</v>
      </c>
      <c r="T395" s="62">
        <f>1-1</f>
        <v>0</v>
      </c>
      <c r="U395" s="62">
        <f>1-1+1</f>
        <v>1</v>
      </c>
      <c r="V395" s="62"/>
      <c r="W395" s="63"/>
      <c r="X395" s="63"/>
      <c r="Z395" s="64"/>
      <c r="AA395" s="54"/>
      <c r="AB395" s="54"/>
      <c r="AC395" s="54"/>
    </row>
    <row r="396" spans="1:29" ht="60" customHeight="1" x14ac:dyDescent="0.2">
      <c r="A396" s="69" t="s">
        <v>672</v>
      </c>
      <c r="B396" s="74"/>
      <c r="C396" s="66" t="s">
        <v>673</v>
      </c>
      <c r="D396" s="53" t="s">
        <v>48</v>
      </c>
      <c r="E396" s="54" t="s">
        <v>34</v>
      </c>
      <c r="F396" s="55" t="s">
        <v>49</v>
      </c>
      <c r="G396" s="56" t="s">
        <v>36</v>
      </c>
      <c r="H396" s="57" t="s">
        <v>149</v>
      </c>
      <c r="I396" s="55" t="s">
        <v>51</v>
      </c>
      <c r="J396" s="57">
        <v>480</v>
      </c>
      <c r="K396" s="58"/>
      <c r="L396" s="59">
        <f>7-1</f>
        <v>6</v>
      </c>
      <c r="M396" s="60"/>
      <c r="N396" s="61"/>
      <c r="O396" s="61"/>
      <c r="P396" s="62"/>
      <c r="Q396" s="62">
        <f>7-1</f>
        <v>6</v>
      </c>
      <c r="R396" s="62">
        <f>1-1</f>
        <v>0</v>
      </c>
      <c r="S396" s="62">
        <v>0</v>
      </c>
      <c r="T396" s="62">
        <f>1-1</f>
        <v>0</v>
      </c>
      <c r="U396" s="62">
        <f>1-1</f>
        <v>0</v>
      </c>
      <c r="V396" s="62"/>
      <c r="W396" s="63"/>
      <c r="X396" s="63"/>
      <c r="Z396" s="64"/>
      <c r="AA396" s="54"/>
      <c r="AB396" s="54"/>
      <c r="AC396" s="54"/>
    </row>
    <row r="397" spans="1:29" ht="60" hidden="1" customHeight="1" x14ac:dyDescent="0.2">
      <c r="A397" s="69" t="s">
        <v>674</v>
      </c>
      <c r="B397" s="74"/>
      <c r="C397" s="66" t="s">
        <v>168</v>
      </c>
      <c r="D397" s="53" t="s">
        <v>48</v>
      </c>
      <c r="E397" s="54" t="s">
        <v>34</v>
      </c>
      <c r="F397" s="55" t="s">
        <v>49</v>
      </c>
      <c r="G397" s="67" t="s">
        <v>50</v>
      </c>
      <c r="H397" s="57" t="s">
        <v>149</v>
      </c>
      <c r="I397" s="55" t="s">
        <v>51</v>
      </c>
      <c r="J397" s="57" t="e">
        <f>ROUND(#REF!*2.4,-1)</f>
        <v>#REF!</v>
      </c>
      <c r="K397" s="58"/>
      <c r="L397" s="59">
        <f>1-1</f>
        <v>0</v>
      </c>
      <c r="M397" s="60"/>
      <c r="N397" s="61"/>
      <c r="O397" s="61"/>
      <c r="P397" s="62"/>
      <c r="Q397" s="62">
        <f>1-1</f>
        <v>0</v>
      </c>
      <c r="R397" s="62">
        <f>1-1</f>
        <v>0</v>
      </c>
      <c r="S397" s="62">
        <f>1-1</f>
        <v>0</v>
      </c>
      <c r="T397" s="95">
        <f>1-1</f>
        <v>0</v>
      </c>
      <c r="U397" s="62">
        <f>2-2</f>
        <v>0</v>
      </c>
      <c r="V397" s="62">
        <f>1-1</f>
        <v>0</v>
      </c>
      <c r="W397" s="63"/>
      <c r="X397" s="63"/>
      <c r="Z397" s="64"/>
      <c r="AA397" s="54"/>
      <c r="AB397" s="54"/>
      <c r="AC397" s="54"/>
    </row>
    <row r="398" spans="1:29" ht="60" customHeight="1" x14ac:dyDescent="0.2">
      <c r="A398" s="69" t="s">
        <v>675</v>
      </c>
      <c r="B398" s="74"/>
      <c r="C398" s="66" t="s">
        <v>142</v>
      </c>
      <c r="D398" s="53" t="s">
        <v>48</v>
      </c>
      <c r="E398" s="54" t="s">
        <v>34</v>
      </c>
      <c r="F398" s="55" t="s">
        <v>49</v>
      </c>
      <c r="G398" s="56" t="s">
        <v>36</v>
      </c>
      <c r="H398" s="57" t="s">
        <v>149</v>
      </c>
      <c r="I398" s="55" t="s">
        <v>51</v>
      </c>
      <c r="J398" s="57" t="e">
        <f>ROUND(#REF!*2.4,-1)</f>
        <v>#REF!</v>
      </c>
      <c r="K398" s="58"/>
      <c r="L398" s="59">
        <f>1-1+1</f>
        <v>1</v>
      </c>
      <c r="M398" s="60"/>
      <c r="N398" s="61"/>
      <c r="O398" s="61"/>
      <c r="P398" s="62"/>
      <c r="Q398" s="62">
        <f>1-1+1</f>
        <v>1</v>
      </c>
      <c r="R398" s="62">
        <f>1-1+1-1</f>
        <v>0</v>
      </c>
      <c r="S398" s="62">
        <f>3-3</f>
        <v>0</v>
      </c>
      <c r="T398" s="62">
        <f>1-1</f>
        <v>0</v>
      </c>
      <c r="U398" s="62">
        <f>1-1</f>
        <v>0</v>
      </c>
      <c r="V398" s="62"/>
      <c r="W398" s="63"/>
      <c r="X398" s="63"/>
      <c r="Z398" s="64"/>
      <c r="AA398" s="54"/>
      <c r="AB398" s="54"/>
      <c r="AC398" s="54"/>
    </row>
    <row r="399" spans="1:29" ht="60" hidden="1" customHeight="1" x14ac:dyDescent="0.2">
      <c r="A399" s="69" t="s">
        <v>676</v>
      </c>
      <c r="B399" s="74"/>
      <c r="C399" s="66" t="s">
        <v>127</v>
      </c>
      <c r="D399" s="53" t="s">
        <v>48</v>
      </c>
      <c r="E399" s="54" t="s">
        <v>34</v>
      </c>
      <c r="F399" s="55" t="s">
        <v>49</v>
      </c>
      <c r="G399" s="56" t="s">
        <v>36</v>
      </c>
      <c r="H399" s="57" t="s">
        <v>84</v>
      </c>
      <c r="I399" s="55" t="s">
        <v>51</v>
      </c>
      <c r="J399" s="57" t="e">
        <f>ROUND(#REF!*2.4,-1)</f>
        <v>#REF!</v>
      </c>
      <c r="K399" s="58"/>
      <c r="L399" s="59">
        <f>1-1</f>
        <v>0</v>
      </c>
      <c r="M399" s="60"/>
      <c r="N399" s="61"/>
      <c r="O399" s="61"/>
      <c r="P399" s="62"/>
      <c r="Q399" s="62">
        <f>2-2+1+1-1-1</f>
        <v>0</v>
      </c>
      <c r="R399" s="62">
        <f>1-1+1+1-1-1</f>
        <v>0</v>
      </c>
      <c r="S399" s="62">
        <f>1-1+1-1</f>
        <v>0</v>
      </c>
      <c r="T399" s="96">
        <f>2-2+1+1-1-1</f>
        <v>0</v>
      </c>
      <c r="U399" s="62">
        <f>1-1</f>
        <v>0</v>
      </c>
      <c r="V399" s="62">
        <f>1-1</f>
        <v>0</v>
      </c>
      <c r="W399" s="63"/>
      <c r="X399" s="63"/>
      <c r="Z399" s="64"/>
      <c r="AA399" s="54"/>
      <c r="AB399" s="54"/>
      <c r="AC399" s="54"/>
    </row>
    <row r="400" spans="1:29" ht="60" customHeight="1" x14ac:dyDescent="0.2">
      <c r="A400" s="69" t="s">
        <v>677</v>
      </c>
      <c r="B400" s="74"/>
      <c r="C400" s="66" t="s">
        <v>446</v>
      </c>
      <c r="D400" s="53" t="s">
        <v>48</v>
      </c>
      <c r="E400" s="54" t="s">
        <v>34</v>
      </c>
      <c r="F400" s="55" t="s">
        <v>49</v>
      </c>
      <c r="G400" s="56" t="s">
        <v>36</v>
      </c>
      <c r="H400" s="57" t="s">
        <v>149</v>
      </c>
      <c r="I400" s="55" t="s">
        <v>51</v>
      </c>
      <c r="J400" s="57" t="e">
        <f>ROUND(#REF!*2.4,-1)</f>
        <v>#REF!</v>
      </c>
      <c r="K400" s="58"/>
      <c r="L400" s="59">
        <f>4-1+1</f>
        <v>4</v>
      </c>
      <c r="M400" s="60"/>
      <c r="N400" s="61"/>
      <c r="O400" s="61"/>
      <c r="P400" s="62"/>
      <c r="Q400" s="62">
        <f>2-1</f>
        <v>1</v>
      </c>
      <c r="R400" s="62">
        <f>3-1</f>
        <v>2</v>
      </c>
      <c r="S400" s="62">
        <f>1-1</f>
        <v>0</v>
      </c>
      <c r="T400" s="62">
        <f>1-1</f>
        <v>0</v>
      </c>
      <c r="U400" s="62">
        <f>1-1+1</f>
        <v>1</v>
      </c>
      <c r="V400" s="62">
        <f>1-1</f>
        <v>0</v>
      </c>
      <c r="W400" s="63"/>
      <c r="X400" s="63"/>
      <c r="Z400" s="64"/>
      <c r="AA400" s="54"/>
      <c r="AB400" s="54"/>
      <c r="AC400" s="54"/>
    </row>
    <row r="401" spans="1:29" ht="60" customHeight="1" x14ac:dyDescent="0.2">
      <c r="A401" s="69" t="s">
        <v>678</v>
      </c>
      <c r="B401" s="51"/>
      <c r="C401" s="66" t="s">
        <v>527</v>
      </c>
      <c r="D401" s="53" t="s">
        <v>48</v>
      </c>
      <c r="E401" s="54" t="s">
        <v>34</v>
      </c>
      <c r="F401" s="55" t="s">
        <v>49</v>
      </c>
      <c r="G401" s="56" t="s">
        <v>36</v>
      </c>
      <c r="H401" s="57" t="s">
        <v>149</v>
      </c>
      <c r="I401" s="55" t="s">
        <v>51</v>
      </c>
      <c r="J401" s="57">
        <v>480</v>
      </c>
      <c r="K401" s="58"/>
      <c r="L401" s="59">
        <f>20-4</f>
        <v>16</v>
      </c>
      <c r="M401" s="60"/>
      <c r="N401" s="61"/>
      <c r="O401" s="61"/>
      <c r="P401" s="62"/>
      <c r="Q401" s="62">
        <f>15-1</f>
        <v>14</v>
      </c>
      <c r="R401" s="62">
        <f>1-1</f>
        <v>0</v>
      </c>
      <c r="S401" s="62">
        <f>4-3</f>
        <v>1</v>
      </c>
      <c r="T401" s="62">
        <f>1-1+1</f>
        <v>1</v>
      </c>
      <c r="U401" s="62">
        <f>1-1</f>
        <v>0</v>
      </c>
      <c r="V401" s="62"/>
      <c r="W401" s="63"/>
      <c r="X401" s="63"/>
      <c r="Z401" s="64"/>
      <c r="AA401" s="54"/>
      <c r="AB401" s="54"/>
      <c r="AC401" s="54"/>
    </row>
    <row r="402" spans="1:29" ht="60" hidden="1" customHeight="1" x14ac:dyDescent="0.2">
      <c r="A402" s="69" t="s">
        <v>679</v>
      </c>
      <c r="B402" s="74"/>
      <c r="C402" s="66" t="s">
        <v>680</v>
      </c>
      <c r="D402" s="53" t="s">
        <v>48</v>
      </c>
      <c r="E402" s="54" t="s">
        <v>34</v>
      </c>
      <c r="F402" s="55" t="s">
        <v>49</v>
      </c>
      <c r="G402" s="56" t="s">
        <v>36</v>
      </c>
      <c r="H402" s="57" t="s">
        <v>149</v>
      </c>
      <c r="I402" s="55" t="s">
        <v>51</v>
      </c>
      <c r="J402" s="57" t="e">
        <f>ROUND(#REF!*2.4,-1)</f>
        <v>#REF!</v>
      </c>
      <c r="K402" s="58"/>
      <c r="L402" s="59">
        <f>3-3</f>
        <v>0</v>
      </c>
      <c r="M402" s="60"/>
      <c r="N402" s="61"/>
      <c r="O402" s="61"/>
      <c r="P402" s="62"/>
      <c r="Q402" s="62">
        <f>2-2</f>
        <v>0</v>
      </c>
      <c r="R402" s="62">
        <f>1-1</f>
        <v>0</v>
      </c>
      <c r="S402" s="62">
        <f>1-1</f>
        <v>0</v>
      </c>
      <c r="T402" s="62">
        <f>10-10</f>
        <v>0</v>
      </c>
      <c r="U402" s="62">
        <f>5-5</f>
        <v>0</v>
      </c>
      <c r="V402" s="62">
        <f>1-1</f>
        <v>0</v>
      </c>
      <c r="W402" s="63"/>
      <c r="X402" s="63"/>
      <c r="Z402" s="64"/>
      <c r="AA402" s="54"/>
      <c r="AB402" s="54"/>
      <c r="AC402" s="54"/>
    </row>
    <row r="403" spans="1:29" ht="60" customHeight="1" x14ac:dyDescent="0.2">
      <c r="A403" s="69" t="s">
        <v>681</v>
      </c>
      <c r="B403" s="92"/>
      <c r="C403" s="66" t="s">
        <v>446</v>
      </c>
      <c r="D403" s="53" t="s">
        <v>48</v>
      </c>
      <c r="E403" s="54" t="s">
        <v>34</v>
      </c>
      <c r="F403" s="55" t="s">
        <v>49</v>
      </c>
      <c r="G403" s="56" t="s">
        <v>36</v>
      </c>
      <c r="H403" s="57" t="s">
        <v>375</v>
      </c>
      <c r="I403" s="55" t="s">
        <v>51</v>
      </c>
      <c r="J403" s="57" t="e">
        <f>ROUND(#REF!*2.4,-1)</f>
        <v>#REF!</v>
      </c>
      <c r="K403" s="58"/>
      <c r="L403" s="59">
        <f>7-1</f>
        <v>6</v>
      </c>
      <c r="M403" s="60"/>
      <c r="N403" s="61"/>
      <c r="O403" s="61"/>
      <c r="P403" s="62"/>
      <c r="Q403" s="62">
        <f>4-1</f>
        <v>3</v>
      </c>
      <c r="R403" s="62">
        <f>2-1</f>
        <v>1</v>
      </c>
      <c r="S403" s="62">
        <f>1-1</f>
        <v>0</v>
      </c>
      <c r="T403" s="62">
        <f>2-2</f>
        <v>0</v>
      </c>
      <c r="U403" s="62">
        <f>3-1</f>
        <v>2</v>
      </c>
      <c r="V403" s="62"/>
      <c r="W403" s="63"/>
      <c r="X403" s="63"/>
      <c r="Z403" s="64"/>
      <c r="AA403" s="54"/>
      <c r="AB403" s="54"/>
      <c r="AC403" s="54"/>
    </row>
    <row r="404" spans="1:29" ht="60" hidden="1" customHeight="1" x14ac:dyDescent="0.2">
      <c r="A404" s="69" t="s">
        <v>682</v>
      </c>
      <c r="B404" s="74"/>
      <c r="C404" s="66" t="s">
        <v>348</v>
      </c>
      <c r="D404" s="53" t="s">
        <v>48</v>
      </c>
      <c r="E404" s="54" t="s">
        <v>34</v>
      </c>
      <c r="F404" s="55" t="s">
        <v>49</v>
      </c>
      <c r="G404" s="67" t="s">
        <v>50</v>
      </c>
      <c r="H404" s="57" t="s">
        <v>149</v>
      </c>
      <c r="I404" s="55" t="s">
        <v>51</v>
      </c>
      <c r="J404" s="57" t="e">
        <f>ROUND(#REF!*2.4,-1)</f>
        <v>#REF!</v>
      </c>
      <c r="K404" s="58"/>
      <c r="L404" s="59">
        <v>0</v>
      </c>
      <c r="M404" s="60"/>
      <c r="N404" s="61"/>
      <c r="O404" s="61"/>
      <c r="P404" s="62"/>
      <c r="Q404" s="62"/>
      <c r="R404" s="62"/>
      <c r="S404" s="62"/>
      <c r="T404" s="62"/>
      <c r="U404" s="62"/>
      <c r="V404" s="62"/>
      <c r="W404" s="63"/>
      <c r="X404" s="63"/>
      <c r="Z404" s="64"/>
      <c r="AA404" s="54"/>
      <c r="AB404" s="54"/>
      <c r="AC404" s="54"/>
    </row>
    <row r="405" spans="1:29" ht="60" customHeight="1" x14ac:dyDescent="0.2">
      <c r="A405" s="69" t="s">
        <v>683</v>
      </c>
      <c r="B405" s="74"/>
      <c r="C405" s="66" t="s">
        <v>636</v>
      </c>
      <c r="D405" s="53" t="s">
        <v>48</v>
      </c>
      <c r="E405" s="54" t="s">
        <v>34</v>
      </c>
      <c r="F405" s="55" t="s">
        <v>49</v>
      </c>
      <c r="G405" s="56" t="s">
        <v>36</v>
      </c>
      <c r="H405" s="57"/>
      <c r="I405" s="53" t="s">
        <v>637</v>
      </c>
      <c r="J405" s="57" t="e">
        <f>ROUND(#REF!*2.4,-1)</f>
        <v>#REF!</v>
      </c>
      <c r="K405" s="58"/>
      <c r="L405" s="59">
        <f>18-2+6+8</f>
        <v>30</v>
      </c>
      <c r="M405" s="60"/>
      <c r="N405" s="61"/>
      <c r="O405" s="61"/>
      <c r="P405" s="62"/>
      <c r="Q405" s="62">
        <f>6</f>
        <v>6</v>
      </c>
      <c r="R405" s="62">
        <f>12-5+6+1</f>
        <v>14</v>
      </c>
      <c r="S405" s="62">
        <f>1</f>
        <v>1</v>
      </c>
      <c r="T405" s="62">
        <f>7-1</f>
        <v>6</v>
      </c>
      <c r="U405" s="62">
        <f>4-1</f>
        <v>3</v>
      </c>
      <c r="V405" s="62"/>
      <c r="W405" s="63"/>
      <c r="X405" s="63"/>
      <c r="Z405" s="64"/>
      <c r="AA405" s="54"/>
      <c r="AB405" s="54"/>
      <c r="AC405" s="54"/>
    </row>
    <row r="406" spans="1:29" ht="60" customHeight="1" x14ac:dyDescent="0.2">
      <c r="A406" s="69" t="s">
        <v>684</v>
      </c>
      <c r="B406" s="74"/>
      <c r="C406" s="66" t="s">
        <v>346</v>
      </c>
      <c r="D406" s="53" t="s">
        <v>48</v>
      </c>
      <c r="E406" s="54" t="s">
        <v>34</v>
      </c>
      <c r="F406" s="55" t="s">
        <v>49</v>
      </c>
      <c r="G406" s="56" t="s">
        <v>36</v>
      </c>
      <c r="H406" s="57" t="s">
        <v>103</v>
      </c>
      <c r="I406" s="55" t="s">
        <v>51</v>
      </c>
      <c r="J406" s="57" t="e">
        <f>ROUND(#REF!*2.4,-1)</f>
        <v>#REF!</v>
      </c>
      <c r="K406" s="97"/>
      <c r="L406" s="59">
        <f>1-1+1</f>
        <v>1</v>
      </c>
      <c r="M406" s="60"/>
      <c r="N406" s="61"/>
      <c r="O406" s="61"/>
      <c r="P406" s="62"/>
      <c r="Q406" s="62">
        <f t="shared" ref="Q406:T407" si="39">1-1</f>
        <v>0</v>
      </c>
      <c r="R406" s="62">
        <f t="shared" si="39"/>
        <v>0</v>
      </c>
      <c r="S406" s="62">
        <f>1-1+1</f>
        <v>1</v>
      </c>
      <c r="T406" s="62">
        <f t="shared" si="39"/>
        <v>0</v>
      </c>
      <c r="U406" s="62">
        <f>2-2</f>
        <v>0</v>
      </c>
      <c r="V406" s="62">
        <f>1-1</f>
        <v>0</v>
      </c>
      <c r="W406" s="63"/>
      <c r="X406" s="63"/>
      <c r="Z406" s="64"/>
      <c r="AA406" s="54"/>
      <c r="AB406" s="54"/>
      <c r="AC406" s="54"/>
    </row>
    <row r="407" spans="1:29" ht="60" customHeight="1" x14ac:dyDescent="0.2">
      <c r="A407" s="72" t="s">
        <v>685</v>
      </c>
      <c r="B407" s="74"/>
      <c r="C407" s="66" t="s">
        <v>686</v>
      </c>
      <c r="D407" s="53" t="s">
        <v>48</v>
      </c>
      <c r="E407" s="54" t="s">
        <v>34</v>
      </c>
      <c r="F407" s="55" t="s">
        <v>49</v>
      </c>
      <c r="G407" s="56" t="s">
        <v>36</v>
      </c>
      <c r="H407" s="57" t="s">
        <v>103</v>
      </c>
      <c r="I407" s="55" t="s">
        <v>51</v>
      </c>
      <c r="J407" s="57" t="e">
        <f>ROUND(#REF!*2.4,-1)</f>
        <v>#REF!</v>
      </c>
      <c r="K407" s="97"/>
      <c r="L407" s="59">
        <f>1-1+1</f>
        <v>1</v>
      </c>
      <c r="M407" s="60"/>
      <c r="N407" s="61"/>
      <c r="O407" s="61"/>
      <c r="P407" s="96"/>
      <c r="Q407" s="62">
        <f>1-1</f>
        <v>0</v>
      </c>
      <c r="R407" s="62">
        <f>1-1+1</f>
        <v>1</v>
      </c>
      <c r="S407" s="62">
        <f t="shared" si="39"/>
        <v>0</v>
      </c>
      <c r="T407" s="62">
        <f>1-1</f>
        <v>0</v>
      </c>
      <c r="U407" s="62">
        <f>1-1</f>
        <v>0</v>
      </c>
      <c r="V407" s="62">
        <f>2-1-1</f>
        <v>0</v>
      </c>
      <c r="W407" s="63"/>
      <c r="X407" s="63"/>
      <c r="Z407" s="64"/>
      <c r="AA407" s="54"/>
      <c r="AB407" s="54"/>
      <c r="AC407" s="54"/>
    </row>
    <row r="408" spans="1:29" ht="60" hidden="1" customHeight="1" x14ac:dyDescent="0.2">
      <c r="A408" s="69" t="s">
        <v>687</v>
      </c>
      <c r="B408" s="74"/>
      <c r="C408" s="87" t="s">
        <v>625</v>
      </c>
      <c r="D408" s="53" t="s">
        <v>48</v>
      </c>
      <c r="E408" s="54" t="s">
        <v>34</v>
      </c>
      <c r="F408" s="55" t="s">
        <v>49</v>
      </c>
      <c r="G408" s="67" t="s">
        <v>50</v>
      </c>
      <c r="H408" s="57" t="s">
        <v>123</v>
      </c>
      <c r="I408" s="55" t="s">
        <v>51</v>
      </c>
      <c r="J408" s="57" t="e">
        <f>ROUND(#REF!*2.4,-1)</f>
        <v>#REF!</v>
      </c>
      <c r="K408" s="97"/>
      <c r="L408" s="59">
        <v>0</v>
      </c>
      <c r="M408" s="60"/>
      <c r="N408" s="61"/>
      <c r="O408" s="61"/>
      <c r="P408" s="62"/>
      <c r="Q408" s="62"/>
      <c r="R408" s="62"/>
      <c r="S408" s="62"/>
      <c r="T408" s="62"/>
      <c r="U408" s="62"/>
      <c r="V408" s="62"/>
      <c r="W408" s="63"/>
      <c r="X408" s="63"/>
      <c r="Z408" s="64"/>
      <c r="AA408" s="54"/>
      <c r="AB408" s="54"/>
      <c r="AC408" s="54"/>
    </row>
    <row r="409" spans="1:29" ht="60" customHeight="1" x14ac:dyDescent="0.2">
      <c r="A409" s="69" t="s">
        <v>688</v>
      </c>
      <c r="B409" s="74"/>
      <c r="C409" s="66" t="s">
        <v>489</v>
      </c>
      <c r="D409" s="53" t="s">
        <v>48</v>
      </c>
      <c r="E409" s="54" t="s">
        <v>34</v>
      </c>
      <c r="F409" s="55" t="s">
        <v>49</v>
      </c>
      <c r="G409" s="67" t="s">
        <v>50</v>
      </c>
      <c r="H409" s="57" t="s">
        <v>163</v>
      </c>
      <c r="I409" s="55" t="s">
        <v>51</v>
      </c>
      <c r="J409" s="57" t="e">
        <f>ROUND(#REF!*2.4,-1)</f>
        <v>#REF!</v>
      </c>
      <c r="K409" s="58"/>
      <c r="L409" s="59">
        <f>9-1</f>
        <v>8</v>
      </c>
      <c r="M409" s="60"/>
      <c r="N409" s="61"/>
      <c r="O409" s="61"/>
      <c r="P409" s="62"/>
      <c r="Q409" s="62">
        <f>6-1</f>
        <v>5</v>
      </c>
      <c r="R409" s="62">
        <f>2-1</f>
        <v>1</v>
      </c>
      <c r="S409" s="62">
        <f>2-2</f>
        <v>0</v>
      </c>
      <c r="T409" s="62">
        <f>1-1</f>
        <v>0</v>
      </c>
      <c r="U409" s="62">
        <f>5-5</f>
        <v>0</v>
      </c>
      <c r="V409" s="62">
        <f>1-1+2</f>
        <v>2</v>
      </c>
      <c r="W409" s="63"/>
      <c r="X409" s="63"/>
      <c r="Z409" s="71"/>
      <c r="AA409" s="54">
        <v>1490001</v>
      </c>
      <c r="AB409" s="54">
        <v>352</v>
      </c>
      <c r="AC409" s="54"/>
    </row>
    <row r="410" spans="1:29" ht="60" hidden="1" customHeight="1" x14ac:dyDescent="0.2">
      <c r="A410" s="69" t="s">
        <v>689</v>
      </c>
      <c r="B410" s="74" t="s">
        <v>329</v>
      </c>
      <c r="C410" s="87" t="s">
        <v>690</v>
      </c>
      <c r="D410" s="53" t="s">
        <v>48</v>
      </c>
      <c r="E410" s="54" t="s">
        <v>34</v>
      </c>
      <c r="F410" s="55" t="s">
        <v>49</v>
      </c>
      <c r="G410" s="67" t="s">
        <v>50</v>
      </c>
      <c r="H410" s="57" t="s">
        <v>378</v>
      </c>
      <c r="I410" s="55" t="s">
        <v>51</v>
      </c>
      <c r="J410" s="57" t="e">
        <f>ROUND(#REF!*2.4,-1)</f>
        <v>#REF!</v>
      </c>
      <c r="K410" s="58"/>
      <c r="L410" s="59">
        <v>0</v>
      </c>
      <c r="M410" s="60"/>
      <c r="N410" s="61"/>
      <c r="O410" s="61"/>
      <c r="P410" s="62"/>
      <c r="Q410" s="62"/>
      <c r="R410" s="62"/>
      <c r="S410" s="62"/>
      <c r="T410" s="62"/>
      <c r="U410" s="62"/>
      <c r="V410" s="62"/>
      <c r="W410" s="63"/>
      <c r="X410" s="63"/>
      <c r="Z410" s="64"/>
      <c r="AA410" s="54"/>
      <c r="AB410" s="54"/>
      <c r="AC410" s="54"/>
    </row>
    <row r="411" spans="1:29" ht="60" hidden="1" customHeight="1" x14ac:dyDescent="0.2">
      <c r="A411" s="69" t="s">
        <v>691</v>
      </c>
      <c r="B411" s="74"/>
      <c r="C411" s="87" t="s">
        <v>692</v>
      </c>
      <c r="D411" s="53" t="s">
        <v>48</v>
      </c>
      <c r="E411" s="54" t="s">
        <v>34</v>
      </c>
      <c r="F411" s="55" t="s">
        <v>49</v>
      </c>
      <c r="G411" s="56" t="s">
        <v>36</v>
      </c>
      <c r="H411" s="57" t="s">
        <v>378</v>
      </c>
      <c r="I411" s="55" t="s">
        <v>51</v>
      </c>
      <c r="J411" s="57" t="e">
        <f>ROUND(#REF!*2.4,-1)</f>
        <v>#REF!</v>
      </c>
      <c r="K411" s="58"/>
      <c r="L411" s="59">
        <f>3-3</f>
        <v>0</v>
      </c>
      <c r="M411" s="60"/>
      <c r="N411" s="61"/>
      <c r="O411" s="61"/>
      <c r="P411" s="62"/>
      <c r="Q411" s="62">
        <f t="shared" ref="Q411:U412" si="40">1-1</f>
        <v>0</v>
      </c>
      <c r="R411" s="62">
        <f t="shared" si="40"/>
        <v>0</v>
      </c>
      <c r="S411" s="62">
        <f t="shared" si="40"/>
        <v>0</v>
      </c>
      <c r="T411" s="62">
        <f t="shared" si="40"/>
        <v>0</v>
      </c>
      <c r="U411" s="62">
        <f t="shared" si="40"/>
        <v>0</v>
      </c>
      <c r="V411" s="62"/>
      <c r="W411" s="63"/>
      <c r="X411" s="63"/>
      <c r="Z411" s="64"/>
      <c r="AA411" s="54"/>
      <c r="AB411" s="54"/>
      <c r="AC411" s="54"/>
    </row>
    <row r="412" spans="1:29" ht="60" customHeight="1" x14ac:dyDescent="0.2">
      <c r="A412" s="69" t="s">
        <v>693</v>
      </c>
      <c r="B412" s="74"/>
      <c r="C412" s="66" t="s">
        <v>694</v>
      </c>
      <c r="D412" s="53" t="s">
        <v>48</v>
      </c>
      <c r="E412" s="54" t="s">
        <v>34</v>
      </c>
      <c r="F412" s="55" t="s">
        <v>49</v>
      </c>
      <c r="G412" s="56" t="s">
        <v>36</v>
      </c>
      <c r="H412" s="57" t="s">
        <v>378</v>
      </c>
      <c r="I412" s="55" t="s">
        <v>51</v>
      </c>
      <c r="J412" s="57" t="e">
        <f>ROUND(#REF!*2.4,-1)</f>
        <v>#REF!</v>
      </c>
      <c r="K412" s="58"/>
      <c r="L412" s="59">
        <f>1-1+1</f>
        <v>1</v>
      </c>
      <c r="M412" s="60"/>
      <c r="N412" s="61"/>
      <c r="O412" s="61"/>
      <c r="P412" s="62"/>
      <c r="Q412" s="62">
        <f>1-1+1</f>
        <v>1</v>
      </c>
      <c r="R412" s="62">
        <f t="shared" si="40"/>
        <v>0</v>
      </c>
      <c r="S412" s="62">
        <f t="shared" si="40"/>
        <v>0</v>
      </c>
      <c r="T412" s="62">
        <f t="shared" si="40"/>
        <v>0</v>
      </c>
      <c r="U412" s="62">
        <f t="shared" si="40"/>
        <v>0</v>
      </c>
      <c r="V412" s="62"/>
      <c r="W412" s="63"/>
      <c r="X412" s="63"/>
      <c r="Z412" s="64"/>
      <c r="AA412" s="54"/>
      <c r="AB412" s="54"/>
      <c r="AC412" s="54"/>
    </row>
    <row r="413" spans="1:29" ht="60" hidden="1" customHeight="1" x14ac:dyDescent="0.2">
      <c r="A413" s="69" t="s">
        <v>695</v>
      </c>
      <c r="B413" s="51"/>
      <c r="C413" s="87" t="s">
        <v>696</v>
      </c>
      <c r="D413" s="53" t="s">
        <v>48</v>
      </c>
      <c r="E413" s="54" t="s">
        <v>34</v>
      </c>
      <c r="F413" s="55" t="s">
        <v>49</v>
      </c>
      <c r="G413" s="67" t="s">
        <v>50</v>
      </c>
      <c r="H413" s="57" t="s">
        <v>378</v>
      </c>
      <c r="I413" s="55" t="s">
        <v>51</v>
      </c>
      <c r="J413" s="57" t="e">
        <f>ROUND(#REF!*2.4,-1)</f>
        <v>#REF!</v>
      </c>
      <c r="K413" s="58"/>
      <c r="L413" s="59">
        <v>0</v>
      </c>
      <c r="M413" s="60"/>
      <c r="N413" s="61"/>
      <c r="O413" s="61"/>
      <c r="P413" s="62"/>
      <c r="Q413" s="62"/>
      <c r="R413" s="62"/>
      <c r="S413" s="62"/>
      <c r="T413" s="62"/>
      <c r="U413" s="62"/>
      <c r="V413" s="62"/>
      <c r="W413" s="63"/>
      <c r="X413" s="63"/>
      <c r="Z413" s="64"/>
      <c r="AA413" s="54"/>
      <c r="AB413" s="54"/>
      <c r="AC413" s="54"/>
    </row>
    <row r="414" spans="1:29" ht="60" hidden="1" customHeight="1" x14ac:dyDescent="0.2">
      <c r="A414" s="69" t="s">
        <v>697</v>
      </c>
      <c r="B414" s="51"/>
      <c r="C414" s="66" t="s">
        <v>372</v>
      </c>
      <c r="D414" s="57" t="s">
        <v>48</v>
      </c>
      <c r="E414" s="54" t="s">
        <v>34</v>
      </c>
      <c r="F414" s="67" t="s">
        <v>49</v>
      </c>
      <c r="G414" s="56" t="s">
        <v>36</v>
      </c>
      <c r="H414" s="57" t="s">
        <v>378</v>
      </c>
      <c r="I414" s="67" t="s">
        <v>51</v>
      </c>
      <c r="J414" s="57" t="e">
        <f>ROUND(#REF!*2.4,-1)</f>
        <v>#REF!</v>
      </c>
      <c r="K414" s="58"/>
      <c r="L414" s="59">
        <f>1-1</f>
        <v>0</v>
      </c>
      <c r="M414" s="60"/>
      <c r="N414" s="61"/>
      <c r="O414" s="61"/>
      <c r="P414" s="62"/>
      <c r="Q414" s="62">
        <f>1-1</f>
        <v>0</v>
      </c>
      <c r="R414" s="62">
        <f>1-1</f>
        <v>0</v>
      </c>
      <c r="S414" s="62">
        <f>1-1</f>
        <v>0</v>
      </c>
      <c r="T414" s="62"/>
      <c r="U414" s="62"/>
      <c r="V414" s="62"/>
      <c r="W414" s="63"/>
      <c r="X414" s="63"/>
      <c r="Z414" s="64"/>
      <c r="AA414" s="54"/>
      <c r="AB414" s="54"/>
      <c r="AC414" s="54"/>
    </row>
    <row r="415" spans="1:29" ht="60" customHeight="1" x14ac:dyDescent="0.2">
      <c r="A415" s="69" t="s">
        <v>698</v>
      </c>
      <c r="B415" s="51"/>
      <c r="C415" s="66" t="s">
        <v>531</v>
      </c>
      <c r="D415" s="53" t="s">
        <v>48</v>
      </c>
      <c r="E415" s="54" t="s">
        <v>34</v>
      </c>
      <c r="F415" s="55" t="s">
        <v>49</v>
      </c>
      <c r="G415" s="56" t="s">
        <v>36</v>
      </c>
      <c r="H415" s="57" t="s">
        <v>378</v>
      </c>
      <c r="I415" s="55" t="s">
        <v>51</v>
      </c>
      <c r="J415" s="57" t="e">
        <f>ROUND(#REF!*2.4,-1)</f>
        <v>#REF!</v>
      </c>
      <c r="K415" s="58"/>
      <c r="L415" s="59">
        <f>16-3</f>
        <v>13</v>
      </c>
      <c r="M415" s="60"/>
      <c r="N415" s="61"/>
      <c r="O415" s="61"/>
      <c r="P415" s="62"/>
      <c r="Q415" s="62">
        <f>8-1</f>
        <v>7</v>
      </c>
      <c r="R415" s="62">
        <f>1-1</f>
        <v>0</v>
      </c>
      <c r="S415" s="62">
        <f>5-2</f>
        <v>3</v>
      </c>
      <c r="T415" s="62">
        <f>3-1</f>
        <v>2</v>
      </c>
      <c r="U415" s="62">
        <f>2-1</f>
        <v>1</v>
      </c>
      <c r="V415" s="62"/>
      <c r="W415" s="63"/>
      <c r="X415" s="63"/>
      <c r="Z415" s="64"/>
      <c r="AA415" s="54"/>
      <c r="AB415" s="54"/>
      <c r="AC415" s="54"/>
    </row>
    <row r="416" spans="1:29" ht="60" customHeight="1" x14ac:dyDescent="0.2">
      <c r="A416" s="69" t="s">
        <v>699</v>
      </c>
      <c r="B416" s="51"/>
      <c r="C416" s="66" t="s">
        <v>142</v>
      </c>
      <c r="D416" s="53" t="s">
        <v>48</v>
      </c>
      <c r="E416" s="54" t="s">
        <v>34</v>
      </c>
      <c r="F416" s="55" t="s">
        <v>49</v>
      </c>
      <c r="G416" s="67" t="s">
        <v>50</v>
      </c>
      <c r="H416" s="57" t="s">
        <v>378</v>
      </c>
      <c r="I416" s="55" t="s">
        <v>51</v>
      </c>
      <c r="J416" s="57" t="e">
        <f>ROUND(#REF!*2.4,-1)</f>
        <v>#REF!</v>
      </c>
      <c r="K416" s="58"/>
      <c r="L416" s="59">
        <f>6-1</f>
        <v>5</v>
      </c>
      <c r="M416" s="60"/>
      <c r="N416" s="61"/>
      <c r="O416" s="61"/>
      <c r="P416" s="62"/>
      <c r="Q416" s="62">
        <f>1-1</f>
        <v>0</v>
      </c>
      <c r="R416" s="62">
        <f>1-1</f>
        <v>0</v>
      </c>
      <c r="S416" s="62">
        <f>1-1</f>
        <v>0</v>
      </c>
      <c r="T416" s="62">
        <f>2-1</f>
        <v>1</v>
      </c>
      <c r="U416" s="62">
        <f>4-1</f>
        <v>3</v>
      </c>
      <c r="V416" s="62">
        <f>2-1</f>
        <v>1</v>
      </c>
      <c r="W416" s="63"/>
      <c r="X416" s="63"/>
      <c r="Z416" s="64"/>
      <c r="AA416" s="54">
        <v>1490584</v>
      </c>
      <c r="AB416" s="54">
        <v>431</v>
      </c>
      <c r="AC416" s="54"/>
    </row>
    <row r="417" spans="1:29" ht="60" hidden="1" customHeight="1" x14ac:dyDescent="0.2">
      <c r="A417" s="69" t="s">
        <v>700</v>
      </c>
      <c r="B417" s="74"/>
      <c r="C417" s="54" t="s">
        <v>580</v>
      </c>
      <c r="D417" s="53" t="s">
        <v>48</v>
      </c>
      <c r="E417" s="54" t="s">
        <v>34</v>
      </c>
      <c r="F417" s="55" t="s">
        <v>49</v>
      </c>
      <c r="G417" s="67" t="s">
        <v>50</v>
      </c>
      <c r="H417" s="57" t="s">
        <v>378</v>
      </c>
      <c r="I417" s="55" t="s">
        <v>51</v>
      </c>
      <c r="J417" s="57" t="e">
        <f>ROUND(#REF!*2.4,-1)</f>
        <v>#REF!</v>
      </c>
      <c r="K417" s="58"/>
      <c r="L417" s="59">
        <v>0</v>
      </c>
      <c r="M417" s="60"/>
      <c r="N417" s="61"/>
      <c r="O417" s="61"/>
      <c r="P417" s="62"/>
      <c r="Q417" s="62"/>
      <c r="R417" s="62"/>
      <c r="S417" s="62"/>
      <c r="T417" s="62"/>
      <c r="U417" s="62"/>
      <c r="V417" s="62"/>
      <c r="W417" s="63"/>
      <c r="X417" s="63"/>
      <c r="Z417" s="64"/>
      <c r="AA417" s="54"/>
      <c r="AB417" s="54"/>
      <c r="AC417" s="54"/>
    </row>
    <row r="418" spans="1:29" ht="38.25" hidden="1" x14ac:dyDescent="0.2">
      <c r="A418" s="69" t="s">
        <v>701</v>
      </c>
      <c r="B418" s="51"/>
      <c r="C418" s="87" t="s">
        <v>702</v>
      </c>
      <c r="D418" s="53" t="s">
        <v>48</v>
      </c>
      <c r="E418" s="54" t="s">
        <v>34</v>
      </c>
      <c r="F418" s="55" t="s">
        <v>121</v>
      </c>
      <c r="G418" s="67" t="s">
        <v>68</v>
      </c>
      <c r="H418" s="57" t="s">
        <v>60</v>
      </c>
      <c r="I418" s="55" t="s">
        <v>51</v>
      </c>
      <c r="J418" s="57" t="e">
        <f>ROUND(#REF!*2.4,-1)</f>
        <v>#REF!</v>
      </c>
      <c r="K418" s="58"/>
      <c r="L418" s="59">
        <f>1-1</f>
        <v>0</v>
      </c>
      <c r="M418" s="60"/>
      <c r="N418" s="61"/>
      <c r="O418" s="61"/>
      <c r="P418" s="62"/>
      <c r="Q418" s="62">
        <f>1-1</f>
        <v>0</v>
      </c>
      <c r="R418" s="62"/>
      <c r="S418" s="62"/>
      <c r="T418" s="62"/>
      <c r="U418" s="62"/>
      <c r="V418" s="62"/>
      <c r="W418" s="63"/>
      <c r="X418" s="63"/>
      <c r="Z418" s="64"/>
      <c r="AA418" s="54"/>
      <c r="AB418" s="54"/>
      <c r="AC418" s="54"/>
    </row>
    <row r="419" spans="1:29" ht="60" hidden="1" customHeight="1" x14ac:dyDescent="0.2">
      <c r="A419" s="81" t="s">
        <v>703</v>
      </c>
      <c r="B419" s="70"/>
      <c r="C419" s="66" t="s">
        <v>313</v>
      </c>
      <c r="D419" s="53" t="s">
        <v>58</v>
      </c>
      <c r="E419" s="54" t="s">
        <v>34</v>
      </c>
      <c r="F419" s="55" t="s">
        <v>59</v>
      </c>
      <c r="G419" s="67" t="s">
        <v>68</v>
      </c>
      <c r="H419" s="57" t="s">
        <v>37</v>
      </c>
      <c r="I419" s="55" t="s">
        <v>51</v>
      </c>
      <c r="J419" s="57" t="e">
        <f>ROUND(#REF!*2.4,-1)</f>
        <v>#REF!</v>
      </c>
      <c r="K419" s="58"/>
      <c r="L419" s="59">
        <f>1-1</f>
        <v>0</v>
      </c>
      <c r="M419" s="60"/>
      <c r="N419" s="61"/>
      <c r="O419" s="61"/>
      <c r="P419" s="62">
        <f>1-1</f>
        <v>0</v>
      </c>
      <c r="Q419" s="62">
        <f>3-3</f>
        <v>0</v>
      </c>
      <c r="R419" s="62">
        <f>1-1</f>
        <v>0</v>
      </c>
      <c r="S419" s="62">
        <f>1-1</f>
        <v>0</v>
      </c>
      <c r="T419" s="62">
        <f>1-1</f>
        <v>0</v>
      </c>
      <c r="U419" s="62"/>
      <c r="V419" s="62"/>
      <c r="W419" s="63"/>
      <c r="X419" s="63"/>
      <c r="Z419" s="64"/>
      <c r="AA419" s="54"/>
      <c r="AB419" s="54"/>
      <c r="AC419" s="54"/>
    </row>
    <row r="420" spans="1:29" ht="60" hidden="1" customHeight="1" x14ac:dyDescent="0.2">
      <c r="A420" s="69" t="s">
        <v>704</v>
      </c>
      <c r="B420" s="74"/>
      <c r="C420" s="66" t="s">
        <v>705</v>
      </c>
      <c r="D420" s="53" t="s">
        <v>58</v>
      </c>
      <c r="E420" s="54" t="s">
        <v>34</v>
      </c>
      <c r="F420" s="55" t="s">
        <v>59</v>
      </c>
      <c r="G420" s="67" t="s">
        <v>68</v>
      </c>
      <c r="H420" s="57" t="s">
        <v>37</v>
      </c>
      <c r="I420" s="55" t="s">
        <v>51</v>
      </c>
      <c r="J420" s="57" t="e">
        <f>ROUND(#REF!*2.4,-1)</f>
        <v>#REF!</v>
      </c>
      <c r="K420" s="58"/>
      <c r="L420" s="59">
        <f>3-3</f>
        <v>0</v>
      </c>
      <c r="M420" s="60"/>
      <c r="N420" s="61"/>
      <c r="O420" s="61"/>
      <c r="P420" s="62">
        <f>2-2</f>
        <v>0</v>
      </c>
      <c r="Q420" s="62">
        <f>1-1</f>
        <v>0</v>
      </c>
      <c r="R420" s="62">
        <f>2-2</f>
        <v>0</v>
      </c>
      <c r="S420" s="62">
        <f>1-1</f>
        <v>0</v>
      </c>
      <c r="T420" s="62">
        <f>1-1</f>
        <v>0</v>
      </c>
      <c r="U420" s="62"/>
      <c r="V420" s="62"/>
      <c r="W420" s="63"/>
      <c r="X420" s="63"/>
      <c r="Z420" s="64"/>
      <c r="AA420" s="54"/>
      <c r="AB420" s="54"/>
      <c r="AC420" s="54"/>
    </row>
    <row r="421" spans="1:29" ht="60" customHeight="1" x14ac:dyDescent="0.2">
      <c r="A421" s="69" t="s">
        <v>706</v>
      </c>
      <c r="B421" s="74"/>
      <c r="C421" s="66" t="s">
        <v>707</v>
      </c>
      <c r="D421" s="53" t="s">
        <v>58</v>
      </c>
      <c r="E421" s="54" t="s">
        <v>34</v>
      </c>
      <c r="F421" s="55" t="s">
        <v>59</v>
      </c>
      <c r="G421" s="67" t="s">
        <v>68</v>
      </c>
      <c r="H421" s="57" t="s">
        <v>37</v>
      </c>
      <c r="I421" s="55" t="s">
        <v>51</v>
      </c>
      <c r="J421" s="57" t="e">
        <f>ROUND(#REF!*2.4,-1)</f>
        <v>#REF!</v>
      </c>
      <c r="K421" s="58"/>
      <c r="L421" s="59">
        <f>7-1</f>
        <v>6</v>
      </c>
      <c r="M421" s="60"/>
      <c r="N421" s="61"/>
      <c r="O421" s="61"/>
      <c r="P421" s="62">
        <f>1-1</f>
        <v>0</v>
      </c>
      <c r="Q421" s="62">
        <f>2-1</f>
        <v>1</v>
      </c>
      <c r="R421" s="62">
        <f>1-1</f>
        <v>0</v>
      </c>
      <c r="S421" s="62">
        <f>1-1+1</f>
        <v>1</v>
      </c>
      <c r="T421" s="62">
        <f>4-2+2</f>
        <v>4</v>
      </c>
      <c r="U421" s="62"/>
      <c r="V421" s="62"/>
      <c r="W421" s="63"/>
      <c r="X421" s="63"/>
      <c r="Z421" s="64"/>
      <c r="AA421" s="54"/>
      <c r="AB421" s="54"/>
      <c r="AC421" s="54"/>
    </row>
    <row r="422" spans="1:29" ht="60" hidden="1" customHeight="1" x14ac:dyDescent="0.2">
      <c r="A422" s="69" t="s">
        <v>708</v>
      </c>
      <c r="B422" s="74"/>
      <c r="C422" s="66" t="s">
        <v>99</v>
      </c>
      <c r="D422" s="53" t="s">
        <v>58</v>
      </c>
      <c r="E422" s="54" t="s">
        <v>34</v>
      </c>
      <c r="F422" s="55" t="s">
        <v>59</v>
      </c>
      <c r="G422" s="67" t="s">
        <v>68</v>
      </c>
      <c r="H422" s="57" t="s">
        <v>37</v>
      </c>
      <c r="I422" s="55" t="s">
        <v>51</v>
      </c>
      <c r="J422" s="57" t="e">
        <f>ROUND(#REF!*2.4,-1)</f>
        <v>#REF!</v>
      </c>
      <c r="K422" s="58"/>
      <c r="L422" s="59">
        <f>2-2</f>
        <v>0</v>
      </c>
      <c r="M422" s="60"/>
      <c r="N422" s="61"/>
      <c r="O422" s="61"/>
      <c r="P422" s="62"/>
      <c r="Q422" s="62"/>
      <c r="R422" s="62"/>
      <c r="S422" s="62"/>
      <c r="T422" s="62"/>
      <c r="U422" s="62"/>
      <c r="V422" s="62"/>
      <c r="W422" s="63"/>
      <c r="X422" s="63"/>
      <c r="Z422" s="64"/>
      <c r="AA422" s="54"/>
      <c r="AB422" s="54"/>
      <c r="AC422" s="54"/>
    </row>
    <row r="423" spans="1:29" ht="60" hidden="1" customHeight="1" x14ac:dyDescent="0.2">
      <c r="A423" s="69" t="s">
        <v>709</v>
      </c>
      <c r="B423" s="70"/>
      <c r="C423" s="66" t="s">
        <v>249</v>
      </c>
      <c r="D423" s="53" t="s">
        <v>58</v>
      </c>
      <c r="E423" s="54" t="s">
        <v>34</v>
      </c>
      <c r="F423" s="55" t="s">
        <v>59</v>
      </c>
      <c r="G423" s="67" t="s">
        <v>68</v>
      </c>
      <c r="H423" s="57" t="s">
        <v>37</v>
      </c>
      <c r="I423" s="55" t="s">
        <v>51</v>
      </c>
      <c r="J423" s="57" t="e">
        <f>ROUND(#REF!*2.4,-1)</f>
        <v>#REF!</v>
      </c>
      <c r="K423" s="58"/>
      <c r="L423" s="59">
        <f>1-1</f>
        <v>0</v>
      </c>
      <c r="M423" s="60"/>
      <c r="N423" s="61"/>
      <c r="O423" s="61"/>
      <c r="P423" s="62">
        <f>1-1</f>
        <v>0</v>
      </c>
      <c r="Q423" s="62">
        <f>1-1</f>
        <v>0</v>
      </c>
      <c r="R423" s="62">
        <f>1-1</f>
        <v>0</v>
      </c>
      <c r="S423" s="62">
        <f>1-1</f>
        <v>0</v>
      </c>
      <c r="T423" s="62">
        <f>1-1</f>
        <v>0</v>
      </c>
      <c r="U423" s="62"/>
      <c r="V423" s="62"/>
      <c r="W423" s="63"/>
      <c r="X423" s="63"/>
      <c r="Z423" s="64"/>
      <c r="AA423" s="54"/>
      <c r="AB423" s="54"/>
      <c r="AC423" s="54"/>
    </row>
    <row r="424" spans="1:29" ht="60" hidden="1" customHeight="1" x14ac:dyDescent="0.2">
      <c r="A424" s="69" t="s">
        <v>710</v>
      </c>
      <c r="B424" s="70"/>
      <c r="C424" s="66" t="s">
        <v>404</v>
      </c>
      <c r="D424" s="53" t="s">
        <v>58</v>
      </c>
      <c r="E424" s="54" t="s">
        <v>34</v>
      </c>
      <c r="F424" s="55" t="s">
        <v>59</v>
      </c>
      <c r="G424" s="67" t="s">
        <v>68</v>
      </c>
      <c r="H424" s="57" t="s">
        <v>37</v>
      </c>
      <c r="I424" s="55" t="s">
        <v>51</v>
      </c>
      <c r="J424" s="57" t="e">
        <f>ROUND(#REF!*2.4,-1)</f>
        <v>#REF!</v>
      </c>
      <c r="K424" s="58"/>
      <c r="L424" s="59">
        <v>0</v>
      </c>
      <c r="M424" s="60"/>
      <c r="N424" s="61"/>
      <c r="O424" s="61"/>
      <c r="P424" s="62"/>
      <c r="Q424" s="62"/>
      <c r="R424" s="62"/>
      <c r="S424" s="62"/>
      <c r="T424" s="62"/>
      <c r="U424" s="62"/>
      <c r="V424" s="62"/>
      <c r="W424" s="63"/>
      <c r="X424" s="63"/>
      <c r="Z424" s="64"/>
      <c r="AA424" s="54"/>
      <c r="AB424" s="54"/>
      <c r="AC424" s="54"/>
    </row>
    <row r="425" spans="1:29" ht="60" hidden="1" customHeight="1" x14ac:dyDescent="0.2">
      <c r="A425" s="69" t="s">
        <v>711</v>
      </c>
      <c r="B425" s="74"/>
      <c r="C425" s="66" t="s">
        <v>712</v>
      </c>
      <c r="D425" s="53" t="s">
        <v>58</v>
      </c>
      <c r="E425" s="54" t="s">
        <v>34</v>
      </c>
      <c r="F425" s="55" t="s">
        <v>59</v>
      </c>
      <c r="G425" s="56" t="s">
        <v>36</v>
      </c>
      <c r="H425" s="57" t="s">
        <v>375</v>
      </c>
      <c r="I425" s="55" t="s">
        <v>51</v>
      </c>
      <c r="J425" s="57" t="e">
        <f>ROUND(#REF!*2.4,-1)</f>
        <v>#REF!</v>
      </c>
      <c r="K425" s="58"/>
      <c r="L425" s="59">
        <f>1-1</f>
        <v>0</v>
      </c>
      <c r="M425" s="60"/>
      <c r="N425" s="61"/>
      <c r="O425" s="61"/>
      <c r="P425" s="62">
        <f>1-1</f>
        <v>0</v>
      </c>
      <c r="Q425" s="62">
        <f>1-1</f>
        <v>0</v>
      </c>
      <c r="R425" s="62">
        <f>1-1</f>
        <v>0</v>
      </c>
      <c r="S425" s="62">
        <f>1-1</f>
        <v>0</v>
      </c>
      <c r="T425" s="62">
        <f>1-1</f>
        <v>0</v>
      </c>
      <c r="U425" s="62"/>
      <c r="V425" s="62"/>
      <c r="W425" s="63"/>
      <c r="X425" s="63"/>
      <c r="Z425" s="64"/>
      <c r="AA425" s="54"/>
      <c r="AB425" s="54"/>
      <c r="AC425" s="54"/>
    </row>
    <row r="426" spans="1:29" ht="60" hidden="1" customHeight="1" x14ac:dyDescent="0.2">
      <c r="A426" s="69" t="s">
        <v>713</v>
      </c>
      <c r="B426" s="74"/>
      <c r="C426" s="87" t="s">
        <v>527</v>
      </c>
      <c r="D426" s="53" t="s">
        <v>58</v>
      </c>
      <c r="E426" s="54" t="s">
        <v>34</v>
      </c>
      <c r="F426" s="55" t="s">
        <v>59</v>
      </c>
      <c r="G426" s="67" t="s">
        <v>68</v>
      </c>
      <c r="H426" s="57" t="s">
        <v>344</v>
      </c>
      <c r="I426" s="55" t="s">
        <v>51</v>
      </c>
      <c r="J426" s="57" t="e">
        <f>ROUND(#REF!*2.4,-1)</f>
        <v>#REF!</v>
      </c>
      <c r="K426" s="58"/>
      <c r="L426" s="59">
        <v>0</v>
      </c>
      <c r="M426" s="60"/>
      <c r="N426" s="61"/>
      <c r="O426" s="61"/>
      <c r="P426" s="62"/>
      <c r="Q426" s="62"/>
      <c r="R426" s="62"/>
      <c r="S426" s="62"/>
      <c r="T426" s="62"/>
      <c r="U426" s="62"/>
      <c r="V426" s="62"/>
      <c r="W426" s="63"/>
      <c r="X426" s="63"/>
      <c r="Z426" s="64"/>
      <c r="AA426" s="54"/>
      <c r="AB426" s="54"/>
      <c r="AC426" s="54"/>
    </row>
    <row r="427" spans="1:29" ht="60" customHeight="1" x14ac:dyDescent="0.2">
      <c r="A427" s="69" t="s">
        <v>714</v>
      </c>
      <c r="B427" s="74"/>
      <c r="C427" s="66" t="s">
        <v>64</v>
      </c>
      <c r="D427" s="53" t="s">
        <v>33</v>
      </c>
      <c r="E427" s="54" t="s">
        <v>34</v>
      </c>
      <c r="F427" s="55" t="s">
        <v>287</v>
      </c>
      <c r="G427" s="67" t="s">
        <v>715</v>
      </c>
      <c r="H427" s="57" t="s">
        <v>128</v>
      </c>
      <c r="I427" s="55" t="s">
        <v>51</v>
      </c>
      <c r="J427" s="57" t="e">
        <f>ROUND(#REF!*2.4,-1)</f>
        <v>#REF!</v>
      </c>
      <c r="K427" s="58"/>
      <c r="L427" s="59">
        <f>16-16+16</f>
        <v>16</v>
      </c>
      <c r="M427" s="60"/>
      <c r="N427" s="61"/>
      <c r="O427" s="61"/>
      <c r="P427" s="62">
        <f>3-3+3</f>
        <v>3</v>
      </c>
      <c r="Q427" s="62">
        <f>5-5+5</f>
        <v>5</v>
      </c>
      <c r="R427" s="62">
        <f>5-5+5</f>
        <v>5</v>
      </c>
      <c r="S427" s="62">
        <f>3-3+3</f>
        <v>3</v>
      </c>
      <c r="T427" s="62"/>
      <c r="U427" s="62"/>
      <c r="V427" s="62"/>
      <c r="W427" s="63"/>
      <c r="X427" s="63"/>
      <c r="Z427" s="64"/>
      <c r="AA427" s="54"/>
      <c r="AB427" s="54"/>
      <c r="AC427" s="54"/>
    </row>
    <row r="428" spans="1:29" ht="60" customHeight="1" x14ac:dyDescent="0.2">
      <c r="A428" s="69" t="s">
        <v>716</v>
      </c>
      <c r="B428" s="74"/>
      <c r="C428" s="66" t="s">
        <v>205</v>
      </c>
      <c r="D428" s="53" t="s">
        <v>33</v>
      </c>
      <c r="E428" s="54" t="s">
        <v>34</v>
      </c>
      <c r="F428" s="55" t="s">
        <v>287</v>
      </c>
      <c r="G428" s="56" t="s">
        <v>36</v>
      </c>
      <c r="H428" s="57" t="s">
        <v>37</v>
      </c>
      <c r="I428" s="86" t="s">
        <v>288</v>
      </c>
      <c r="J428" s="57" t="e">
        <f>ROUND(#REF!*2.4,-1)</f>
        <v>#REF!</v>
      </c>
      <c r="K428" s="58"/>
      <c r="L428" s="59">
        <f>4-3</f>
        <v>1</v>
      </c>
      <c r="M428" s="60"/>
      <c r="N428" s="61"/>
      <c r="O428" s="61"/>
      <c r="P428" s="62"/>
      <c r="Q428" s="62">
        <f>3-2</f>
        <v>1</v>
      </c>
      <c r="R428" s="62">
        <f>1-1</f>
        <v>0</v>
      </c>
      <c r="S428" s="62">
        <f>1-1</f>
        <v>0</v>
      </c>
      <c r="T428" s="62">
        <f>1-1</f>
        <v>0</v>
      </c>
      <c r="U428" s="62">
        <f>1-1</f>
        <v>0</v>
      </c>
      <c r="V428" s="62"/>
      <c r="W428" s="63"/>
      <c r="X428" s="63"/>
      <c r="Z428" s="64"/>
      <c r="AA428" s="54"/>
      <c r="AB428" s="54"/>
      <c r="AC428" s="54"/>
    </row>
    <row r="429" spans="1:29" ht="60" hidden="1" customHeight="1" x14ac:dyDescent="0.2">
      <c r="A429" s="69" t="s">
        <v>717</v>
      </c>
      <c r="B429" s="70"/>
      <c r="C429" s="66" t="s">
        <v>283</v>
      </c>
      <c r="D429" s="53" t="s">
        <v>33</v>
      </c>
      <c r="E429" s="54" t="s">
        <v>34</v>
      </c>
      <c r="F429" s="55" t="s">
        <v>287</v>
      </c>
      <c r="G429" s="67" t="s">
        <v>41</v>
      </c>
      <c r="H429" s="57" t="s">
        <v>37</v>
      </c>
      <c r="I429" s="86" t="s">
        <v>288</v>
      </c>
      <c r="J429" s="57" t="e">
        <f>ROUND(#REF!*2.4,-1)</f>
        <v>#REF!</v>
      </c>
      <c r="K429" s="58"/>
      <c r="L429" s="59">
        <f>1-1</f>
        <v>0</v>
      </c>
      <c r="M429" s="60"/>
      <c r="N429" s="61"/>
      <c r="O429" s="61"/>
      <c r="P429" s="62"/>
      <c r="Q429" s="62">
        <f>1-1</f>
        <v>0</v>
      </c>
      <c r="R429" s="62">
        <f>6-6</f>
        <v>0</v>
      </c>
      <c r="S429" s="62">
        <f t="shared" ref="S429:U432" si="41">1-1</f>
        <v>0</v>
      </c>
      <c r="T429" s="62">
        <f t="shared" si="41"/>
        <v>0</v>
      </c>
      <c r="U429" s="62">
        <f t="shared" si="41"/>
        <v>0</v>
      </c>
      <c r="V429" s="62"/>
      <c r="W429" s="63"/>
      <c r="X429" s="63"/>
      <c r="Z429" s="64"/>
      <c r="AA429" s="54"/>
      <c r="AB429" s="54"/>
      <c r="AC429" s="54"/>
    </row>
    <row r="430" spans="1:29" ht="60" hidden="1" customHeight="1" x14ac:dyDescent="0.2">
      <c r="A430" s="69" t="s">
        <v>718</v>
      </c>
      <c r="B430" s="70"/>
      <c r="C430" s="66" t="s">
        <v>40</v>
      </c>
      <c r="D430" s="53" t="s">
        <v>33</v>
      </c>
      <c r="E430" s="54" t="s">
        <v>34</v>
      </c>
      <c r="F430" s="55" t="s">
        <v>287</v>
      </c>
      <c r="G430" s="67" t="s">
        <v>41</v>
      </c>
      <c r="H430" s="57" t="s">
        <v>37</v>
      </c>
      <c r="I430" s="86" t="s">
        <v>288</v>
      </c>
      <c r="J430" s="57" t="e">
        <f>ROUND(#REF!*2.4,-1)</f>
        <v>#REF!</v>
      </c>
      <c r="K430" s="58"/>
      <c r="L430" s="59">
        <f>1-1</f>
        <v>0</v>
      </c>
      <c r="M430" s="60"/>
      <c r="N430" s="61"/>
      <c r="O430" s="61"/>
      <c r="P430" s="62"/>
      <c r="Q430" s="62">
        <f>1-1</f>
        <v>0</v>
      </c>
      <c r="R430" s="62">
        <f>1-1</f>
        <v>0</v>
      </c>
      <c r="S430" s="62">
        <f t="shared" si="41"/>
        <v>0</v>
      </c>
      <c r="T430" s="62">
        <f t="shared" si="41"/>
        <v>0</v>
      </c>
      <c r="U430" s="62">
        <f t="shared" si="41"/>
        <v>0</v>
      </c>
      <c r="V430" s="62"/>
      <c r="W430" s="63"/>
      <c r="X430" s="63"/>
      <c r="Z430" s="64"/>
      <c r="AA430" s="54"/>
      <c r="AB430" s="54"/>
      <c r="AC430" s="54"/>
    </row>
    <row r="431" spans="1:29" ht="60" customHeight="1" x14ac:dyDescent="0.2">
      <c r="A431" s="83" t="s">
        <v>719</v>
      </c>
      <c r="B431" s="70"/>
      <c r="C431" s="66" t="s">
        <v>99</v>
      </c>
      <c r="D431" s="53" t="s">
        <v>33</v>
      </c>
      <c r="E431" s="54" t="s">
        <v>34</v>
      </c>
      <c r="F431" s="55" t="s">
        <v>287</v>
      </c>
      <c r="G431" s="56" t="s">
        <v>36</v>
      </c>
      <c r="H431" s="57" t="s">
        <v>37</v>
      </c>
      <c r="I431" s="86" t="s">
        <v>288</v>
      </c>
      <c r="J431" s="57" t="e">
        <f>ROUND(#REF!*2.4,-1)</f>
        <v>#REF!</v>
      </c>
      <c r="K431" s="58"/>
      <c r="L431" s="59">
        <f>5-2+2</f>
        <v>5</v>
      </c>
      <c r="M431" s="60"/>
      <c r="N431" s="61"/>
      <c r="O431" s="61"/>
      <c r="P431" s="62"/>
      <c r="Q431" s="62">
        <f>4-1+1</f>
        <v>4</v>
      </c>
      <c r="R431" s="62">
        <f>1-1</f>
        <v>0</v>
      </c>
      <c r="S431" s="62">
        <f>1-1</f>
        <v>0</v>
      </c>
      <c r="T431" s="62">
        <f>1-1+1</f>
        <v>1</v>
      </c>
      <c r="U431" s="62">
        <f t="shared" si="41"/>
        <v>0</v>
      </c>
      <c r="V431" s="62"/>
      <c r="W431" s="63"/>
      <c r="X431" s="63"/>
      <c r="Z431" s="64"/>
      <c r="AA431" s="54"/>
      <c r="AB431" s="54"/>
      <c r="AC431" s="54"/>
    </row>
    <row r="432" spans="1:29" ht="60" hidden="1" customHeight="1" x14ac:dyDescent="0.2">
      <c r="A432" s="83" t="s">
        <v>720</v>
      </c>
      <c r="B432" s="70"/>
      <c r="C432" s="66" t="s">
        <v>109</v>
      </c>
      <c r="D432" s="53" t="s">
        <v>33</v>
      </c>
      <c r="E432" s="54" t="s">
        <v>34</v>
      </c>
      <c r="F432" s="55" t="s">
        <v>287</v>
      </c>
      <c r="G432" s="67" t="s">
        <v>41</v>
      </c>
      <c r="H432" s="57" t="s">
        <v>37</v>
      </c>
      <c r="I432" s="86" t="s">
        <v>288</v>
      </c>
      <c r="J432" s="57" t="e">
        <f>ROUND(#REF!*2.4,-1)</f>
        <v>#REF!</v>
      </c>
      <c r="K432" s="58"/>
      <c r="L432" s="59">
        <f>2-2</f>
        <v>0</v>
      </c>
      <c r="M432" s="60"/>
      <c r="N432" s="61"/>
      <c r="O432" s="61"/>
      <c r="P432" s="62"/>
      <c r="Q432" s="62">
        <f>1-1</f>
        <v>0</v>
      </c>
      <c r="R432" s="62">
        <f>1-1</f>
        <v>0</v>
      </c>
      <c r="S432" s="62">
        <f>1-1</f>
        <v>0</v>
      </c>
      <c r="T432" s="62">
        <f t="shared" si="41"/>
        <v>0</v>
      </c>
      <c r="U432" s="62">
        <f t="shared" si="41"/>
        <v>0</v>
      </c>
      <c r="V432" s="62"/>
      <c r="W432" s="63"/>
      <c r="X432" s="63"/>
      <c r="Z432" s="64"/>
      <c r="AA432" s="54"/>
      <c r="AB432" s="54"/>
      <c r="AC432" s="54"/>
    </row>
    <row r="433" spans="1:29" ht="60" hidden="1" customHeight="1" x14ac:dyDescent="0.2">
      <c r="A433" s="83" t="s">
        <v>721</v>
      </c>
      <c r="B433" s="98"/>
      <c r="C433" s="66" t="s">
        <v>113</v>
      </c>
      <c r="D433" s="53" t="s">
        <v>33</v>
      </c>
      <c r="E433" s="54" t="s">
        <v>34</v>
      </c>
      <c r="F433" s="55" t="s">
        <v>287</v>
      </c>
      <c r="G433" s="67" t="s">
        <v>41</v>
      </c>
      <c r="H433" s="57" t="s">
        <v>646</v>
      </c>
      <c r="I433" s="86" t="s">
        <v>288</v>
      </c>
      <c r="J433" s="57" t="e">
        <f>ROUND(#REF!*2.4,-1)</f>
        <v>#REF!</v>
      </c>
      <c r="K433" s="58"/>
      <c r="L433" s="59">
        <f>1-1</f>
        <v>0</v>
      </c>
      <c r="M433" s="60"/>
      <c r="N433" s="61"/>
      <c r="O433" s="61"/>
      <c r="P433" s="62"/>
      <c r="Q433" s="62">
        <f>1-1</f>
        <v>0</v>
      </c>
      <c r="R433" s="62">
        <f>1-1</f>
        <v>0</v>
      </c>
      <c r="S433" s="62">
        <f t="shared" ref="Q433:V434" si="42">1-1</f>
        <v>0</v>
      </c>
      <c r="T433" s="62">
        <f t="shared" si="42"/>
        <v>0</v>
      </c>
      <c r="U433" s="62">
        <f>2-2</f>
        <v>0</v>
      </c>
      <c r="V433" s="62"/>
      <c r="W433" s="63"/>
      <c r="X433" s="63"/>
      <c r="Z433" s="64"/>
      <c r="AA433" s="54"/>
      <c r="AB433" s="54"/>
      <c r="AC433" s="54"/>
    </row>
    <row r="434" spans="1:29" ht="60" hidden="1" customHeight="1" x14ac:dyDescent="0.2">
      <c r="A434" s="83" t="s">
        <v>722</v>
      </c>
      <c r="B434" s="74"/>
      <c r="C434" s="66" t="s">
        <v>243</v>
      </c>
      <c r="D434" s="53" t="s">
        <v>33</v>
      </c>
      <c r="E434" s="54" t="s">
        <v>34</v>
      </c>
      <c r="F434" s="55" t="s">
        <v>287</v>
      </c>
      <c r="G434" s="67" t="s">
        <v>41</v>
      </c>
      <c r="H434" s="57" t="s">
        <v>646</v>
      </c>
      <c r="I434" s="86" t="s">
        <v>288</v>
      </c>
      <c r="J434" s="57" t="e">
        <f>ROUND(#REF!*2.4,-1)</f>
        <v>#REF!</v>
      </c>
      <c r="K434" s="58"/>
      <c r="L434" s="59">
        <f>5-5</f>
        <v>0</v>
      </c>
      <c r="M434" s="60"/>
      <c r="N434" s="61"/>
      <c r="O434" s="61"/>
      <c r="P434" s="62"/>
      <c r="Q434" s="62">
        <f t="shared" si="42"/>
        <v>0</v>
      </c>
      <c r="R434" s="62">
        <f t="shared" si="42"/>
        <v>0</v>
      </c>
      <c r="S434" s="62">
        <f t="shared" si="42"/>
        <v>0</v>
      </c>
      <c r="T434" s="62">
        <f>1-1</f>
        <v>0</v>
      </c>
      <c r="U434" s="62">
        <f>1-1</f>
        <v>0</v>
      </c>
      <c r="V434" s="62"/>
      <c r="W434" s="63"/>
      <c r="X434" s="63"/>
      <c r="Z434" s="64"/>
      <c r="AA434" s="54"/>
      <c r="AB434" s="54"/>
      <c r="AC434" s="54"/>
    </row>
    <row r="435" spans="1:29" ht="60" customHeight="1" x14ac:dyDescent="0.2">
      <c r="A435" s="83" t="s">
        <v>723</v>
      </c>
      <c r="B435" s="74"/>
      <c r="C435" s="66" t="s">
        <v>243</v>
      </c>
      <c r="D435" s="53" t="s">
        <v>33</v>
      </c>
      <c r="E435" s="54" t="s">
        <v>34</v>
      </c>
      <c r="F435" s="55" t="s">
        <v>287</v>
      </c>
      <c r="G435" s="56" t="s">
        <v>36</v>
      </c>
      <c r="H435" s="57" t="s">
        <v>646</v>
      </c>
      <c r="I435" s="86" t="s">
        <v>288</v>
      </c>
      <c r="J435" s="57" t="e">
        <f>ROUND(#REF!*2.4,-1)</f>
        <v>#REF!</v>
      </c>
      <c r="K435" s="58"/>
      <c r="L435" s="59">
        <f>5-1</f>
        <v>4</v>
      </c>
      <c r="M435" s="60"/>
      <c r="N435" s="61"/>
      <c r="O435" s="61"/>
      <c r="P435" s="62"/>
      <c r="Q435" s="62">
        <f>4-1+1</f>
        <v>4</v>
      </c>
      <c r="R435" s="62">
        <f>1-1</f>
        <v>0</v>
      </c>
      <c r="S435" s="62">
        <f>2-1-1</f>
        <v>0</v>
      </c>
      <c r="T435" s="62">
        <f>1-1</f>
        <v>0</v>
      </c>
      <c r="U435" s="62">
        <f>1-1</f>
        <v>0</v>
      </c>
      <c r="V435" s="62"/>
      <c r="W435" s="63"/>
      <c r="X435" s="63"/>
      <c r="Z435" s="64"/>
      <c r="AA435" s="54"/>
      <c r="AB435" s="54"/>
      <c r="AC435" s="54"/>
    </row>
    <row r="436" spans="1:29" ht="60" customHeight="1" x14ac:dyDescent="0.2">
      <c r="A436" s="83" t="s">
        <v>724</v>
      </c>
      <c r="B436" s="91"/>
      <c r="C436" s="66" t="s">
        <v>142</v>
      </c>
      <c r="D436" s="53" t="s">
        <v>33</v>
      </c>
      <c r="E436" s="54" t="s">
        <v>34</v>
      </c>
      <c r="F436" s="55" t="s">
        <v>287</v>
      </c>
      <c r="G436" s="56" t="s">
        <v>36</v>
      </c>
      <c r="H436" s="57" t="s">
        <v>103</v>
      </c>
      <c r="I436" s="86" t="s">
        <v>288</v>
      </c>
      <c r="J436" s="57" t="e">
        <f>ROUND(#REF!*2.4,-1)</f>
        <v>#REF!</v>
      </c>
      <c r="K436" s="58"/>
      <c r="L436" s="59">
        <f>19-19+19</f>
        <v>19</v>
      </c>
      <c r="M436" s="60"/>
      <c r="N436" s="61"/>
      <c r="O436" s="61"/>
      <c r="P436" s="62"/>
      <c r="Q436" s="62">
        <f>4-4+4</f>
        <v>4</v>
      </c>
      <c r="R436" s="62">
        <f>2-2+2</f>
        <v>2</v>
      </c>
      <c r="S436" s="62">
        <f>4-4+4</f>
        <v>4</v>
      </c>
      <c r="T436" s="62">
        <f>5-5+5</f>
        <v>5</v>
      </c>
      <c r="U436" s="62">
        <f>4-4+4</f>
        <v>4</v>
      </c>
      <c r="V436" s="62"/>
      <c r="W436" s="63"/>
      <c r="X436" s="63"/>
      <c r="Z436" s="64"/>
      <c r="AA436" s="54"/>
      <c r="AB436" s="54"/>
      <c r="AC436" s="54"/>
    </row>
    <row r="437" spans="1:29" ht="60" customHeight="1" x14ac:dyDescent="0.2">
      <c r="A437" s="83" t="s">
        <v>725</v>
      </c>
      <c r="B437" s="98"/>
      <c r="C437" s="66" t="s">
        <v>346</v>
      </c>
      <c r="D437" s="53" t="s">
        <v>33</v>
      </c>
      <c r="E437" s="54" t="s">
        <v>34</v>
      </c>
      <c r="F437" s="55" t="s">
        <v>287</v>
      </c>
      <c r="G437" s="56" t="s">
        <v>36</v>
      </c>
      <c r="H437" s="57" t="s">
        <v>103</v>
      </c>
      <c r="I437" s="86" t="s">
        <v>288</v>
      </c>
      <c r="J437" s="57" t="e">
        <f>ROUND(#REF!*2.4,-1)</f>
        <v>#REF!</v>
      </c>
      <c r="K437" s="58"/>
      <c r="L437" s="59">
        <f>4-1</f>
        <v>3</v>
      </c>
      <c r="M437" s="60"/>
      <c r="N437" s="61"/>
      <c r="O437" s="61"/>
      <c r="P437" s="62"/>
      <c r="Q437" s="62">
        <f>1-1</f>
        <v>0</v>
      </c>
      <c r="R437" s="62">
        <f>1-1</f>
        <v>0</v>
      </c>
      <c r="S437" s="62">
        <f>1-1</f>
        <v>0</v>
      </c>
      <c r="T437" s="62">
        <f>1-1+1</f>
        <v>1</v>
      </c>
      <c r="U437" s="62">
        <f>3-1</f>
        <v>2</v>
      </c>
      <c r="V437" s="62"/>
      <c r="W437" s="63"/>
      <c r="X437" s="63"/>
      <c r="Z437" s="64"/>
      <c r="AA437" s="54">
        <v>2081615</v>
      </c>
      <c r="AB437" s="54">
        <v>354</v>
      </c>
      <c r="AC437" s="54"/>
    </row>
    <row r="438" spans="1:29" ht="60" customHeight="1" x14ac:dyDescent="0.2">
      <c r="A438" s="83" t="s">
        <v>726</v>
      </c>
      <c r="B438" s="98"/>
      <c r="C438" s="66" t="s">
        <v>374</v>
      </c>
      <c r="D438" s="53" t="s">
        <v>33</v>
      </c>
      <c r="E438" s="54" t="s">
        <v>34</v>
      </c>
      <c r="F438" s="55" t="s">
        <v>287</v>
      </c>
      <c r="G438" s="56" t="s">
        <v>36</v>
      </c>
      <c r="H438" s="57" t="s">
        <v>378</v>
      </c>
      <c r="I438" s="86" t="s">
        <v>288</v>
      </c>
      <c r="J438" s="57" t="e">
        <f>ROUND(#REF!*2.4,-1)</f>
        <v>#REF!</v>
      </c>
      <c r="K438" s="58"/>
      <c r="L438" s="59">
        <f>6-1</f>
        <v>5</v>
      </c>
      <c r="M438" s="60"/>
      <c r="N438" s="61"/>
      <c r="O438" s="61"/>
      <c r="P438" s="62"/>
      <c r="Q438" s="62">
        <f>2-2+2</f>
        <v>2</v>
      </c>
      <c r="R438" s="62">
        <f>2-1</f>
        <v>1</v>
      </c>
      <c r="S438" s="62">
        <f>2-2+2</f>
        <v>2</v>
      </c>
      <c r="T438" s="62">
        <f>2-2+1-1</f>
        <v>0</v>
      </c>
      <c r="U438" s="62">
        <f>1-1</f>
        <v>0</v>
      </c>
      <c r="V438" s="62"/>
      <c r="W438" s="63"/>
      <c r="X438" s="63"/>
      <c r="Z438" s="64"/>
      <c r="AA438" s="54"/>
      <c r="AB438" s="54"/>
      <c r="AC438" s="54"/>
    </row>
    <row r="439" spans="1:29" ht="60" customHeight="1" x14ac:dyDescent="0.2">
      <c r="A439" s="90" t="s">
        <v>727</v>
      </c>
      <c r="B439" s="98"/>
      <c r="C439" s="87" t="s">
        <v>191</v>
      </c>
      <c r="D439" s="53" t="s">
        <v>33</v>
      </c>
      <c r="E439" s="54" t="s">
        <v>34</v>
      </c>
      <c r="F439" s="55" t="s">
        <v>287</v>
      </c>
      <c r="G439" s="56" t="s">
        <v>36</v>
      </c>
      <c r="H439" s="57" t="s">
        <v>37</v>
      </c>
      <c r="I439" s="55" t="s">
        <v>38</v>
      </c>
      <c r="J439" s="57" t="e">
        <f>ROUND(#REF!*2.4,-1)</f>
        <v>#REF!</v>
      </c>
      <c r="K439" s="58"/>
      <c r="L439" s="59">
        <f>2-2+2</f>
        <v>2</v>
      </c>
      <c r="M439" s="60"/>
      <c r="N439" s="61"/>
      <c r="O439" s="61"/>
      <c r="P439" s="62"/>
      <c r="Q439" s="62">
        <f>1-1+1</f>
        <v>1</v>
      </c>
      <c r="R439" s="62">
        <f>1-1+1</f>
        <v>1</v>
      </c>
      <c r="S439" s="62">
        <f>1-1</f>
        <v>0</v>
      </c>
      <c r="T439" s="62"/>
      <c r="U439" s="62"/>
      <c r="V439" s="62"/>
      <c r="W439" s="63"/>
      <c r="X439" s="63"/>
      <c r="Z439" s="64"/>
      <c r="AA439" s="54"/>
      <c r="AB439" s="54"/>
      <c r="AC439" s="54"/>
    </row>
    <row r="440" spans="1:29" ht="38.25" hidden="1" x14ac:dyDescent="0.2">
      <c r="A440" s="50" t="s">
        <v>728</v>
      </c>
      <c r="B440" s="74"/>
      <c r="C440" s="87" t="s">
        <v>182</v>
      </c>
      <c r="D440" s="53" t="s">
        <v>33</v>
      </c>
      <c r="E440" s="54" t="s">
        <v>34</v>
      </c>
      <c r="F440" s="55" t="s">
        <v>287</v>
      </c>
      <c r="G440" s="67" t="s">
        <v>41</v>
      </c>
      <c r="H440" s="57" t="s">
        <v>37</v>
      </c>
      <c r="I440" s="55" t="s">
        <v>38</v>
      </c>
      <c r="J440" s="57" t="e">
        <f>ROUND(#REF!*2.4,-1)</f>
        <v>#REF!</v>
      </c>
      <c r="K440" s="58"/>
      <c r="L440" s="59">
        <v>0</v>
      </c>
      <c r="M440" s="60"/>
      <c r="N440" s="61"/>
      <c r="O440" s="61"/>
      <c r="P440" s="62"/>
      <c r="Q440" s="62"/>
      <c r="R440" s="62"/>
      <c r="S440" s="62"/>
      <c r="T440" s="62"/>
      <c r="U440" s="62"/>
      <c r="V440" s="62"/>
      <c r="W440" s="63"/>
      <c r="X440" s="63"/>
      <c r="Z440" s="64"/>
      <c r="AA440" s="54"/>
      <c r="AB440" s="54"/>
      <c r="AC440" s="54"/>
    </row>
    <row r="441" spans="1:29" ht="38.25" hidden="1" x14ac:dyDescent="0.2">
      <c r="A441" s="50" t="s">
        <v>729</v>
      </c>
      <c r="B441" s="70"/>
      <c r="C441" s="87" t="s">
        <v>509</v>
      </c>
      <c r="D441" s="53" t="s">
        <v>33</v>
      </c>
      <c r="E441" s="54" t="s">
        <v>34</v>
      </c>
      <c r="F441" s="55" t="s">
        <v>287</v>
      </c>
      <c r="G441" s="67" t="s">
        <v>41</v>
      </c>
      <c r="H441" s="57" t="s">
        <v>37</v>
      </c>
      <c r="I441" s="55" t="s">
        <v>38</v>
      </c>
      <c r="J441" s="57" t="e">
        <f>ROUND(#REF!*2.4,-1)</f>
        <v>#REF!</v>
      </c>
      <c r="K441" s="58"/>
      <c r="L441" s="59">
        <v>0</v>
      </c>
      <c r="M441" s="60"/>
      <c r="N441" s="61"/>
      <c r="O441" s="61"/>
      <c r="P441" s="62"/>
      <c r="Q441" s="62"/>
      <c r="R441" s="62"/>
      <c r="S441" s="62"/>
      <c r="T441" s="62"/>
      <c r="U441" s="62"/>
      <c r="V441" s="62"/>
      <c r="W441" s="63"/>
      <c r="X441" s="63"/>
      <c r="Z441" s="64"/>
      <c r="AA441" s="54"/>
      <c r="AB441" s="54"/>
      <c r="AC441" s="54"/>
    </row>
    <row r="442" spans="1:29" ht="60" customHeight="1" x14ac:dyDescent="0.2">
      <c r="A442" s="69" t="s">
        <v>730</v>
      </c>
      <c r="B442" s="74"/>
      <c r="C442" s="66" t="s">
        <v>731</v>
      </c>
      <c r="D442" s="53" t="s">
        <v>33</v>
      </c>
      <c r="E442" s="54" t="s">
        <v>34</v>
      </c>
      <c r="F442" s="55" t="s">
        <v>287</v>
      </c>
      <c r="G442" s="56" t="s">
        <v>36</v>
      </c>
      <c r="H442" s="57" t="s">
        <v>37</v>
      </c>
      <c r="I442" s="55" t="s">
        <v>38</v>
      </c>
      <c r="J442" s="57" t="e">
        <f>ROUND(#REF!*2.4,-1)</f>
        <v>#REF!</v>
      </c>
      <c r="K442" s="58"/>
      <c r="L442" s="59">
        <f>12-9+9</f>
        <v>12</v>
      </c>
      <c r="M442" s="60"/>
      <c r="N442" s="61"/>
      <c r="O442" s="61"/>
      <c r="P442" s="62"/>
      <c r="Q442" s="62">
        <f>8-5+5</f>
        <v>8</v>
      </c>
      <c r="R442" s="62">
        <f>4-4+4</f>
        <v>4</v>
      </c>
      <c r="S442" s="62">
        <f>1-1</f>
        <v>0</v>
      </c>
      <c r="T442" s="62">
        <f>1-1</f>
        <v>0</v>
      </c>
      <c r="U442" s="62">
        <f>1-1</f>
        <v>0</v>
      </c>
      <c r="V442" s="62"/>
      <c r="W442" s="63"/>
      <c r="X442" s="63"/>
      <c r="Z442" s="64"/>
      <c r="AA442" s="54"/>
      <c r="AB442" s="54"/>
      <c r="AC442" s="54"/>
    </row>
    <row r="443" spans="1:29" ht="60" customHeight="1" x14ac:dyDescent="0.2">
      <c r="A443" s="69" t="s">
        <v>732</v>
      </c>
      <c r="B443" s="74"/>
      <c r="C443" s="66" t="s">
        <v>377</v>
      </c>
      <c r="D443" s="53" t="s">
        <v>33</v>
      </c>
      <c r="E443" s="54" t="s">
        <v>34</v>
      </c>
      <c r="F443" s="55" t="s">
        <v>287</v>
      </c>
      <c r="G443" s="56" t="s">
        <v>36</v>
      </c>
      <c r="H443" s="57" t="s">
        <v>37</v>
      </c>
      <c r="I443" s="55" t="s">
        <v>38</v>
      </c>
      <c r="J443" s="57" t="e">
        <f>ROUND(#REF!*2.4,-1)</f>
        <v>#REF!</v>
      </c>
      <c r="K443" s="58"/>
      <c r="L443" s="59">
        <f>3-2</f>
        <v>1</v>
      </c>
      <c r="M443" s="60"/>
      <c r="N443" s="61"/>
      <c r="O443" s="61"/>
      <c r="P443" s="62"/>
      <c r="Q443" s="62">
        <f>2-1</f>
        <v>1</v>
      </c>
      <c r="R443" s="62">
        <f>1-1</f>
        <v>0</v>
      </c>
      <c r="S443" s="62"/>
      <c r="T443" s="62"/>
      <c r="U443" s="62"/>
      <c r="V443" s="62"/>
      <c r="W443" s="63"/>
      <c r="X443" s="63"/>
      <c r="Z443" s="64"/>
      <c r="AA443" s="54"/>
      <c r="AB443" s="54"/>
      <c r="AC443" s="54"/>
    </row>
    <row r="444" spans="1:29" ht="60" hidden="1" customHeight="1" x14ac:dyDescent="0.2">
      <c r="A444" s="50" t="s">
        <v>733</v>
      </c>
      <c r="B444" s="74"/>
      <c r="C444" s="87" t="s">
        <v>734</v>
      </c>
      <c r="D444" s="57" t="s">
        <v>33</v>
      </c>
      <c r="E444" s="54" t="s">
        <v>34</v>
      </c>
      <c r="F444" s="67" t="s">
        <v>287</v>
      </c>
      <c r="G444" s="67" t="s">
        <v>41</v>
      </c>
      <c r="H444" s="57" t="s">
        <v>37</v>
      </c>
      <c r="I444" s="67" t="s">
        <v>38</v>
      </c>
      <c r="J444" s="57" t="e">
        <f>ROUND(#REF!*2.4,-1)</f>
        <v>#REF!</v>
      </c>
      <c r="K444" s="58"/>
      <c r="L444" s="59">
        <f>1-1</f>
        <v>0</v>
      </c>
      <c r="M444" s="60"/>
      <c r="N444" s="61"/>
      <c r="O444" s="61"/>
      <c r="P444" s="62"/>
      <c r="Q444" s="62">
        <f>1-1</f>
        <v>0</v>
      </c>
      <c r="R444" s="62"/>
      <c r="S444" s="62">
        <f>1-1</f>
        <v>0</v>
      </c>
      <c r="T444" s="62">
        <f>1-1</f>
        <v>0</v>
      </c>
      <c r="U444" s="62">
        <f>1-1</f>
        <v>0</v>
      </c>
      <c r="V444" s="62"/>
      <c r="W444" s="63"/>
      <c r="X444" s="63"/>
      <c r="Z444" s="64"/>
      <c r="AA444" s="54"/>
      <c r="AB444" s="54"/>
      <c r="AC444" s="54"/>
    </row>
    <row r="445" spans="1:29" ht="60" customHeight="1" x14ac:dyDescent="0.2">
      <c r="A445" s="50" t="s">
        <v>735</v>
      </c>
      <c r="B445" s="74"/>
      <c r="C445" s="66" t="s">
        <v>527</v>
      </c>
      <c r="D445" s="53" t="s">
        <v>33</v>
      </c>
      <c r="E445" s="54" t="s">
        <v>34</v>
      </c>
      <c r="F445" s="55" t="s">
        <v>287</v>
      </c>
      <c r="G445" s="56" t="s">
        <v>36</v>
      </c>
      <c r="H445" s="57" t="s">
        <v>37</v>
      </c>
      <c r="I445" s="55" t="s">
        <v>38</v>
      </c>
      <c r="J445" s="57" t="e">
        <f>ROUND(#REF!*2.4,-1)</f>
        <v>#REF!</v>
      </c>
      <c r="K445" s="58"/>
      <c r="L445" s="59">
        <f>17-1</f>
        <v>16</v>
      </c>
      <c r="M445" s="60"/>
      <c r="N445" s="61"/>
      <c r="O445" s="61"/>
      <c r="P445" s="62"/>
      <c r="Q445" s="62">
        <f>5-5+5</f>
        <v>5</v>
      </c>
      <c r="R445" s="62">
        <f>5-5+5</f>
        <v>5</v>
      </c>
      <c r="S445" s="62">
        <f>3-3+3</f>
        <v>3</v>
      </c>
      <c r="T445" s="62">
        <f>4-1</f>
        <v>3</v>
      </c>
      <c r="U445" s="62">
        <f>1-1</f>
        <v>0</v>
      </c>
      <c r="V445" s="62"/>
      <c r="W445" s="63"/>
      <c r="X445" s="63"/>
      <c r="Z445" s="64"/>
      <c r="AA445" s="54"/>
      <c r="AB445" s="54"/>
      <c r="AC445" s="54"/>
    </row>
    <row r="446" spans="1:29" ht="60" customHeight="1" x14ac:dyDescent="0.2">
      <c r="A446" s="50" t="s">
        <v>736</v>
      </c>
      <c r="B446" s="74"/>
      <c r="C446" s="66" t="s">
        <v>737</v>
      </c>
      <c r="D446" s="53" t="s">
        <v>33</v>
      </c>
      <c r="E446" s="54" t="s">
        <v>34</v>
      </c>
      <c r="F446" s="55" t="s">
        <v>287</v>
      </c>
      <c r="G446" s="56" t="s">
        <v>36</v>
      </c>
      <c r="H446" s="57" t="s">
        <v>37</v>
      </c>
      <c r="I446" s="55" t="s">
        <v>38</v>
      </c>
      <c r="J446" s="57" t="e">
        <f>ROUND(#REF!*2.4,-1)</f>
        <v>#REF!</v>
      </c>
      <c r="K446" s="58"/>
      <c r="L446" s="59">
        <f>1-1+1+2</f>
        <v>3</v>
      </c>
      <c r="M446" s="60"/>
      <c r="N446" s="61"/>
      <c r="O446" s="61"/>
      <c r="P446" s="62"/>
      <c r="Q446" s="62">
        <f>1-1+1</f>
        <v>1</v>
      </c>
      <c r="R446" s="62">
        <f>1-1+1</f>
        <v>1</v>
      </c>
      <c r="S446" s="62">
        <f>1-1+1</f>
        <v>1</v>
      </c>
      <c r="T446" s="62"/>
      <c r="U446" s="62"/>
      <c r="V446" s="62"/>
      <c r="W446" s="63"/>
      <c r="X446" s="63"/>
      <c r="Z446" s="64"/>
      <c r="AA446" s="54"/>
      <c r="AB446" s="54"/>
      <c r="AC446" s="54"/>
    </row>
    <row r="447" spans="1:29" ht="60" customHeight="1" x14ac:dyDescent="0.2">
      <c r="A447" s="50" t="s">
        <v>738</v>
      </c>
      <c r="B447" s="70"/>
      <c r="C447" s="66" t="s">
        <v>40</v>
      </c>
      <c r="D447" s="53" t="s">
        <v>33</v>
      </c>
      <c r="E447" s="54" t="s">
        <v>34</v>
      </c>
      <c r="F447" s="55" t="s">
        <v>287</v>
      </c>
      <c r="G447" s="56" t="s">
        <v>36</v>
      </c>
      <c r="H447" s="57" t="s">
        <v>37</v>
      </c>
      <c r="I447" s="55" t="s">
        <v>38</v>
      </c>
      <c r="J447" s="57" t="e">
        <f>ROUND(#REF!*2.4,-1)</f>
        <v>#REF!</v>
      </c>
      <c r="K447" s="58"/>
      <c r="L447" s="59">
        <f>3-1+1</f>
        <v>3</v>
      </c>
      <c r="M447" s="60"/>
      <c r="N447" s="61"/>
      <c r="O447" s="61"/>
      <c r="P447" s="62"/>
      <c r="Q447" s="62">
        <f>2-1</f>
        <v>1</v>
      </c>
      <c r="R447" s="62">
        <f>2-1+1</f>
        <v>2</v>
      </c>
      <c r="S447" s="62">
        <f>2-2</f>
        <v>0</v>
      </c>
      <c r="T447" s="62">
        <f>1-1+1-1</f>
        <v>0</v>
      </c>
      <c r="U447" s="62">
        <f t="shared" ref="T447:V449" si="43">1-1</f>
        <v>0</v>
      </c>
      <c r="V447" s="62"/>
      <c r="W447" s="63"/>
      <c r="X447" s="63"/>
      <c r="Z447" s="64"/>
      <c r="AA447" s="54"/>
      <c r="AB447" s="54"/>
      <c r="AC447" s="54"/>
    </row>
    <row r="448" spans="1:29" ht="60" customHeight="1" x14ac:dyDescent="0.2">
      <c r="A448" s="69" t="s">
        <v>739</v>
      </c>
      <c r="B448" s="74"/>
      <c r="C448" s="66" t="s">
        <v>399</v>
      </c>
      <c r="D448" s="53" t="s">
        <v>33</v>
      </c>
      <c r="E448" s="54" t="s">
        <v>34</v>
      </c>
      <c r="F448" s="55" t="s">
        <v>287</v>
      </c>
      <c r="G448" s="56" t="s">
        <v>36</v>
      </c>
      <c r="H448" s="57" t="s">
        <v>37</v>
      </c>
      <c r="I448" s="55" t="s">
        <v>38</v>
      </c>
      <c r="J448" s="57" t="e">
        <f>ROUND(#REF!*2.4,-1)</f>
        <v>#REF!</v>
      </c>
      <c r="K448" s="58"/>
      <c r="L448" s="59">
        <f>1-1+1</f>
        <v>1</v>
      </c>
      <c r="M448" s="60"/>
      <c r="N448" s="61"/>
      <c r="O448" s="61"/>
      <c r="P448" s="62"/>
      <c r="Q448" s="62">
        <f>1-1</f>
        <v>0</v>
      </c>
      <c r="R448" s="62">
        <f>1-1</f>
        <v>0</v>
      </c>
      <c r="S448" s="62">
        <f>1-1+1</f>
        <v>1</v>
      </c>
      <c r="T448" s="62">
        <f>1-1</f>
        <v>0</v>
      </c>
      <c r="U448" s="62">
        <f>1-1</f>
        <v>0</v>
      </c>
      <c r="V448" s="62"/>
      <c r="W448" s="63"/>
      <c r="X448" s="63"/>
      <c r="Z448" s="64"/>
      <c r="AA448" s="54"/>
      <c r="AB448" s="54"/>
      <c r="AC448" s="54"/>
    </row>
    <row r="449" spans="1:29" ht="60" customHeight="1" x14ac:dyDescent="0.2">
      <c r="A449" s="69" t="s">
        <v>740</v>
      </c>
      <c r="B449" s="70"/>
      <c r="C449" s="66" t="s">
        <v>72</v>
      </c>
      <c r="D449" s="53" t="s">
        <v>33</v>
      </c>
      <c r="E449" s="54" t="s">
        <v>34</v>
      </c>
      <c r="F449" s="55" t="s">
        <v>287</v>
      </c>
      <c r="G449" s="56" t="s">
        <v>36</v>
      </c>
      <c r="H449" s="57" t="s">
        <v>37</v>
      </c>
      <c r="I449" s="55" t="s">
        <v>38</v>
      </c>
      <c r="J449" s="57" t="e">
        <f>ROUND(#REF!*2.4,-1)</f>
        <v>#REF!</v>
      </c>
      <c r="K449" s="58"/>
      <c r="L449" s="59">
        <f>3-1+1</f>
        <v>3</v>
      </c>
      <c r="M449" s="60"/>
      <c r="N449" s="61"/>
      <c r="O449" s="61"/>
      <c r="P449" s="62"/>
      <c r="Q449" s="62">
        <f>1-1</f>
        <v>0</v>
      </c>
      <c r="R449" s="62">
        <f>1-1+1</f>
        <v>1</v>
      </c>
      <c r="S449" s="62">
        <f>2-1+1</f>
        <v>2</v>
      </c>
      <c r="T449" s="62">
        <f t="shared" si="43"/>
        <v>0</v>
      </c>
      <c r="U449" s="62">
        <f t="shared" si="43"/>
        <v>0</v>
      </c>
      <c r="V449" s="62"/>
      <c r="W449" s="63"/>
      <c r="X449" s="63"/>
      <c r="Z449" s="64"/>
      <c r="AA449" s="54"/>
      <c r="AB449" s="54"/>
      <c r="AC449" s="54"/>
    </row>
    <row r="450" spans="1:29" ht="60" hidden="1" customHeight="1" x14ac:dyDescent="0.2">
      <c r="A450" s="69" t="s">
        <v>741</v>
      </c>
      <c r="B450" s="74"/>
      <c r="C450" s="66" t="s">
        <v>692</v>
      </c>
      <c r="D450" s="53" t="s">
        <v>33</v>
      </c>
      <c r="E450" s="54" t="s">
        <v>34</v>
      </c>
      <c r="F450" s="55" t="s">
        <v>287</v>
      </c>
      <c r="G450" s="67" t="s">
        <v>41</v>
      </c>
      <c r="H450" s="57" t="s">
        <v>84</v>
      </c>
      <c r="I450" s="55" t="s">
        <v>38</v>
      </c>
      <c r="J450" s="57" t="e">
        <f>ROUND(#REF!*2.4,-1)</f>
        <v>#REF!</v>
      </c>
      <c r="K450" s="58"/>
      <c r="L450" s="59">
        <f>1-1</f>
        <v>0</v>
      </c>
      <c r="M450" s="60"/>
      <c r="N450" s="61"/>
      <c r="O450" s="61"/>
      <c r="P450" s="62"/>
      <c r="Q450" s="62"/>
      <c r="R450" s="62">
        <f>1-1</f>
        <v>0</v>
      </c>
      <c r="S450" s="62"/>
      <c r="T450" s="62"/>
      <c r="U450" s="62"/>
      <c r="V450" s="62"/>
      <c r="W450" s="63"/>
      <c r="X450" s="63"/>
      <c r="Z450" s="64"/>
      <c r="AA450" s="54"/>
      <c r="AB450" s="54"/>
      <c r="AC450" s="54"/>
    </row>
    <row r="451" spans="1:29" ht="60" hidden="1" customHeight="1" x14ac:dyDescent="0.2">
      <c r="A451" s="69" t="s">
        <v>742</v>
      </c>
      <c r="B451" s="70"/>
      <c r="C451" s="66" t="s">
        <v>743</v>
      </c>
      <c r="D451" s="53" t="s">
        <v>33</v>
      </c>
      <c r="E451" s="54" t="s">
        <v>34</v>
      </c>
      <c r="F451" s="55" t="s">
        <v>287</v>
      </c>
      <c r="G451" s="67" t="s">
        <v>41</v>
      </c>
      <c r="H451" s="57" t="s">
        <v>84</v>
      </c>
      <c r="I451" s="55" t="s">
        <v>38</v>
      </c>
      <c r="J451" s="57" t="e">
        <f>ROUND(#REF!*2.4,-1)</f>
        <v>#REF!</v>
      </c>
      <c r="K451" s="58"/>
      <c r="L451" s="59">
        <f>1-1</f>
        <v>0</v>
      </c>
      <c r="M451" s="60"/>
      <c r="N451" s="61"/>
      <c r="O451" s="61"/>
      <c r="P451" s="62"/>
      <c r="Q451" s="62">
        <f>1-1</f>
        <v>0</v>
      </c>
      <c r="R451" s="62"/>
      <c r="S451" s="62"/>
      <c r="T451" s="62"/>
      <c r="U451" s="62"/>
      <c r="V451" s="62"/>
      <c r="W451" s="63"/>
      <c r="X451" s="63"/>
      <c r="Z451" s="64"/>
      <c r="AA451" s="54"/>
      <c r="AB451" s="54"/>
      <c r="AC451" s="54"/>
    </row>
    <row r="452" spans="1:29" ht="60" customHeight="1" x14ac:dyDescent="0.2">
      <c r="A452" s="69" t="s">
        <v>744</v>
      </c>
      <c r="B452" s="74"/>
      <c r="C452" s="66" t="s">
        <v>745</v>
      </c>
      <c r="D452" s="53" t="s">
        <v>33</v>
      </c>
      <c r="E452" s="54" t="s">
        <v>34</v>
      </c>
      <c r="F452" s="55" t="s">
        <v>287</v>
      </c>
      <c r="G452" s="56" t="s">
        <v>36</v>
      </c>
      <c r="H452" s="57" t="s">
        <v>378</v>
      </c>
      <c r="I452" s="55" t="s">
        <v>38</v>
      </c>
      <c r="J452" s="57" t="e">
        <f>ROUND(#REF!*2.4,-1)</f>
        <v>#REF!</v>
      </c>
      <c r="K452" s="58"/>
      <c r="L452" s="59">
        <f>1-1+1</f>
        <v>1</v>
      </c>
      <c r="M452" s="60"/>
      <c r="N452" s="61"/>
      <c r="O452" s="61"/>
      <c r="P452" s="62"/>
      <c r="Q452" s="62"/>
      <c r="R452" s="62">
        <f>1-1</f>
        <v>0</v>
      </c>
      <c r="S452" s="62">
        <f>1-1+1</f>
        <v>1</v>
      </c>
      <c r="T452" s="62"/>
      <c r="U452" s="62"/>
      <c r="V452" s="62"/>
      <c r="W452" s="63"/>
      <c r="X452" s="63"/>
      <c r="Z452" s="64"/>
      <c r="AA452" s="54"/>
      <c r="AB452" s="54"/>
      <c r="AC452" s="54"/>
    </row>
    <row r="453" spans="1:29" ht="60" customHeight="1" x14ac:dyDescent="0.2">
      <c r="A453" s="69" t="s">
        <v>746</v>
      </c>
      <c r="B453" s="74"/>
      <c r="C453" s="87" t="s">
        <v>692</v>
      </c>
      <c r="D453" s="53" t="s">
        <v>33</v>
      </c>
      <c r="E453" s="54" t="s">
        <v>34</v>
      </c>
      <c r="F453" s="55" t="s">
        <v>287</v>
      </c>
      <c r="G453" s="56" t="s">
        <v>36</v>
      </c>
      <c r="H453" s="57" t="s">
        <v>378</v>
      </c>
      <c r="I453" s="55" t="s">
        <v>38</v>
      </c>
      <c r="J453" s="57" t="e">
        <f>ROUND(#REF!*2.4,-1)</f>
        <v>#REF!</v>
      </c>
      <c r="K453" s="58"/>
      <c r="L453" s="59">
        <f>2-1</f>
        <v>1</v>
      </c>
      <c r="M453" s="60"/>
      <c r="N453" s="61"/>
      <c r="O453" s="61"/>
      <c r="P453" s="62"/>
      <c r="Q453" s="62"/>
      <c r="R453" s="62">
        <f>1</f>
        <v>1</v>
      </c>
      <c r="S453" s="62">
        <f>1-1</f>
        <v>0</v>
      </c>
      <c r="T453" s="62"/>
      <c r="U453" s="62"/>
      <c r="V453" s="62"/>
      <c r="W453" s="63"/>
      <c r="X453" s="63"/>
      <c r="Z453" s="64"/>
      <c r="AA453" s="54"/>
      <c r="AB453" s="54"/>
      <c r="AC453" s="54"/>
    </row>
    <row r="454" spans="1:29" ht="60" customHeight="1" x14ac:dyDescent="0.2">
      <c r="A454" s="69" t="s">
        <v>747</v>
      </c>
      <c r="B454" s="74"/>
      <c r="C454" s="66" t="s">
        <v>377</v>
      </c>
      <c r="D454" s="53" t="s">
        <v>33</v>
      </c>
      <c r="E454" s="54" t="s">
        <v>34</v>
      </c>
      <c r="F454" s="55" t="s">
        <v>287</v>
      </c>
      <c r="G454" s="56" t="s">
        <v>36</v>
      </c>
      <c r="H454" s="57" t="s">
        <v>378</v>
      </c>
      <c r="I454" s="55" t="s">
        <v>38</v>
      </c>
      <c r="J454" s="57" t="e">
        <f>ROUND(#REF!*2.4,-1)</f>
        <v>#REF!</v>
      </c>
      <c r="K454" s="58"/>
      <c r="L454" s="59">
        <f>23-22+22</f>
        <v>23</v>
      </c>
      <c r="M454" s="60"/>
      <c r="N454" s="61"/>
      <c r="O454" s="61"/>
      <c r="P454" s="62"/>
      <c r="Q454" s="62">
        <f>6-5+5</f>
        <v>6</v>
      </c>
      <c r="R454" s="62">
        <f>5-5+5</f>
        <v>5</v>
      </c>
      <c r="S454" s="62">
        <f>4-4+4</f>
        <v>4</v>
      </c>
      <c r="T454" s="62">
        <f>5-5+5</f>
        <v>5</v>
      </c>
      <c r="U454" s="62">
        <f>3-3+3</f>
        <v>3</v>
      </c>
      <c r="V454" s="62"/>
      <c r="W454" s="63"/>
      <c r="X454" s="63"/>
      <c r="Z454" s="64"/>
      <c r="AA454" s="54"/>
      <c r="AB454" s="54"/>
      <c r="AC454" s="54"/>
    </row>
    <row r="455" spans="1:29" ht="38.25" x14ac:dyDescent="0.2">
      <c r="A455" s="69">
        <v>210338</v>
      </c>
      <c r="B455" s="78"/>
      <c r="C455" s="66" t="s">
        <v>748</v>
      </c>
      <c r="D455" s="57" t="s">
        <v>48</v>
      </c>
      <c r="E455" s="54" t="s">
        <v>34</v>
      </c>
      <c r="F455" s="67" t="s">
        <v>749</v>
      </c>
      <c r="G455" s="56" t="s">
        <v>36</v>
      </c>
      <c r="H455" s="68" t="s">
        <v>37</v>
      </c>
      <c r="I455" s="57" t="s">
        <v>38</v>
      </c>
      <c r="J455" s="57" t="e">
        <f>ROUND(#REF!*2.4,-1)</f>
        <v>#REF!</v>
      </c>
      <c r="K455" s="58"/>
      <c r="L455" s="59">
        <f>1-1+1</f>
        <v>1</v>
      </c>
      <c r="M455" s="60"/>
      <c r="N455" s="61"/>
      <c r="O455" s="61"/>
      <c r="P455" s="77"/>
      <c r="Q455" s="77"/>
      <c r="R455" s="77"/>
      <c r="S455" s="77"/>
      <c r="T455" s="77">
        <f>1-1+1</f>
        <v>1</v>
      </c>
      <c r="U455" s="77"/>
      <c r="V455" s="77"/>
      <c r="W455" s="63"/>
      <c r="X455" s="63"/>
      <c r="Z455" s="64"/>
      <c r="AA455" s="54"/>
      <c r="AB455" s="54"/>
      <c r="AC455" s="54"/>
    </row>
    <row r="456" spans="1:29" ht="38.25" hidden="1" x14ac:dyDescent="0.2">
      <c r="A456" s="50">
        <v>230803</v>
      </c>
      <c r="B456" s="99"/>
      <c r="C456" s="100" t="s">
        <v>750</v>
      </c>
      <c r="D456" s="101" t="s">
        <v>48</v>
      </c>
      <c r="E456" s="100" t="s">
        <v>34</v>
      </c>
      <c r="F456" s="102" t="s">
        <v>749</v>
      </c>
      <c r="G456" s="67" t="s">
        <v>68</v>
      </c>
      <c r="H456" s="68" t="s">
        <v>37</v>
      </c>
      <c r="I456" s="103" t="s">
        <v>38</v>
      </c>
      <c r="J456" s="57" t="e">
        <f>ROUND(#REF!*2.4,-1)</f>
        <v>#REF!</v>
      </c>
      <c r="K456" s="58"/>
      <c r="L456" s="59">
        <v>0</v>
      </c>
      <c r="M456" s="60"/>
      <c r="N456" s="61"/>
      <c r="O456" s="61"/>
      <c r="P456" s="104"/>
      <c r="Q456" s="104"/>
      <c r="R456" s="104"/>
      <c r="S456" s="104"/>
      <c r="T456" s="104"/>
      <c r="U456" s="104"/>
      <c r="V456" s="104"/>
      <c r="W456" s="63"/>
      <c r="X456" s="63"/>
      <c r="Z456" s="63"/>
      <c r="AA456" s="54"/>
      <c r="AB456" s="54"/>
      <c r="AC456" s="54"/>
    </row>
    <row r="457" spans="1:29" ht="60" hidden="1" customHeight="1" x14ac:dyDescent="0.2">
      <c r="A457" s="69" t="s">
        <v>751</v>
      </c>
      <c r="B457" s="74"/>
      <c r="C457" s="87" t="s">
        <v>519</v>
      </c>
      <c r="D457" s="53" t="s">
        <v>48</v>
      </c>
      <c r="E457" s="54" t="s">
        <v>34</v>
      </c>
      <c r="F457" s="55" t="s">
        <v>752</v>
      </c>
      <c r="G457" s="67" t="s">
        <v>50</v>
      </c>
      <c r="H457" s="57" t="s">
        <v>37</v>
      </c>
      <c r="I457" s="55" t="s">
        <v>51</v>
      </c>
      <c r="J457" s="57" t="e">
        <f>ROUND(#REF!*2.4,-1)</f>
        <v>#REF!</v>
      </c>
      <c r="K457" s="58"/>
      <c r="L457" s="59">
        <v>0</v>
      </c>
      <c r="M457" s="60"/>
      <c r="N457" s="61"/>
      <c r="O457" s="61"/>
      <c r="P457" s="62"/>
      <c r="Q457" s="62"/>
      <c r="R457" s="62"/>
      <c r="S457" s="62"/>
      <c r="T457" s="62"/>
      <c r="U457" s="62"/>
      <c r="V457" s="62"/>
      <c r="W457" s="63"/>
      <c r="X457" s="63"/>
      <c r="Z457" s="71"/>
      <c r="AA457" s="54"/>
      <c r="AB457" s="54"/>
      <c r="AC457" s="54"/>
    </row>
    <row r="458" spans="1:29" ht="60" hidden="1" customHeight="1" x14ac:dyDescent="0.2">
      <c r="A458" s="69" t="s">
        <v>753</v>
      </c>
      <c r="B458" s="74"/>
      <c r="C458" s="87" t="s">
        <v>451</v>
      </c>
      <c r="D458" s="53" t="s">
        <v>48</v>
      </c>
      <c r="E458" s="54" t="s">
        <v>34</v>
      </c>
      <c r="F458" s="55" t="s">
        <v>121</v>
      </c>
      <c r="G458" s="67" t="s">
        <v>50</v>
      </c>
      <c r="H458" s="57" t="s">
        <v>60</v>
      </c>
      <c r="I458" s="55" t="s">
        <v>51</v>
      </c>
      <c r="J458" s="57" t="e">
        <f>ROUND(#REF!*2.4,-1)</f>
        <v>#REF!</v>
      </c>
      <c r="K458" s="58"/>
      <c r="L458" s="59">
        <f>1-1</f>
        <v>0</v>
      </c>
      <c r="M458" s="60"/>
      <c r="N458" s="61"/>
      <c r="O458" s="61"/>
      <c r="P458" s="62"/>
      <c r="Q458" s="62">
        <f>1-1</f>
        <v>0</v>
      </c>
      <c r="R458" s="62">
        <f>3-3</f>
        <v>0</v>
      </c>
      <c r="S458" s="62">
        <f>1-1</f>
        <v>0</v>
      </c>
      <c r="T458" s="62">
        <f>3-3</f>
        <v>0</v>
      </c>
      <c r="U458" s="62">
        <f>2-2</f>
        <v>0</v>
      </c>
      <c r="V458" s="62"/>
      <c r="W458" s="63"/>
      <c r="X458" s="63"/>
      <c r="Z458" s="64"/>
      <c r="AA458" s="54">
        <v>2820249</v>
      </c>
      <c r="AB458" s="54">
        <v>346</v>
      </c>
      <c r="AC458" s="54"/>
    </row>
    <row r="459" spans="1:29" ht="60" customHeight="1" x14ac:dyDescent="0.2">
      <c r="A459" s="69" t="s">
        <v>754</v>
      </c>
      <c r="B459" s="78"/>
      <c r="C459" s="87" t="s">
        <v>451</v>
      </c>
      <c r="D459" s="53" t="s">
        <v>48</v>
      </c>
      <c r="E459" s="54" t="s">
        <v>34</v>
      </c>
      <c r="F459" s="55" t="s">
        <v>121</v>
      </c>
      <c r="G459" s="56" t="s">
        <v>36</v>
      </c>
      <c r="H459" s="57" t="s">
        <v>123</v>
      </c>
      <c r="I459" s="55" t="s">
        <v>51</v>
      </c>
      <c r="J459" s="57" t="e">
        <f>ROUND(#REF!*2.4,-1)</f>
        <v>#REF!</v>
      </c>
      <c r="K459" s="58"/>
      <c r="L459" s="59">
        <f>2-1</f>
        <v>1</v>
      </c>
      <c r="M459" s="60"/>
      <c r="N459" s="61"/>
      <c r="O459" s="61"/>
      <c r="P459" s="62"/>
      <c r="Q459" s="62">
        <f>1-1</f>
        <v>0</v>
      </c>
      <c r="R459" s="62">
        <f>1-1</f>
        <v>0</v>
      </c>
      <c r="S459" s="62"/>
      <c r="T459" s="62"/>
      <c r="U459" s="62">
        <f>2-1</f>
        <v>1</v>
      </c>
      <c r="V459" s="62"/>
      <c r="W459" s="63"/>
      <c r="X459" s="63"/>
      <c r="Z459" s="64"/>
      <c r="AA459" s="54"/>
      <c r="AB459" s="54"/>
      <c r="AC459" s="54"/>
    </row>
    <row r="460" spans="1:29" ht="60" hidden="1" customHeight="1" x14ac:dyDescent="0.2">
      <c r="A460" s="69" t="s">
        <v>755</v>
      </c>
      <c r="B460" s="74"/>
      <c r="C460" s="87" t="s">
        <v>756</v>
      </c>
      <c r="D460" s="53" t="s">
        <v>48</v>
      </c>
      <c r="E460" s="54" t="s">
        <v>34</v>
      </c>
      <c r="F460" s="55" t="s">
        <v>121</v>
      </c>
      <c r="G460" s="67" t="s">
        <v>50</v>
      </c>
      <c r="H460" s="57" t="s">
        <v>123</v>
      </c>
      <c r="I460" s="55" t="s">
        <v>51</v>
      </c>
      <c r="J460" s="57" t="e">
        <f>ROUND(#REF!*2.4,-1)</f>
        <v>#REF!</v>
      </c>
      <c r="K460" s="58"/>
      <c r="L460" s="59">
        <v>0</v>
      </c>
      <c r="M460" s="60"/>
      <c r="N460" s="61"/>
      <c r="O460" s="61"/>
      <c r="P460" s="62"/>
      <c r="Q460" s="62"/>
      <c r="R460" s="62"/>
      <c r="S460" s="62"/>
      <c r="T460" s="62"/>
      <c r="U460" s="62"/>
      <c r="V460" s="62"/>
      <c r="W460" s="63"/>
      <c r="X460" s="63"/>
      <c r="Z460" s="64"/>
      <c r="AA460" s="54"/>
      <c r="AB460" s="54"/>
      <c r="AC460" s="54"/>
    </row>
    <row r="461" spans="1:29" ht="60" hidden="1" customHeight="1" x14ac:dyDescent="0.2">
      <c r="A461" s="69" t="s">
        <v>757</v>
      </c>
      <c r="B461" s="74"/>
      <c r="C461" s="66" t="s">
        <v>360</v>
      </c>
      <c r="D461" s="53" t="s">
        <v>48</v>
      </c>
      <c r="E461" s="54" t="s">
        <v>34</v>
      </c>
      <c r="F461" s="55" t="s">
        <v>121</v>
      </c>
      <c r="G461" s="67" t="s">
        <v>50</v>
      </c>
      <c r="H461" s="57" t="s">
        <v>123</v>
      </c>
      <c r="I461" s="55" t="s">
        <v>51</v>
      </c>
      <c r="J461" s="57" t="e">
        <f>ROUND(#REF!*2.4,-1)</f>
        <v>#REF!</v>
      </c>
      <c r="K461" s="58"/>
      <c r="L461" s="59">
        <v>0</v>
      </c>
      <c r="M461" s="60"/>
      <c r="N461" s="61"/>
      <c r="O461" s="61"/>
      <c r="P461" s="62"/>
      <c r="Q461" s="62"/>
      <c r="R461" s="62"/>
      <c r="S461" s="62"/>
      <c r="T461" s="62"/>
      <c r="U461" s="62"/>
      <c r="V461" s="62"/>
      <c r="W461" s="63"/>
      <c r="X461" s="63"/>
      <c r="Z461" s="64"/>
      <c r="AA461" s="54"/>
      <c r="AB461" s="54"/>
      <c r="AC461" s="54"/>
    </row>
    <row r="462" spans="1:29" ht="60" hidden="1" customHeight="1" x14ac:dyDescent="0.2">
      <c r="A462" s="69" t="s">
        <v>758</v>
      </c>
      <c r="B462" s="74"/>
      <c r="C462" s="66" t="s">
        <v>759</v>
      </c>
      <c r="D462" s="53" t="s">
        <v>48</v>
      </c>
      <c r="E462" s="54" t="s">
        <v>34</v>
      </c>
      <c r="F462" s="55" t="s">
        <v>121</v>
      </c>
      <c r="G462" s="67" t="s">
        <v>50</v>
      </c>
      <c r="H462" s="57" t="s">
        <v>123</v>
      </c>
      <c r="I462" s="55" t="s">
        <v>51</v>
      </c>
      <c r="J462" s="57" t="e">
        <f>ROUND(#REF!*2.4,-1)</f>
        <v>#REF!</v>
      </c>
      <c r="K462" s="58"/>
      <c r="L462" s="59">
        <f>1-1</f>
        <v>0</v>
      </c>
      <c r="M462" s="60"/>
      <c r="N462" s="61"/>
      <c r="O462" s="61"/>
      <c r="P462" s="62"/>
      <c r="Q462" s="62">
        <f>1-1</f>
        <v>0</v>
      </c>
      <c r="R462" s="62"/>
      <c r="S462" s="62">
        <f>1-1</f>
        <v>0</v>
      </c>
      <c r="T462" s="62">
        <f>1-1</f>
        <v>0</v>
      </c>
      <c r="U462" s="62">
        <f>1-1</f>
        <v>0</v>
      </c>
      <c r="V462" s="62"/>
      <c r="W462" s="63"/>
      <c r="X462" s="63"/>
      <c r="Z462" s="64"/>
      <c r="AA462" s="54"/>
      <c r="AB462" s="54"/>
      <c r="AC462" s="54"/>
    </row>
    <row r="463" spans="1:29" ht="60" hidden="1" customHeight="1" x14ac:dyDescent="0.2">
      <c r="A463" s="69" t="s">
        <v>760</v>
      </c>
      <c r="B463" s="74"/>
      <c r="C463" s="66" t="s">
        <v>362</v>
      </c>
      <c r="D463" s="53" t="s">
        <v>48</v>
      </c>
      <c r="E463" s="54" t="s">
        <v>34</v>
      </c>
      <c r="F463" s="55" t="s">
        <v>121</v>
      </c>
      <c r="G463" s="56" t="s">
        <v>36</v>
      </c>
      <c r="H463" s="57" t="s">
        <v>123</v>
      </c>
      <c r="I463" s="55" t="s">
        <v>51</v>
      </c>
      <c r="J463" s="57" t="e">
        <f>ROUND(#REF!*2.4,-1)</f>
        <v>#REF!</v>
      </c>
      <c r="K463" s="58"/>
      <c r="L463" s="59">
        <f>1-1</f>
        <v>0</v>
      </c>
      <c r="M463" s="60"/>
      <c r="N463" s="61"/>
      <c r="O463" s="61"/>
      <c r="P463" s="62"/>
      <c r="Q463" s="62"/>
      <c r="R463" s="62"/>
      <c r="S463" s="62"/>
      <c r="T463" s="62"/>
      <c r="U463" s="62">
        <f>1-1</f>
        <v>0</v>
      </c>
      <c r="V463" s="62"/>
      <c r="W463" s="63"/>
      <c r="X463" s="63"/>
      <c r="Z463" s="64"/>
      <c r="AA463" s="54"/>
      <c r="AB463" s="54"/>
      <c r="AC463" s="54"/>
    </row>
    <row r="464" spans="1:29" ht="60" hidden="1" customHeight="1" x14ac:dyDescent="0.2">
      <c r="A464" s="69" t="s">
        <v>761</v>
      </c>
      <c r="B464" s="51"/>
      <c r="C464" s="66" t="s">
        <v>101</v>
      </c>
      <c r="D464" s="53" t="s">
        <v>762</v>
      </c>
      <c r="E464" s="68" t="s">
        <v>34</v>
      </c>
      <c r="F464" s="55" t="s">
        <v>762</v>
      </c>
      <c r="G464" s="105" t="s">
        <v>762</v>
      </c>
      <c r="H464" s="57" t="s">
        <v>123</v>
      </c>
      <c r="I464" s="55" t="s">
        <v>51</v>
      </c>
      <c r="J464" s="57" t="e">
        <f>ROUND(#REF!*2.4,-1)</f>
        <v>#REF!</v>
      </c>
      <c r="K464" s="58"/>
      <c r="L464" s="59">
        <f>1-1</f>
        <v>0</v>
      </c>
      <c r="M464" s="60"/>
      <c r="N464" s="61"/>
      <c r="O464" s="61"/>
      <c r="P464" s="62">
        <f>1-1</f>
        <v>0</v>
      </c>
      <c r="Q464" s="59">
        <f>1-1</f>
        <v>0</v>
      </c>
      <c r="R464" s="59">
        <f>1-1</f>
        <v>0</v>
      </c>
      <c r="S464" s="59">
        <f>1-1</f>
        <v>0</v>
      </c>
      <c r="T464" s="59">
        <f>1-1</f>
        <v>0</v>
      </c>
      <c r="U464" s="62"/>
      <c r="V464" s="62"/>
      <c r="W464" s="63"/>
      <c r="X464" s="63"/>
      <c r="Z464" s="64"/>
      <c r="AA464" s="54"/>
      <c r="AB464" s="54"/>
      <c r="AC464" s="54"/>
    </row>
    <row r="465" spans="1:29" ht="60" hidden="1" customHeight="1" x14ac:dyDescent="0.2">
      <c r="A465" s="69" t="s">
        <v>763</v>
      </c>
      <c r="B465" s="74"/>
      <c r="C465" s="87" t="s">
        <v>625</v>
      </c>
      <c r="D465" s="53" t="s">
        <v>48</v>
      </c>
      <c r="E465" s="54" t="s">
        <v>34</v>
      </c>
      <c r="F465" s="55" t="s">
        <v>121</v>
      </c>
      <c r="G465" s="67" t="s">
        <v>50</v>
      </c>
      <c r="H465" s="57" t="s">
        <v>123</v>
      </c>
      <c r="I465" s="55" t="s">
        <v>51</v>
      </c>
      <c r="J465" s="57" t="e">
        <f>ROUND(#REF!*2.4,-1)</f>
        <v>#REF!</v>
      </c>
      <c r="K465" s="58"/>
      <c r="L465" s="59">
        <v>0</v>
      </c>
      <c r="M465" s="60"/>
      <c r="N465" s="61"/>
      <c r="O465" s="61"/>
      <c r="P465" s="62"/>
      <c r="Q465" s="62"/>
      <c r="R465" s="62"/>
      <c r="S465" s="62"/>
      <c r="T465" s="62"/>
      <c r="U465" s="62"/>
      <c r="V465" s="62"/>
      <c r="W465" s="63"/>
      <c r="X465" s="63"/>
      <c r="Z465" s="64"/>
      <c r="AA465" s="54"/>
      <c r="AB465" s="54"/>
      <c r="AC465" s="54"/>
    </row>
    <row r="466" spans="1:29" ht="60" customHeight="1" x14ac:dyDescent="0.2">
      <c r="A466" s="69" t="s">
        <v>764</v>
      </c>
      <c r="B466" s="74"/>
      <c r="C466" s="66" t="s">
        <v>365</v>
      </c>
      <c r="D466" s="53" t="s">
        <v>48</v>
      </c>
      <c r="E466" s="54" t="s">
        <v>34</v>
      </c>
      <c r="F466" s="55" t="s">
        <v>121</v>
      </c>
      <c r="G466" s="56" t="s">
        <v>36</v>
      </c>
      <c r="H466" s="57" t="s">
        <v>123</v>
      </c>
      <c r="I466" s="55" t="s">
        <v>51</v>
      </c>
      <c r="J466" s="57" t="e">
        <f>ROUND(#REF!*2.4,-1)</f>
        <v>#REF!</v>
      </c>
      <c r="K466" s="58"/>
      <c r="L466" s="59">
        <f>3-1</f>
        <v>2</v>
      </c>
      <c r="M466" s="60"/>
      <c r="N466" s="61"/>
      <c r="O466" s="61"/>
      <c r="P466" s="62"/>
      <c r="Q466" s="62">
        <f>1-1</f>
        <v>0</v>
      </c>
      <c r="R466" s="62">
        <f>1-1+1</f>
        <v>1</v>
      </c>
      <c r="S466" s="62">
        <f t="shared" ref="R466:U467" si="44">1-1</f>
        <v>0</v>
      </c>
      <c r="T466" s="62">
        <f t="shared" si="44"/>
        <v>0</v>
      </c>
      <c r="U466" s="62">
        <f>3-2</f>
        <v>1</v>
      </c>
      <c r="V466" s="62"/>
      <c r="W466" s="63"/>
      <c r="X466" s="63"/>
      <c r="Z466" s="64"/>
      <c r="AA466" s="54"/>
      <c r="AB466" s="54"/>
      <c r="AC466" s="54"/>
    </row>
    <row r="467" spans="1:29" ht="60" hidden="1" customHeight="1" x14ac:dyDescent="0.2">
      <c r="A467" s="72" t="s">
        <v>765</v>
      </c>
      <c r="B467" s="74"/>
      <c r="C467" s="66" t="s">
        <v>367</v>
      </c>
      <c r="D467" s="53" t="s">
        <v>48</v>
      </c>
      <c r="E467" s="54" t="s">
        <v>34</v>
      </c>
      <c r="F467" s="55" t="s">
        <v>49</v>
      </c>
      <c r="G467" s="56" t="s">
        <v>36</v>
      </c>
      <c r="H467" s="57" t="s">
        <v>123</v>
      </c>
      <c r="I467" s="55" t="s">
        <v>51</v>
      </c>
      <c r="J467" s="57" t="e">
        <f>ROUND(#REF!*2.4,-1)</f>
        <v>#REF!</v>
      </c>
      <c r="K467" s="58"/>
      <c r="L467" s="59">
        <f>1-1</f>
        <v>0</v>
      </c>
      <c r="M467" s="60"/>
      <c r="N467" s="61"/>
      <c r="O467" s="61"/>
      <c r="P467" s="62"/>
      <c r="Q467" s="62">
        <f>1-1+1-1</f>
        <v>0</v>
      </c>
      <c r="R467" s="62">
        <f t="shared" si="44"/>
        <v>0</v>
      </c>
      <c r="S467" s="62">
        <f t="shared" si="44"/>
        <v>0</v>
      </c>
      <c r="T467" s="62">
        <f>1-1</f>
        <v>0</v>
      </c>
      <c r="U467" s="62">
        <f>1-1</f>
        <v>0</v>
      </c>
      <c r="V467" s="62"/>
      <c r="W467" s="63"/>
      <c r="X467" s="63"/>
      <c r="Z467" s="64"/>
      <c r="AA467" s="54"/>
      <c r="AB467" s="54"/>
      <c r="AC467" s="54"/>
    </row>
    <row r="468" spans="1:29" ht="60" hidden="1" customHeight="1" x14ac:dyDescent="0.2">
      <c r="A468" s="69" t="s">
        <v>766</v>
      </c>
      <c r="B468" s="74"/>
      <c r="C468" s="87" t="s">
        <v>690</v>
      </c>
      <c r="D468" s="53" t="s">
        <v>48</v>
      </c>
      <c r="E468" s="54" t="s">
        <v>34</v>
      </c>
      <c r="F468" s="55" t="s">
        <v>121</v>
      </c>
      <c r="G468" s="67" t="s">
        <v>50</v>
      </c>
      <c r="H468" s="57" t="s">
        <v>84</v>
      </c>
      <c r="I468" s="55" t="s">
        <v>51</v>
      </c>
      <c r="J468" s="57" t="e">
        <f>ROUND(#REF!*2.4,-1)</f>
        <v>#REF!</v>
      </c>
      <c r="K468" s="58"/>
      <c r="L468" s="59">
        <v>0</v>
      </c>
      <c r="M468" s="60"/>
      <c r="N468" s="61"/>
      <c r="O468" s="61"/>
      <c r="P468" s="62"/>
      <c r="Q468" s="62"/>
      <c r="R468" s="62"/>
      <c r="S468" s="62"/>
      <c r="T468" s="62"/>
      <c r="U468" s="62"/>
      <c r="V468" s="62"/>
      <c r="W468" s="63"/>
      <c r="X468" s="63"/>
      <c r="Z468" s="64"/>
      <c r="AA468" s="54"/>
      <c r="AB468" s="54"/>
      <c r="AC468" s="54"/>
    </row>
    <row r="469" spans="1:29" ht="60" hidden="1" customHeight="1" x14ac:dyDescent="0.2">
      <c r="A469" s="69" t="s">
        <v>767</v>
      </c>
      <c r="B469" s="70"/>
      <c r="C469" s="87" t="s">
        <v>456</v>
      </c>
      <c r="D469" s="53" t="s">
        <v>48</v>
      </c>
      <c r="E469" s="54" t="s">
        <v>34</v>
      </c>
      <c r="F469" s="55" t="s">
        <v>121</v>
      </c>
      <c r="G469" s="67" t="s">
        <v>50</v>
      </c>
      <c r="H469" s="57" t="s">
        <v>84</v>
      </c>
      <c r="I469" s="55" t="s">
        <v>51</v>
      </c>
      <c r="J469" s="57" t="e">
        <f>ROUND(#REF!*2.4,-1)</f>
        <v>#REF!</v>
      </c>
      <c r="K469" s="58"/>
      <c r="L469" s="59">
        <v>0</v>
      </c>
      <c r="M469" s="60"/>
      <c r="N469" s="61"/>
      <c r="O469" s="61"/>
      <c r="P469" s="62"/>
      <c r="Q469" s="62"/>
      <c r="R469" s="62"/>
      <c r="S469" s="62"/>
      <c r="T469" s="62"/>
      <c r="U469" s="62"/>
      <c r="V469" s="62"/>
      <c r="W469" s="63"/>
      <c r="X469" s="63"/>
      <c r="Z469" s="64"/>
      <c r="AA469" s="54"/>
      <c r="AB469" s="54"/>
      <c r="AC469" s="54"/>
    </row>
    <row r="470" spans="1:29" ht="60" hidden="1" customHeight="1" x14ac:dyDescent="0.2">
      <c r="A470" s="69" t="s">
        <v>768</v>
      </c>
      <c r="B470" s="51"/>
      <c r="C470" s="66" t="s">
        <v>594</v>
      </c>
      <c r="D470" s="53" t="s">
        <v>48</v>
      </c>
      <c r="E470" s="54" t="s">
        <v>34</v>
      </c>
      <c r="F470" s="55" t="s">
        <v>121</v>
      </c>
      <c r="G470" s="67" t="s">
        <v>50</v>
      </c>
      <c r="H470" s="57" t="s">
        <v>84</v>
      </c>
      <c r="I470" s="55" t="s">
        <v>51</v>
      </c>
      <c r="J470" s="57" t="e">
        <f>ROUND(#REF!*2.4,-1)</f>
        <v>#REF!</v>
      </c>
      <c r="K470" s="58"/>
      <c r="L470" s="59">
        <f>1-1</f>
        <v>0</v>
      </c>
      <c r="M470" s="60"/>
      <c r="N470" s="61"/>
      <c r="O470" s="61"/>
      <c r="P470" s="62"/>
      <c r="Q470" s="62">
        <f>1-1</f>
        <v>0</v>
      </c>
      <c r="R470" s="62">
        <f>1-1</f>
        <v>0</v>
      </c>
      <c r="S470" s="62">
        <f>2-2</f>
        <v>0</v>
      </c>
      <c r="T470" s="62">
        <f>1-1</f>
        <v>0</v>
      </c>
      <c r="U470" s="62">
        <f>7-7</f>
        <v>0</v>
      </c>
      <c r="V470" s="62"/>
      <c r="W470" s="63"/>
      <c r="X470" s="63"/>
      <c r="Z470" s="64"/>
      <c r="AA470" s="54"/>
      <c r="AB470" s="54"/>
      <c r="AC470" s="54"/>
    </row>
    <row r="471" spans="1:29" ht="60" hidden="1" customHeight="1" x14ac:dyDescent="0.2">
      <c r="A471" s="69" t="s">
        <v>769</v>
      </c>
      <c r="B471" s="51"/>
      <c r="C471" s="87" t="s">
        <v>594</v>
      </c>
      <c r="D471" s="53" t="s">
        <v>48</v>
      </c>
      <c r="E471" s="54" t="s">
        <v>34</v>
      </c>
      <c r="F471" s="55" t="s">
        <v>121</v>
      </c>
      <c r="G471" s="67" t="s">
        <v>50</v>
      </c>
      <c r="H471" s="57" t="s">
        <v>84</v>
      </c>
      <c r="I471" s="55" t="s">
        <v>51</v>
      </c>
      <c r="J471" s="57" t="e">
        <f>ROUND(#REF!*2.4,-1)</f>
        <v>#REF!</v>
      </c>
      <c r="K471" s="58"/>
      <c r="L471" s="59">
        <v>0</v>
      </c>
      <c r="M471" s="60"/>
      <c r="N471" s="61"/>
      <c r="O471" s="61"/>
      <c r="P471" s="62"/>
      <c r="Q471" s="62"/>
      <c r="R471" s="62"/>
      <c r="S471" s="62"/>
      <c r="T471" s="62"/>
      <c r="U471" s="62"/>
      <c r="V471" s="62"/>
      <c r="W471" s="63"/>
      <c r="X471" s="63"/>
      <c r="Z471" s="64"/>
      <c r="AA471" s="54"/>
      <c r="AB471" s="54"/>
      <c r="AC471" s="54"/>
    </row>
    <row r="472" spans="1:29" ht="60" customHeight="1" x14ac:dyDescent="0.2">
      <c r="A472" s="69" t="s">
        <v>770</v>
      </c>
      <c r="B472" s="51"/>
      <c r="C472" s="87" t="s">
        <v>451</v>
      </c>
      <c r="D472" s="53" t="s">
        <v>48</v>
      </c>
      <c r="E472" s="54" t="s">
        <v>34</v>
      </c>
      <c r="F472" s="55" t="s">
        <v>121</v>
      </c>
      <c r="G472" s="56" t="s">
        <v>36</v>
      </c>
      <c r="H472" s="57" t="s">
        <v>84</v>
      </c>
      <c r="I472" s="55" t="s">
        <v>51</v>
      </c>
      <c r="J472" s="57" t="e">
        <f>ROUND(#REF!*2.4,-1)</f>
        <v>#REF!</v>
      </c>
      <c r="K472" s="58"/>
      <c r="L472" s="59">
        <f>9-1</f>
        <v>8</v>
      </c>
      <c r="M472" s="60"/>
      <c r="N472" s="61"/>
      <c r="O472" s="61"/>
      <c r="P472" s="62"/>
      <c r="Q472" s="62">
        <f>3-2+2-1</f>
        <v>2</v>
      </c>
      <c r="R472" s="62">
        <f>3-1</f>
        <v>2</v>
      </c>
      <c r="S472" s="62">
        <f>2-1</f>
        <v>1</v>
      </c>
      <c r="T472" s="62">
        <f>1-1</f>
        <v>0</v>
      </c>
      <c r="U472" s="62">
        <f>4-1</f>
        <v>3</v>
      </c>
      <c r="V472" s="62"/>
      <c r="W472" s="63"/>
      <c r="X472" s="63"/>
      <c r="Z472" s="64"/>
      <c r="AA472" s="54">
        <v>2840249</v>
      </c>
      <c r="AB472" s="54">
        <v>433</v>
      </c>
      <c r="AC472" s="54"/>
    </row>
    <row r="473" spans="1:29" ht="60" hidden="1" customHeight="1" x14ac:dyDescent="0.2">
      <c r="A473" s="69" t="s">
        <v>771</v>
      </c>
      <c r="B473" s="51"/>
      <c r="C473" s="66" t="s">
        <v>91</v>
      </c>
      <c r="D473" s="53" t="s">
        <v>48</v>
      </c>
      <c r="E473" s="54" t="s">
        <v>34</v>
      </c>
      <c r="F473" s="55" t="s">
        <v>121</v>
      </c>
      <c r="G473" s="56" t="s">
        <v>36</v>
      </c>
      <c r="H473" s="57" t="s">
        <v>60</v>
      </c>
      <c r="I473" s="55" t="s">
        <v>51</v>
      </c>
      <c r="J473" s="57" t="e">
        <f>ROUND(#REF!*2.4,-1)</f>
        <v>#REF!</v>
      </c>
      <c r="K473" s="58"/>
      <c r="L473" s="59">
        <f>1-1</f>
        <v>0</v>
      </c>
      <c r="M473" s="60"/>
      <c r="N473" s="61"/>
      <c r="O473" s="61"/>
      <c r="P473" s="62"/>
      <c r="Q473" s="62">
        <f>1-1</f>
        <v>0</v>
      </c>
      <c r="R473" s="62">
        <f>2-2</f>
        <v>0</v>
      </c>
      <c r="S473" s="62">
        <f>1-1</f>
        <v>0</v>
      </c>
      <c r="T473" s="62">
        <f>3-3</f>
        <v>0</v>
      </c>
      <c r="U473" s="62">
        <f>2-2</f>
        <v>0</v>
      </c>
      <c r="V473" s="62"/>
      <c r="W473" s="63"/>
      <c r="X473" s="63"/>
      <c r="Z473" s="64"/>
      <c r="AA473" s="54">
        <v>2820504</v>
      </c>
      <c r="AB473" s="54">
        <v>347</v>
      </c>
      <c r="AC473" s="54"/>
    </row>
    <row r="474" spans="1:29" ht="60" hidden="1" customHeight="1" x14ac:dyDescent="0.2">
      <c r="A474" s="69" t="s">
        <v>772</v>
      </c>
      <c r="B474" s="51"/>
      <c r="C474" s="87" t="s">
        <v>594</v>
      </c>
      <c r="D474" s="53" t="s">
        <v>48</v>
      </c>
      <c r="E474" s="54" t="s">
        <v>34</v>
      </c>
      <c r="F474" s="55" t="s">
        <v>121</v>
      </c>
      <c r="G474" s="67" t="s">
        <v>50</v>
      </c>
      <c r="H474" s="57" t="s">
        <v>60</v>
      </c>
      <c r="I474" s="55" t="s">
        <v>51</v>
      </c>
      <c r="J474" s="57" t="e">
        <f>ROUND(#REF!*2.4,-1)</f>
        <v>#REF!</v>
      </c>
      <c r="K474" s="58"/>
      <c r="L474" s="59">
        <f>1-1</f>
        <v>0</v>
      </c>
      <c r="M474" s="60"/>
      <c r="N474" s="61"/>
      <c r="O474" s="61"/>
      <c r="P474" s="77"/>
      <c r="Q474" s="77">
        <f>1-1</f>
        <v>0</v>
      </c>
      <c r="R474" s="77">
        <f>1-1</f>
        <v>0</v>
      </c>
      <c r="S474" s="77">
        <f>1-1</f>
        <v>0</v>
      </c>
      <c r="T474" s="77">
        <f>1-1</f>
        <v>0</v>
      </c>
      <c r="U474" s="77">
        <f>3-3</f>
        <v>0</v>
      </c>
      <c r="V474" s="62">
        <f>10-10</f>
        <v>0</v>
      </c>
      <c r="W474" s="63"/>
      <c r="X474" s="63"/>
      <c r="Z474" s="64"/>
      <c r="AA474" s="54"/>
      <c r="AB474" s="54"/>
      <c r="AC474" s="54"/>
    </row>
    <row r="475" spans="1:29" ht="60" customHeight="1" x14ac:dyDescent="0.2">
      <c r="A475" s="69" t="s">
        <v>773</v>
      </c>
      <c r="B475" s="74"/>
      <c r="C475" s="54" t="s">
        <v>484</v>
      </c>
      <c r="D475" s="53" t="s">
        <v>48</v>
      </c>
      <c r="E475" s="54" t="s">
        <v>34</v>
      </c>
      <c r="F475" s="55" t="s">
        <v>121</v>
      </c>
      <c r="G475" s="56" t="s">
        <v>36</v>
      </c>
      <c r="H475" s="57" t="s">
        <v>60</v>
      </c>
      <c r="I475" s="55" t="s">
        <v>51</v>
      </c>
      <c r="J475" s="57" t="e">
        <f>ROUND(#REF!*2.4,-1)</f>
        <v>#REF!</v>
      </c>
      <c r="K475" s="58"/>
      <c r="L475" s="59">
        <f>1-1+1</f>
        <v>1</v>
      </c>
      <c r="M475" s="60"/>
      <c r="N475" s="61"/>
      <c r="O475" s="61"/>
      <c r="P475" s="62"/>
      <c r="Q475" s="62">
        <f>2-2</f>
        <v>0</v>
      </c>
      <c r="R475" s="62">
        <f>1-1</f>
        <v>0</v>
      </c>
      <c r="S475" s="62">
        <f>1-1</f>
        <v>0</v>
      </c>
      <c r="T475" s="62">
        <f>1-1+1</f>
        <v>1</v>
      </c>
      <c r="U475" s="62">
        <f>2-2</f>
        <v>0</v>
      </c>
      <c r="V475" s="62">
        <f>12-12</f>
        <v>0</v>
      </c>
      <c r="W475" s="63"/>
      <c r="X475" s="63"/>
      <c r="Z475" s="64"/>
      <c r="AA475" s="54">
        <v>2820058</v>
      </c>
      <c r="AB475" s="54">
        <v>452</v>
      </c>
      <c r="AC475" s="54"/>
    </row>
    <row r="476" spans="1:29" ht="60" hidden="1" customHeight="1" x14ac:dyDescent="0.2">
      <c r="A476" s="69" t="s">
        <v>774</v>
      </c>
      <c r="B476" s="70"/>
      <c r="C476" s="66" t="s">
        <v>346</v>
      </c>
      <c r="D476" s="53" t="s">
        <v>48</v>
      </c>
      <c r="E476" s="54" t="s">
        <v>34</v>
      </c>
      <c r="F476" s="55" t="s">
        <v>121</v>
      </c>
      <c r="G476" s="56" t="s">
        <v>36</v>
      </c>
      <c r="H476" s="57" t="s">
        <v>60</v>
      </c>
      <c r="I476" s="55" t="s">
        <v>51</v>
      </c>
      <c r="J476" s="57" t="e">
        <f>ROUND(#REF!*2.4,-1)</f>
        <v>#REF!</v>
      </c>
      <c r="K476" s="58"/>
      <c r="L476" s="59">
        <f>2-2</f>
        <v>0</v>
      </c>
      <c r="M476" s="60"/>
      <c r="N476" s="61"/>
      <c r="O476" s="61"/>
      <c r="P476" s="62"/>
      <c r="Q476" s="62">
        <f>1-1</f>
        <v>0</v>
      </c>
      <c r="R476" s="62">
        <f>1-1</f>
        <v>0</v>
      </c>
      <c r="S476" s="62">
        <f>1-1</f>
        <v>0</v>
      </c>
      <c r="T476" s="62">
        <f>1-1</f>
        <v>0</v>
      </c>
      <c r="U476" s="62">
        <f>1-1</f>
        <v>0</v>
      </c>
      <c r="V476" s="62">
        <f>1-1</f>
        <v>0</v>
      </c>
      <c r="W476" s="63"/>
      <c r="X476" s="63"/>
      <c r="Z476" s="71"/>
      <c r="AA476" s="54">
        <v>2820615</v>
      </c>
      <c r="AB476" s="54">
        <v>434</v>
      </c>
      <c r="AC476" s="54"/>
    </row>
    <row r="477" spans="1:29" ht="60" hidden="1" customHeight="1" x14ac:dyDescent="0.2">
      <c r="A477" s="69" t="s">
        <v>775</v>
      </c>
      <c r="B477" s="51"/>
      <c r="C477" s="87" t="s">
        <v>776</v>
      </c>
      <c r="D477" s="53" t="s">
        <v>48</v>
      </c>
      <c r="E477" s="54" t="s">
        <v>34</v>
      </c>
      <c r="F477" s="55" t="s">
        <v>121</v>
      </c>
      <c r="G477" s="67" t="s">
        <v>50</v>
      </c>
      <c r="H477" s="57" t="s">
        <v>60</v>
      </c>
      <c r="I477" s="55" t="s">
        <v>51</v>
      </c>
      <c r="J477" s="57" t="e">
        <f>ROUND(#REF!*2.4,-1)</f>
        <v>#REF!</v>
      </c>
      <c r="K477" s="58"/>
      <c r="L477" s="59">
        <v>0</v>
      </c>
      <c r="M477" s="60"/>
      <c r="N477" s="61"/>
      <c r="O477" s="61"/>
      <c r="P477" s="62"/>
      <c r="Q477" s="62"/>
      <c r="R477" s="62"/>
      <c r="S477" s="62"/>
      <c r="T477" s="62"/>
      <c r="U477" s="62"/>
      <c r="V477" s="62"/>
      <c r="W477" s="63"/>
      <c r="X477" s="63"/>
      <c r="Z477" s="64"/>
      <c r="AA477" s="54"/>
      <c r="AB477" s="54"/>
      <c r="AC477" s="54"/>
    </row>
    <row r="478" spans="1:29" ht="60" hidden="1" customHeight="1" x14ac:dyDescent="0.2">
      <c r="A478" s="69" t="s">
        <v>777</v>
      </c>
      <c r="B478" s="74"/>
      <c r="C478" s="87" t="s">
        <v>756</v>
      </c>
      <c r="D478" s="53" t="s">
        <v>48</v>
      </c>
      <c r="E478" s="54" t="s">
        <v>34</v>
      </c>
      <c r="F478" s="55" t="s">
        <v>121</v>
      </c>
      <c r="G478" s="67" t="s">
        <v>50</v>
      </c>
      <c r="H478" s="57" t="s">
        <v>661</v>
      </c>
      <c r="I478" s="55" t="s">
        <v>51</v>
      </c>
      <c r="J478" s="57" t="e">
        <f>ROUND(#REF!*2.4,-1)</f>
        <v>#REF!</v>
      </c>
      <c r="K478" s="58"/>
      <c r="L478" s="59">
        <v>0</v>
      </c>
      <c r="M478" s="60"/>
      <c r="N478" s="61"/>
      <c r="O478" s="61"/>
      <c r="P478" s="62"/>
      <c r="Q478" s="62"/>
      <c r="R478" s="62"/>
      <c r="S478" s="62"/>
      <c r="T478" s="62"/>
      <c r="U478" s="62"/>
      <c r="V478" s="62"/>
      <c r="W478" s="63"/>
      <c r="X478" s="63"/>
      <c r="Z478" s="64"/>
      <c r="AA478" s="54"/>
      <c r="AB478" s="54"/>
      <c r="AC478" s="54"/>
    </row>
    <row r="479" spans="1:29" ht="60" customHeight="1" x14ac:dyDescent="0.2">
      <c r="A479" s="69" t="s">
        <v>778</v>
      </c>
      <c r="B479" s="74"/>
      <c r="C479" s="87" t="s">
        <v>441</v>
      </c>
      <c r="D479" s="53" t="s">
        <v>48</v>
      </c>
      <c r="E479" s="54" t="s">
        <v>34</v>
      </c>
      <c r="F479" s="55" t="s">
        <v>121</v>
      </c>
      <c r="G479" s="56" t="s">
        <v>36</v>
      </c>
      <c r="H479" s="57" t="s">
        <v>661</v>
      </c>
      <c r="I479" s="55" t="s">
        <v>51</v>
      </c>
      <c r="J479" s="57" t="e">
        <f>ROUND(#REF!*2.4,-1)</f>
        <v>#REF!</v>
      </c>
      <c r="K479" s="58"/>
      <c r="L479" s="88">
        <f>2-1</f>
        <v>1</v>
      </c>
      <c r="M479" s="60"/>
      <c r="N479" s="61"/>
      <c r="O479" s="61"/>
      <c r="P479" s="62"/>
      <c r="Q479" s="62">
        <f>2-1</f>
        <v>1</v>
      </c>
      <c r="R479" s="62">
        <f>1-1</f>
        <v>0</v>
      </c>
      <c r="S479" s="62">
        <f>1-1</f>
        <v>0</v>
      </c>
      <c r="T479" s="62">
        <f>1-1</f>
        <v>0</v>
      </c>
      <c r="U479" s="62">
        <f>1-1</f>
        <v>0</v>
      </c>
      <c r="V479" s="62"/>
      <c r="W479" s="63"/>
      <c r="X479" s="63"/>
      <c r="Z479" s="64"/>
      <c r="AA479" s="54"/>
      <c r="AB479" s="54"/>
      <c r="AC479" s="54"/>
    </row>
    <row r="480" spans="1:29" ht="60" hidden="1" customHeight="1" x14ac:dyDescent="0.2">
      <c r="A480" s="69" t="s">
        <v>779</v>
      </c>
      <c r="B480" s="74"/>
      <c r="C480" s="66" t="s">
        <v>142</v>
      </c>
      <c r="D480" s="53" t="s">
        <v>48</v>
      </c>
      <c r="E480" s="54" t="s">
        <v>34</v>
      </c>
      <c r="F480" s="55" t="s">
        <v>121</v>
      </c>
      <c r="G480" s="67" t="s">
        <v>50</v>
      </c>
      <c r="H480" s="57" t="s">
        <v>780</v>
      </c>
      <c r="I480" s="55" t="s">
        <v>51</v>
      </c>
      <c r="J480" s="57" t="e">
        <f>ROUND(#REF!*2.4,-1)</f>
        <v>#REF!</v>
      </c>
      <c r="K480" s="58"/>
      <c r="L480" s="88">
        <f>1-1</f>
        <v>0</v>
      </c>
      <c r="M480" s="60"/>
      <c r="N480" s="61"/>
      <c r="O480" s="61"/>
      <c r="P480" s="62"/>
      <c r="Q480" s="62">
        <f>1-1</f>
        <v>0</v>
      </c>
      <c r="R480" s="62">
        <f>1-1</f>
        <v>0</v>
      </c>
      <c r="S480" s="62">
        <f>4-4</f>
        <v>0</v>
      </c>
      <c r="T480" s="62">
        <f>1-1</f>
        <v>0</v>
      </c>
      <c r="U480" s="62">
        <f>3-3</f>
        <v>0</v>
      </c>
      <c r="V480" s="62"/>
      <c r="W480" s="63"/>
      <c r="X480" s="63"/>
      <c r="Z480" s="64"/>
      <c r="AA480" s="54">
        <v>2861584</v>
      </c>
      <c r="AB480" s="54">
        <v>356</v>
      </c>
      <c r="AC480" s="54"/>
    </row>
    <row r="481" spans="1:29" ht="60" customHeight="1" x14ac:dyDescent="0.2">
      <c r="A481" s="72" t="s">
        <v>781</v>
      </c>
      <c r="B481" s="74"/>
      <c r="C481" s="66" t="s">
        <v>686</v>
      </c>
      <c r="D481" s="53" t="s">
        <v>48</v>
      </c>
      <c r="E481" s="54" t="s">
        <v>34</v>
      </c>
      <c r="F481" s="55" t="s">
        <v>49</v>
      </c>
      <c r="G481" s="56" t="s">
        <v>36</v>
      </c>
      <c r="H481" s="57" t="s">
        <v>780</v>
      </c>
      <c r="I481" s="55" t="s">
        <v>51</v>
      </c>
      <c r="J481" s="57" t="e">
        <f>ROUND(#REF!*2.4,-1)</f>
        <v>#REF!</v>
      </c>
      <c r="K481" s="58"/>
      <c r="L481" s="59">
        <f>1-1+1</f>
        <v>1</v>
      </c>
      <c r="M481" s="60"/>
      <c r="N481" s="61"/>
      <c r="O481" s="61"/>
      <c r="P481" s="62"/>
      <c r="Q481" s="62">
        <f>1-1</f>
        <v>0</v>
      </c>
      <c r="R481" s="62">
        <f>2-2</f>
        <v>0</v>
      </c>
      <c r="S481" s="62">
        <f>1-1</f>
        <v>0</v>
      </c>
      <c r="T481" s="62">
        <f>1-1+1</f>
        <v>1</v>
      </c>
      <c r="U481" s="62">
        <f>1-1</f>
        <v>0</v>
      </c>
      <c r="V481" s="62">
        <f>0</f>
        <v>0</v>
      </c>
      <c r="W481" s="63"/>
      <c r="X481" s="63"/>
      <c r="Z481" s="64"/>
      <c r="AA481" s="54"/>
      <c r="AB481" s="54"/>
      <c r="AC481" s="54"/>
    </row>
    <row r="482" spans="1:29" ht="60" hidden="1" customHeight="1" x14ac:dyDescent="0.2">
      <c r="A482" s="69" t="s">
        <v>782</v>
      </c>
      <c r="B482" s="74"/>
      <c r="C482" s="87" t="s">
        <v>783</v>
      </c>
      <c r="D482" s="53" t="s">
        <v>48</v>
      </c>
      <c r="E482" s="54" t="s">
        <v>34</v>
      </c>
      <c r="F482" s="55" t="s">
        <v>121</v>
      </c>
      <c r="G482" s="67" t="s">
        <v>50</v>
      </c>
      <c r="H482" s="57" t="s">
        <v>661</v>
      </c>
      <c r="I482" s="55" t="s">
        <v>51</v>
      </c>
      <c r="J482" s="57" t="e">
        <f>ROUND(#REF!*2.4,-1)</f>
        <v>#REF!</v>
      </c>
      <c r="K482" s="58"/>
      <c r="L482" s="59">
        <v>0</v>
      </c>
      <c r="M482" s="60"/>
      <c r="N482" s="61"/>
      <c r="O482" s="61"/>
      <c r="P482" s="62"/>
      <c r="Q482" s="62"/>
      <c r="R482" s="62"/>
      <c r="S482" s="62"/>
      <c r="T482" s="62"/>
      <c r="U482" s="62"/>
      <c r="V482" s="62"/>
      <c r="W482" s="63"/>
      <c r="X482" s="63"/>
      <c r="Z482" s="64"/>
      <c r="AA482" s="54"/>
      <c r="AB482" s="54"/>
      <c r="AC482" s="54"/>
    </row>
    <row r="483" spans="1:29" ht="60" customHeight="1" x14ac:dyDescent="0.2">
      <c r="A483" s="50" t="s">
        <v>784</v>
      </c>
      <c r="B483" s="51"/>
      <c r="C483" s="66" t="s">
        <v>40</v>
      </c>
      <c r="D483" s="53" t="s">
        <v>33</v>
      </c>
      <c r="E483" s="54" t="s">
        <v>34</v>
      </c>
      <c r="F483" s="55" t="s">
        <v>785</v>
      </c>
      <c r="G483" s="56" t="s">
        <v>36</v>
      </c>
      <c r="H483" s="57" t="s">
        <v>37</v>
      </c>
      <c r="I483" s="55" t="s">
        <v>38</v>
      </c>
      <c r="J483" s="57" t="e">
        <f>ROUND(#REF!*2.4,-1)</f>
        <v>#REF!</v>
      </c>
      <c r="K483" s="58"/>
      <c r="L483" s="59">
        <f>3-1</f>
        <v>2</v>
      </c>
      <c r="M483" s="60"/>
      <c r="N483" s="61"/>
      <c r="O483" s="61"/>
      <c r="P483" s="62"/>
      <c r="Q483" s="62">
        <f>1-1</f>
        <v>0</v>
      </c>
      <c r="R483" s="62">
        <f>1-1</f>
        <v>0</v>
      </c>
      <c r="S483" s="62">
        <f>2-2+2</f>
        <v>2</v>
      </c>
      <c r="T483" s="62">
        <f>1-1</f>
        <v>0</v>
      </c>
      <c r="U483" s="62">
        <f>2-2</f>
        <v>0</v>
      </c>
      <c r="V483" s="62"/>
      <c r="W483" s="63"/>
      <c r="X483" s="63"/>
      <c r="Z483" s="64"/>
      <c r="AA483" s="54">
        <v>3010530</v>
      </c>
      <c r="AB483" s="54">
        <v>357</v>
      </c>
      <c r="AC483" s="54"/>
    </row>
    <row r="484" spans="1:29" ht="60" customHeight="1" x14ac:dyDescent="0.2">
      <c r="A484" s="50" t="s">
        <v>786</v>
      </c>
      <c r="B484" s="70"/>
      <c r="C484" s="66" t="s">
        <v>227</v>
      </c>
      <c r="D484" s="53" t="s">
        <v>33</v>
      </c>
      <c r="E484" s="54" t="s">
        <v>34</v>
      </c>
      <c r="F484" s="55" t="s">
        <v>785</v>
      </c>
      <c r="G484" s="56" t="s">
        <v>36</v>
      </c>
      <c r="H484" s="57" t="s">
        <v>37</v>
      </c>
      <c r="I484" s="55" t="s">
        <v>38</v>
      </c>
      <c r="J484" s="57" t="e">
        <f>ROUND(#REF!*2.4,-1)</f>
        <v>#REF!</v>
      </c>
      <c r="K484" s="58"/>
      <c r="L484" s="59">
        <f>6-1</f>
        <v>5</v>
      </c>
      <c r="M484" s="60"/>
      <c r="N484" s="61"/>
      <c r="O484" s="61"/>
      <c r="P484" s="62"/>
      <c r="Q484" s="62">
        <f>5-1</f>
        <v>4</v>
      </c>
      <c r="R484" s="62">
        <f>1-1</f>
        <v>0</v>
      </c>
      <c r="S484" s="62">
        <f>1-1</f>
        <v>0</v>
      </c>
      <c r="T484" s="62">
        <f>1-1+1</f>
        <v>1</v>
      </c>
      <c r="U484" s="62">
        <f>1-1</f>
        <v>0</v>
      </c>
      <c r="V484" s="62"/>
      <c r="W484" s="63"/>
      <c r="X484" s="63"/>
      <c r="Z484" s="64"/>
      <c r="AA484" s="54"/>
      <c r="AB484" s="54"/>
      <c r="AC484" s="54"/>
    </row>
    <row r="485" spans="1:29" ht="60" customHeight="1" x14ac:dyDescent="0.2">
      <c r="A485" s="50" t="s">
        <v>787</v>
      </c>
      <c r="B485" s="74"/>
      <c r="C485" s="87" t="s">
        <v>256</v>
      </c>
      <c r="D485" s="53" t="s">
        <v>33</v>
      </c>
      <c r="E485" s="54" t="s">
        <v>34</v>
      </c>
      <c r="F485" s="55" t="s">
        <v>785</v>
      </c>
      <c r="G485" s="56" t="s">
        <v>36</v>
      </c>
      <c r="H485" s="57" t="s">
        <v>37</v>
      </c>
      <c r="I485" s="55" t="s">
        <v>38</v>
      </c>
      <c r="J485" s="57" t="e">
        <f>ROUND(#REF!*2.4,-1)</f>
        <v>#REF!</v>
      </c>
      <c r="K485" s="58"/>
      <c r="L485" s="59">
        <f>6-1</f>
        <v>5</v>
      </c>
      <c r="M485" s="60"/>
      <c r="N485" s="61"/>
      <c r="O485" s="61"/>
      <c r="P485" s="62"/>
      <c r="Q485" s="62">
        <f>2-1</f>
        <v>1</v>
      </c>
      <c r="R485" s="62">
        <f>5-1</f>
        <v>4</v>
      </c>
      <c r="S485" s="62">
        <f t="shared" ref="S485:T487" si="45">1-1</f>
        <v>0</v>
      </c>
      <c r="T485" s="62">
        <f t="shared" si="45"/>
        <v>0</v>
      </c>
      <c r="U485" s="62">
        <f>1-1</f>
        <v>0</v>
      </c>
      <c r="V485" s="62"/>
      <c r="W485" s="63"/>
      <c r="X485" s="63"/>
      <c r="Z485" s="64"/>
      <c r="AA485" s="54"/>
      <c r="AB485" s="54"/>
      <c r="AC485" s="54"/>
    </row>
    <row r="486" spans="1:29" ht="60" customHeight="1" x14ac:dyDescent="0.2">
      <c r="A486" s="50" t="s">
        <v>788</v>
      </c>
      <c r="B486" s="74"/>
      <c r="C486" s="66" t="s">
        <v>218</v>
      </c>
      <c r="D486" s="53" t="s">
        <v>33</v>
      </c>
      <c r="E486" s="54" t="s">
        <v>34</v>
      </c>
      <c r="F486" s="55" t="s">
        <v>785</v>
      </c>
      <c r="G486" s="56" t="s">
        <v>36</v>
      </c>
      <c r="H486" s="57" t="s">
        <v>219</v>
      </c>
      <c r="I486" s="55" t="s">
        <v>38</v>
      </c>
      <c r="J486" s="57" t="e">
        <f>ROUND(#REF!*2.4,-1)</f>
        <v>#REF!</v>
      </c>
      <c r="K486" s="58"/>
      <c r="L486" s="59">
        <f>7-4</f>
        <v>3</v>
      </c>
      <c r="M486" s="60"/>
      <c r="N486" s="61"/>
      <c r="O486" s="61"/>
      <c r="P486" s="62"/>
      <c r="Q486" s="62">
        <f>1-1+1+1</f>
        <v>2</v>
      </c>
      <c r="R486" s="62">
        <f>2-1</f>
        <v>1</v>
      </c>
      <c r="S486" s="62">
        <f>1-1</f>
        <v>0</v>
      </c>
      <c r="T486" s="62">
        <f>1-1</f>
        <v>0</v>
      </c>
      <c r="U486" s="62">
        <f>1-1</f>
        <v>0</v>
      </c>
      <c r="V486" s="62"/>
      <c r="W486" s="63"/>
      <c r="X486" s="63"/>
      <c r="Z486" s="64"/>
      <c r="AA486" s="54">
        <v>3052564</v>
      </c>
      <c r="AB486" s="54">
        <v>359</v>
      </c>
      <c r="AC486" s="54"/>
    </row>
    <row r="487" spans="1:29" ht="60" hidden="1" customHeight="1" x14ac:dyDescent="0.2">
      <c r="A487" s="50" t="s">
        <v>789</v>
      </c>
      <c r="B487" s="74"/>
      <c r="C487" s="87" t="s">
        <v>594</v>
      </c>
      <c r="D487" s="53" t="s">
        <v>33</v>
      </c>
      <c r="E487" s="54" t="s">
        <v>34</v>
      </c>
      <c r="F487" s="55" t="s">
        <v>785</v>
      </c>
      <c r="G487" s="67" t="s">
        <v>41</v>
      </c>
      <c r="H487" s="57" t="s">
        <v>84</v>
      </c>
      <c r="I487" s="55" t="s">
        <v>38</v>
      </c>
      <c r="J487" s="57" t="e">
        <f>ROUND(#REF!*2.4,-1)</f>
        <v>#REF!</v>
      </c>
      <c r="K487" s="58"/>
      <c r="L487" s="59">
        <f>2-2</f>
        <v>0</v>
      </c>
      <c r="M487" s="60"/>
      <c r="N487" s="61"/>
      <c r="O487" s="61"/>
      <c r="P487" s="62"/>
      <c r="Q487" s="62">
        <f>2-1+1-2</f>
        <v>0</v>
      </c>
      <c r="R487" s="62">
        <f>1-1</f>
        <v>0</v>
      </c>
      <c r="S487" s="62">
        <f>1-1</f>
        <v>0</v>
      </c>
      <c r="T487" s="62">
        <f t="shared" si="45"/>
        <v>0</v>
      </c>
      <c r="U487" s="62"/>
      <c r="V487" s="62"/>
      <c r="W487" s="63"/>
      <c r="X487" s="63"/>
      <c r="Z487" s="64"/>
      <c r="AA487" s="54">
        <v>3040027</v>
      </c>
      <c r="AB487" s="54">
        <v>358</v>
      </c>
      <c r="AC487" s="54"/>
    </row>
    <row r="488" spans="1:29" ht="60" hidden="1" customHeight="1" x14ac:dyDescent="0.2">
      <c r="A488" s="50" t="s">
        <v>790</v>
      </c>
      <c r="B488" s="70"/>
      <c r="C488" s="87" t="s">
        <v>182</v>
      </c>
      <c r="D488" s="53" t="s">
        <v>33</v>
      </c>
      <c r="E488" s="54" t="s">
        <v>34</v>
      </c>
      <c r="F488" s="55" t="s">
        <v>785</v>
      </c>
      <c r="G488" s="67" t="s">
        <v>41</v>
      </c>
      <c r="H488" s="57" t="s">
        <v>37</v>
      </c>
      <c r="I488" s="55" t="s">
        <v>38</v>
      </c>
      <c r="J488" s="57" t="e">
        <f>ROUND(#REF!*2.4,-1)</f>
        <v>#REF!</v>
      </c>
      <c r="K488" s="58"/>
      <c r="L488" s="59">
        <v>0</v>
      </c>
      <c r="M488" s="60"/>
      <c r="N488" s="61"/>
      <c r="O488" s="61"/>
      <c r="P488" s="62"/>
      <c r="Q488" s="62"/>
      <c r="R488" s="62"/>
      <c r="S488" s="62"/>
      <c r="T488" s="62"/>
      <c r="U488" s="62"/>
      <c r="V488" s="62"/>
      <c r="W488" s="63"/>
      <c r="X488" s="63"/>
      <c r="Z488" s="64"/>
      <c r="AA488" s="54"/>
      <c r="AB488" s="54"/>
      <c r="AC488" s="54"/>
    </row>
    <row r="489" spans="1:29" ht="60" hidden="1" customHeight="1" x14ac:dyDescent="0.2">
      <c r="A489" s="50" t="s">
        <v>791</v>
      </c>
      <c r="B489" s="74"/>
      <c r="C489" s="87" t="s">
        <v>500</v>
      </c>
      <c r="D489" s="53" t="s">
        <v>33</v>
      </c>
      <c r="E489" s="54" t="s">
        <v>34</v>
      </c>
      <c r="F489" s="55" t="s">
        <v>785</v>
      </c>
      <c r="G489" s="67" t="s">
        <v>41</v>
      </c>
      <c r="H489" s="57" t="s">
        <v>37</v>
      </c>
      <c r="I489" s="55" t="s">
        <v>38</v>
      </c>
      <c r="J489" s="57" t="e">
        <f>ROUND(#REF!*2.4,-1)</f>
        <v>#REF!</v>
      </c>
      <c r="K489" s="58"/>
      <c r="L489" s="59">
        <f>2-2</f>
        <v>0</v>
      </c>
      <c r="M489" s="60"/>
      <c r="N489" s="61"/>
      <c r="O489" s="61"/>
      <c r="P489" s="62"/>
      <c r="Q489" s="62"/>
      <c r="R489" s="62"/>
      <c r="S489" s="62">
        <f>1-1</f>
        <v>0</v>
      </c>
      <c r="T489" s="62">
        <f>1-1</f>
        <v>0</v>
      </c>
      <c r="U489" s="62"/>
      <c r="V489" s="62"/>
      <c r="W489" s="63"/>
      <c r="X489" s="63"/>
      <c r="Z489" s="64"/>
      <c r="AA489" s="54"/>
      <c r="AB489" s="54"/>
      <c r="AC489" s="54"/>
    </row>
    <row r="490" spans="1:29" ht="60" hidden="1" customHeight="1" x14ac:dyDescent="0.2">
      <c r="A490" s="50" t="s">
        <v>792</v>
      </c>
      <c r="B490" s="51"/>
      <c r="C490" s="87" t="s">
        <v>503</v>
      </c>
      <c r="D490" s="53" t="s">
        <v>33</v>
      </c>
      <c r="E490" s="54" t="s">
        <v>34</v>
      </c>
      <c r="F490" s="55" t="s">
        <v>785</v>
      </c>
      <c r="G490" s="67" t="s">
        <v>41</v>
      </c>
      <c r="H490" s="57" t="s">
        <v>37</v>
      </c>
      <c r="I490" s="55" t="s">
        <v>38</v>
      </c>
      <c r="J490" s="57" t="e">
        <f>ROUND(#REF!*2.4,-1)</f>
        <v>#REF!</v>
      </c>
      <c r="K490" s="58"/>
      <c r="L490" s="59">
        <f>1-1</f>
        <v>0</v>
      </c>
      <c r="M490" s="60"/>
      <c r="N490" s="61"/>
      <c r="O490" s="61"/>
      <c r="P490" s="62"/>
      <c r="Q490" s="62">
        <f>1-1</f>
        <v>0</v>
      </c>
      <c r="R490" s="62"/>
      <c r="S490" s="62"/>
      <c r="T490" s="62"/>
      <c r="U490" s="62"/>
      <c r="V490" s="62"/>
      <c r="W490" s="63"/>
      <c r="X490" s="63"/>
      <c r="Z490" s="64"/>
      <c r="AA490" s="54"/>
      <c r="AB490" s="54"/>
      <c r="AC490" s="54"/>
    </row>
    <row r="491" spans="1:29" ht="60" hidden="1" customHeight="1" x14ac:dyDescent="0.2">
      <c r="A491" s="69" t="s">
        <v>793</v>
      </c>
      <c r="B491" s="74"/>
      <c r="C491" s="87" t="s">
        <v>316</v>
      </c>
      <c r="D491" s="53" t="s">
        <v>33</v>
      </c>
      <c r="E491" s="54" t="s">
        <v>34</v>
      </c>
      <c r="F491" s="55" t="s">
        <v>785</v>
      </c>
      <c r="G491" s="67" t="s">
        <v>41</v>
      </c>
      <c r="H491" s="57" t="s">
        <v>37</v>
      </c>
      <c r="I491" s="55" t="s">
        <v>38</v>
      </c>
      <c r="J491" s="57" t="e">
        <f>ROUND(#REF!*2.4,-1)</f>
        <v>#REF!</v>
      </c>
      <c r="K491" s="58"/>
      <c r="L491" s="59">
        <f>1-1+1-1</f>
        <v>0</v>
      </c>
      <c r="M491" s="60"/>
      <c r="N491" s="61"/>
      <c r="O491" s="61"/>
      <c r="P491" s="62"/>
      <c r="Q491" s="62">
        <f>1-1+1-1</f>
        <v>0</v>
      </c>
      <c r="R491" s="62"/>
      <c r="S491" s="62"/>
      <c r="T491" s="62"/>
      <c r="U491" s="62"/>
      <c r="V491" s="62"/>
      <c r="W491" s="63"/>
      <c r="X491" s="63"/>
      <c r="Z491" s="64"/>
      <c r="AA491" s="54"/>
      <c r="AB491" s="54"/>
      <c r="AC491" s="54"/>
    </row>
    <row r="492" spans="1:29" ht="60" hidden="1" customHeight="1" x14ac:dyDescent="0.2">
      <c r="A492" s="50" t="s">
        <v>794</v>
      </c>
      <c r="B492" s="51"/>
      <c r="C492" s="87" t="s">
        <v>421</v>
      </c>
      <c r="D492" s="53" t="s">
        <v>33</v>
      </c>
      <c r="E492" s="54" t="s">
        <v>34</v>
      </c>
      <c r="F492" s="55" t="s">
        <v>785</v>
      </c>
      <c r="G492" s="67" t="s">
        <v>41</v>
      </c>
      <c r="H492" s="57" t="s">
        <v>37</v>
      </c>
      <c r="I492" s="55" t="s">
        <v>38</v>
      </c>
      <c r="J492" s="57" t="e">
        <f>ROUND(#REF!*2.4,-1)</f>
        <v>#REF!</v>
      </c>
      <c r="K492" s="58"/>
      <c r="L492" s="59">
        <f>1-1</f>
        <v>0</v>
      </c>
      <c r="M492" s="60"/>
      <c r="N492" s="61"/>
      <c r="O492" s="61"/>
      <c r="P492" s="62"/>
      <c r="Q492" s="62">
        <f>1-1</f>
        <v>0</v>
      </c>
      <c r="R492" s="62"/>
      <c r="S492" s="62"/>
      <c r="T492" s="62"/>
      <c r="U492" s="62"/>
      <c r="V492" s="62"/>
      <c r="W492" s="63"/>
      <c r="X492" s="63"/>
      <c r="Z492" s="64"/>
      <c r="AA492" s="54"/>
      <c r="AB492" s="54"/>
      <c r="AC492" s="54"/>
    </row>
    <row r="493" spans="1:29" ht="60" hidden="1" customHeight="1" x14ac:dyDescent="0.2">
      <c r="A493" s="50" t="s">
        <v>795</v>
      </c>
      <c r="B493" s="51"/>
      <c r="C493" s="66" t="s">
        <v>529</v>
      </c>
      <c r="D493" s="53" t="s">
        <v>33</v>
      </c>
      <c r="E493" s="54" t="s">
        <v>34</v>
      </c>
      <c r="F493" s="55" t="s">
        <v>785</v>
      </c>
      <c r="G493" s="67" t="s">
        <v>41</v>
      </c>
      <c r="H493" s="57" t="s">
        <v>37</v>
      </c>
      <c r="I493" s="55" t="s">
        <v>38</v>
      </c>
      <c r="J493" s="57" t="e">
        <f>ROUND(#REF!*2.4,-1)</f>
        <v>#REF!</v>
      </c>
      <c r="K493" s="58"/>
      <c r="L493" s="59">
        <f>1-1</f>
        <v>0</v>
      </c>
      <c r="M493" s="60"/>
      <c r="N493" s="61"/>
      <c r="O493" s="61"/>
      <c r="P493" s="62"/>
      <c r="Q493" s="62">
        <f>1-1</f>
        <v>0</v>
      </c>
      <c r="R493" s="62">
        <f>1-1</f>
        <v>0</v>
      </c>
      <c r="S493" s="62"/>
      <c r="T493" s="62"/>
      <c r="U493" s="62"/>
      <c r="V493" s="62"/>
      <c r="W493" s="63"/>
      <c r="X493" s="63"/>
      <c r="Z493" s="64"/>
      <c r="AA493" s="54"/>
      <c r="AB493" s="54"/>
      <c r="AC493" s="54"/>
    </row>
    <row r="494" spans="1:29" ht="60" hidden="1" customHeight="1" x14ac:dyDescent="0.2">
      <c r="A494" s="50" t="s">
        <v>796</v>
      </c>
      <c r="B494" s="51"/>
      <c r="C494" s="87" t="s">
        <v>519</v>
      </c>
      <c r="D494" s="53" t="s">
        <v>33</v>
      </c>
      <c r="E494" s="54" t="s">
        <v>34</v>
      </c>
      <c r="F494" s="55" t="s">
        <v>785</v>
      </c>
      <c r="G494" s="67" t="s">
        <v>41</v>
      </c>
      <c r="H494" s="57" t="s">
        <v>37</v>
      </c>
      <c r="I494" s="55" t="s">
        <v>38</v>
      </c>
      <c r="J494" s="57" t="e">
        <f>ROUND(#REF!*2.4,-1)</f>
        <v>#REF!</v>
      </c>
      <c r="K494" s="58"/>
      <c r="L494" s="59">
        <v>0</v>
      </c>
      <c r="M494" s="60"/>
      <c r="N494" s="61"/>
      <c r="O494" s="61"/>
      <c r="P494" s="62"/>
      <c r="Q494" s="62"/>
      <c r="R494" s="62"/>
      <c r="S494" s="62"/>
      <c r="T494" s="62"/>
      <c r="U494" s="62"/>
      <c r="V494" s="62"/>
      <c r="W494" s="63"/>
      <c r="X494" s="63"/>
      <c r="Z494" s="64"/>
      <c r="AA494" s="54"/>
      <c r="AB494" s="54"/>
      <c r="AC494" s="54"/>
    </row>
    <row r="495" spans="1:29" ht="60" customHeight="1" x14ac:dyDescent="0.2">
      <c r="A495" s="50" t="s">
        <v>797</v>
      </c>
      <c r="B495" s="51"/>
      <c r="C495" s="66" t="s">
        <v>535</v>
      </c>
      <c r="D495" s="53" t="s">
        <v>33</v>
      </c>
      <c r="E495" s="54" t="s">
        <v>34</v>
      </c>
      <c r="F495" s="55" t="s">
        <v>785</v>
      </c>
      <c r="G495" s="56" t="s">
        <v>36</v>
      </c>
      <c r="H495" s="57" t="s">
        <v>37</v>
      </c>
      <c r="I495" s="55" t="s">
        <v>38</v>
      </c>
      <c r="J495" s="57" t="e">
        <f>ROUND(#REF!*2.4,-1)</f>
        <v>#REF!</v>
      </c>
      <c r="K495" s="58"/>
      <c r="L495" s="59">
        <f>5-3</f>
        <v>2</v>
      </c>
      <c r="M495" s="60"/>
      <c r="N495" s="61"/>
      <c r="O495" s="61"/>
      <c r="P495" s="62"/>
      <c r="Q495" s="62">
        <f>1-1</f>
        <v>0</v>
      </c>
      <c r="R495" s="62">
        <f>3-1</f>
        <v>2</v>
      </c>
      <c r="S495" s="62">
        <f>1-1</f>
        <v>0</v>
      </c>
      <c r="T495" s="62">
        <f>1-1</f>
        <v>0</v>
      </c>
      <c r="U495" s="62">
        <f t="shared" ref="S495:W497" si="46">1-1</f>
        <v>0</v>
      </c>
      <c r="V495" s="62"/>
      <c r="W495" s="63"/>
      <c r="X495" s="63"/>
      <c r="Z495" s="64"/>
      <c r="AA495" s="54"/>
      <c r="AB495" s="54"/>
      <c r="AC495" s="54"/>
    </row>
    <row r="496" spans="1:29" ht="60" hidden="1" customHeight="1" x14ac:dyDescent="0.2">
      <c r="A496" s="50" t="s">
        <v>798</v>
      </c>
      <c r="B496" s="51"/>
      <c r="C496" s="66" t="s">
        <v>99</v>
      </c>
      <c r="D496" s="53" t="s">
        <v>33</v>
      </c>
      <c r="E496" s="54" t="s">
        <v>34</v>
      </c>
      <c r="F496" s="55" t="s">
        <v>785</v>
      </c>
      <c r="G496" s="67" t="s">
        <v>41</v>
      </c>
      <c r="H496" s="57" t="s">
        <v>37</v>
      </c>
      <c r="I496" s="55" t="s">
        <v>38</v>
      </c>
      <c r="J496" s="57" t="e">
        <f>ROUND(#REF!*2.4,-1)</f>
        <v>#REF!</v>
      </c>
      <c r="K496" s="58"/>
      <c r="L496" s="59">
        <f>4-4</f>
        <v>0</v>
      </c>
      <c r="M496" s="60"/>
      <c r="N496" s="61"/>
      <c r="O496" s="61"/>
      <c r="P496" s="62"/>
      <c r="Q496" s="62">
        <f>1-1</f>
        <v>0</v>
      </c>
      <c r="R496" s="62">
        <f>4-4</f>
        <v>0</v>
      </c>
      <c r="S496" s="62">
        <f t="shared" si="46"/>
        <v>0</v>
      </c>
      <c r="T496" s="62">
        <f t="shared" si="46"/>
        <v>0</v>
      </c>
      <c r="U496" s="62">
        <f t="shared" si="46"/>
        <v>0</v>
      </c>
      <c r="V496" s="62"/>
      <c r="W496" s="63"/>
      <c r="X496" s="63"/>
      <c r="Z496" s="64"/>
      <c r="AA496" s="54"/>
      <c r="AB496" s="54"/>
      <c r="AC496" s="54"/>
    </row>
    <row r="497" spans="1:29" ht="60" customHeight="1" x14ac:dyDescent="0.2">
      <c r="A497" s="50" t="s">
        <v>799</v>
      </c>
      <c r="B497" s="70"/>
      <c r="C497" s="66" t="s">
        <v>105</v>
      </c>
      <c r="D497" s="53" t="s">
        <v>33</v>
      </c>
      <c r="E497" s="54" t="s">
        <v>34</v>
      </c>
      <c r="F497" s="55" t="s">
        <v>785</v>
      </c>
      <c r="G497" s="56" t="s">
        <v>36</v>
      </c>
      <c r="H497" s="57" t="s">
        <v>37</v>
      </c>
      <c r="I497" s="55" t="s">
        <v>38</v>
      </c>
      <c r="J497" s="57" t="e">
        <f>ROUND(#REF!*2.4,-1)</f>
        <v>#REF!</v>
      </c>
      <c r="K497" s="58"/>
      <c r="L497" s="59">
        <f>1-1+1</f>
        <v>1</v>
      </c>
      <c r="M497" s="60"/>
      <c r="N497" s="61"/>
      <c r="O497" s="61"/>
      <c r="P497" s="62"/>
      <c r="Q497" s="62">
        <f>1-1</f>
        <v>0</v>
      </c>
      <c r="R497" s="62">
        <f>3-1+1-3</f>
        <v>0</v>
      </c>
      <c r="S497" s="62">
        <f t="shared" si="46"/>
        <v>0</v>
      </c>
      <c r="T497" s="62">
        <f>1-1+1</f>
        <v>1</v>
      </c>
      <c r="U497" s="62">
        <f t="shared" si="46"/>
        <v>0</v>
      </c>
      <c r="V497" s="62"/>
      <c r="W497" s="63"/>
      <c r="X497" s="63"/>
      <c r="Z497" s="64"/>
      <c r="AA497" s="54"/>
      <c r="AB497" s="54"/>
      <c r="AC497" s="54"/>
    </row>
    <row r="498" spans="1:29" ht="60" customHeight="1" x14ac:dyDescent="0.2">
      <c r="A498" s="50" t="s">
        <v>800</v>
      </c>
      <c r="B498" s="74"/>
      <c r="C498" s="66" t="s">
        <v>582</v>
      </c>
      <c r="D498" s="53" t="s">
        <v>33</v>
      </c>
      <c r="E498" s="54" t="s">
        <v>34</v>
      </c>
      <c r="F498" s="55" t="s">
        <v>785</v>
      </c>
      <c r="G498" s="56" t="s">
        <v>36</v>
      </c>
      <c r="H498" s="57" t="s">
        <v>37</v>
      </c>
      <c r="I498" s="55" t="s">
        <v>38</v>
      </c>
      <c r="J498" s="57" t="e">
        <f>ROUND(#REF!*2.4,-1)</f>
        <v>#REF!</v>
      </c>
      <c r="K498" s="58"/>
      <c r="L498" s="59">
        <f>1-1+1</f>
        <v>1</v>
      </c>
      <c r="M498" s="60"/>
      <c r="N498" s="61"/>
      <c r="O498" s="61"/>
      <c r="P498" s="62"/>
      <c r="Q498" s="62">
        <f>1-1</f>
        <v>0</v>
      </c>
      <c r="R498" s="62">
        <f>1-1+1</f>
        <v>1</v>
      </c>
      <c r="S498" s="62">
        <f>1-1</f>
        <v>0</v>
      </c>
      <c r="T498" s="62"/>
      <c r="U498" s="62"/>
      <c r="V498" s="62"/>
      <c r="W498" s="63"/>
      <c r="X498" s="63"/>
      <c r="Z498" s="64"/>
      <c r="AA498" s="54"/>
      <c r="AB498" s="54"/>
      <c r="AC498" s="54"/>
    </row>
    <row r="499" spans="1:29" ht="60" hidden="1" customHeight="1" x14ac:dyDescent="0.2">
      <c r="A499" s="50" t="s">
        <v>801</v>
      </c>
      <c r="B499" s="51"/>
      <c r="C499" s="87" t="s">
        <v>456</v>
      </c>
      <c r="D499" s="53" t="s">
        <v>33</v>
      </c>
      <c r="E499" s="54" t="s">
        <v>34</v>
      </c>
      <c r="F499" s="55" t="s">
        <v>785</v>
      </c>
      <c r="G499" s="67" t="s">
        <v>41</v>
      </c>
      <c r="H499" s="57" t="s">
        <v>84</v>
      </c>
      <c r="I499" s="55" t="s">
        <v>38</v>
      </c>
      <c r="J499" s="57" t="e">
        <f>ROUND(#REF!*2.4,-1)</f>
        <v>#REF!</v>
      </c>
      <c r="K499" s="58"/>
      <c r="L499" s="59">
        <v>0</v>
      </c>
      <c r="M499" s="60"/>
      <c r="N499" s="61"/>
      <c r="O499" s="61"/>
      <c r="P499" s="62"/>
      <c r="Q499" s="62"/>
      <c r="R499" s="62"/>
      <c r="S499" s="62"/>
      <c r="T499" s="62"/>
      <c r="U499" s="62"/>
      <c r="V499" s="62"/>
      <c r="W499" s="63"/>
      <c r="X499" s="63"/>
      <c r="Z499" s="64"/>
      <c r="AA499" s="54"/>
      <c r="AB499" s="54"/>
      <c r="AC499" s="54"/>
    </row>
    <row r="500" spans="1:29" ht="60" hidden="1" customHeight="1" x14ac:dyDescent="0.2">
      <c r="A500" s="50" t="s">
        <v>802</v>
      </c>
      <c r="B500" s="74"/>
      <c r="C500" s="66" t="s">
        <v>142</v>
      </c>
      <c r="D500" s="53" t="s">
        <v>33</v>
      </c>
      <c r="E500" s="54" t="s">
        <v>34</v>
      </c>
      <c r="F500" s="55" t="s">
        <v>785</v>
      </c>
      <c r="G500" s="67" t="s">
        <v>41</v>
      </c>
      <c r="H500" s="57" t="s">
        <v>84</v>
      </c>
      <c r="I500" s="55" t="s">
        <v>38</v>
      </c>
      <c r="J500" s="57" t="e">
        <f>ROUND(#REF!*2.4,-1)</f>
        <v>#REF!</v>
      </c>
      <c r="K500" s="58"/>
      <c r="L500" s="59">
        <f>1-1</f>
        <v>0</v>
      </c>
      <c r="M500" s="60"/>
      <c r="N500" s="61"/>
      <c r="O500" s="61"/>
      <c r="P500" s="62"/>
      <c r="Q500" s="62">
        <f>1-1</f>
        <v>0</v>
      </c>
      <c r="R500" s="62">
        <f>2-2</f>
        <v>0</v>
      </c>
      <c r="S500" s="62"/>
      <c r="T500" s="62">
        <f>1-1</f>
        <v>0</v>
      </c>
      <c r="U500" s="62"/>
      <c r="V500" s="62"/>
      <c r="W500" s="63"/>
      <c r="X500" s="63"/>
      <c r="Z500" s="64"/>
      <c r="AA500" s="54"/>
      <c r="AB500" s="54"/>
      <c r="AC500" s="54"/>
    </row>
    <row r="501" spans="1:29" ht="60" customHeight="1" x14ac:dyDescent="0.2">
      <c r="A501" s="50" t="s">
        <v>803</v>
      </c>
      <c r="B501" s="74"/>
      <c r="C501" s="66" t="s">
        <v>804</v>
      </c>
      <c r="D501" s="53" t="s">
        <v>33</v>
      </c>
      <c r="E501" s="54" t="s">
        <v>34</v>
      </c>
      <c r="F501" s="55" t="s">
        <v>785</v>
      </c>
      <c r="G501" s="56" t="s">
        <v>36</v>
      </c>
      <c r="H501" s="57" t="s">
        <v>442</v>
      </c>
      <c r="I501" s="55" t="s">
        <v>38</v>
      </c>
      <c r="J501" s="57" t="e">
        <f>ROUND(#REF!*2.4,-1)</f>
        <v>#REF!</v>
      </c>
      <c r="K501" s="58"/>
      <c r="L501" s="59">
        <f>2-1+2</f>
        <v>3</v>
      </c>
      <c r="M501" s="60"/>
      <c r="N501" s="61"/>
      <c r="O501" s="61"/>
      <c r="P501" s="62"/>
      <c r="Q501" s="62">
        <f>2-1+1</f>
        <v>2</v>
      </c>
      <c r="R501" s="62">
        <f>1-1+1</f>
        <v>1</v>
      </c>
      <c r="S501" s="62"/>
      <c r="T501" s="62"/>
      <c r="U501" s="62"/>
      <c r="V501" s="62"/>
      <c r="W501" s="63"/>
      <c r="X501" s="63"/>
      <c r="Z501" s="64"/>
      <c r="AA501" s="54"/>
      <c r="AB501" s="54"/>
      <c r="AC501" s="54"/>
    </row>
    <row r="502" spans="1:29" ht="60" hidden="1" customHeight="1" x14ac:dyDescent="0.2">
      <c r="A502" s="50" t="s">
        <v>805</v>
      </c>
      <c r="B502" s="74"/>
      <c r="C502" s="66" t="s">
        <v>613</v>
      </c>
      <c r="D502" s="53" t="s">
        <v>33</v>
      </c>
      <c r="E502" s="54" t="s">
        <v>34</v>
      </c>
      <c r="F502" s="55" t="s">
        <v>785</v>
      </c>
      <c r="G502" s="67" t="s">
        <v>41</v>
      </c>
      <c r="H502" s="57" t="s">
        <v>442</v>
      </c>
      <c r="I502" s="55" t="s">
        <v>38</v>
      </c>
      <c r="J502" s="57" t="e">
        <f>ROUND(#REF!*2.4,-1)</f>
        <v>#REF!</v>
      </c>
      <c r="K502" s="58"/>
      <c r="L502" s="59">
        <f>1-1</f>
        <v>0</v>
      </c>
      <c r="M502" s="60"/>
      <c r="N502" s="61"/>
      <c r="O502" s="61"/>
      <c r="P502" s="62"/>
      <c r="Q502" s="62"/>
      <c r="R502" s="62"/>
      <c r="S502" s="62"/>
      <c r="T502" s="62">
        <f>1-1</f>
        <v>0</v>
      </c>
      <c r="U502" s="62"/>
      <c r="V502" s="62"/>
      <c r="W502" s="63"/>
      <c r="X502" s="63"/>
      <c r="Z502" s="64"/>
      <c r="AA502" s="54"/>
      <c r="AB502" s="54"/>
      <c r="AC502" s="54"/>
    </row>
    <row r="503" spans="1:29" ht="60" customHeight="1" x14ac:dyDescent="0.2">
      <c r="A503" s="69" t="s">
        <v>806</v>
      </c>
      <c r="B503" s="74"/>
      <c r="C503" s="66" t="s">
        <v>205</v>
      </c>
      <c r="D503" s="53" t="s">
        <v>58</v>
      </c>
      <c r="E503" s="54" t="s">
        <v>34</v>
      </c>
      <c r="F503" s="55" t="s">
        <v>59</v>
      </c>
      <c r="G503" s="67" t="s">
        <v>50</v>
      </c>
      <c r="H503" s="57" t="s">
        <v>37</v>
      </c>
      <c r="I503" s="55" t="s">
        <v>51</v>
      </c>
      <c r="J503" s="57" t="e">
        <f>ROUND(#REF!*2.4,-1)</f>
        <v>#REF!</v>
      </c>
      <c r="K503" s="58"/>
      <c r="L503" s="59">
        <f>1-1+1</f>
        <v>1</v>
      </c>
      <c r="M503" s="60"/>
      <c r="N503" s="61"/>
      <c r="O503" s="61"/>
      <c r="P503" s="62">
        <f>2-2</f>
        <v>0</v>
      </c>
      <c r="Q503" s="62">
        <f>1-1+1</f>
        <v>1</v>
      </c>
      <c r="R503" s="62">
        <f>3-3</f>
        <v>0</v>
      </c>
      <c r="S503" s="62">
        <f>1-1</f>
        <v>0</v>
      </c>
      <c r="T503" s="62">
        <f>1-1</f>
        <v>0</v>
      </c>
      <c r="U503" s="62"/>
      <c r="V503" s="62"/>
      <c r="W503" s="63"/>
      <c r="X503" s="63"/>
      <c r="Z503" s="64"/>
      <c r="AA503" s="54"/>
      <c r="AB503" s="54"/>
      <c r="AC503" s="54"/>
    </row>
    <row r="504" spans="1:29" ht="60" hidden="1" customHeight="1" x14ac:dyDescent="0.2">
      <c r="A504" s="69" t="s">
        <v>807</v>
      </c>
      <c r="B504" s="78"/>
      <c r="C504" s="66" t="s">
        <v>808</v>
      </c>
      <c r="D504" s="53" t="s">
        <v>809</v>
      </c>
      <c r="E504" s="54" t="s">
        <v>34</v>
      </c>
      <c r="F504" s="55" t="s">
        <v>810</v>
      </c>
      <c r="G504" s="67" t="s">
        <v>50</v>
      </c>
      <c r="H504" s="57" t="s">
        <v>37</v>
      </c>
      <c r="I504" s="55" t="s">
        <v>51</v>
      </c>
      <c r="J504" s="57" t="e">
        <f>ROUND(#REF!*2.4,-1)</f>
        <v>#REF!</v>
      </c>
      <c r="K504" s="58"/>
      <c r="L504" s="59">
        <v>0</v>
      </c>
      <c r="M504" s="60"/>
      <c r="N504" s="61"/>
      <c r="O504" s="61"/>
      <c r="P504" s="62"/>
      <c r="Q504" s="62"/>
      <c r="R504" s="62"/>
      <c r="S504" s="62"/>
      <c r="T504" s="62"/>
      <c r="U504" s="62"/>
      <c r="V504" s="62"/>
      <c r="W504" s="63"/>
      <c r="X504" s="63"/>
      <c r="Z504" s="64"/>
      <c r="AA504" s="54"/>
      <c r="AB504" s="54"/>
      <c r="AC504" s="54"/>
    </row>
    <row r="505" spans="1:29" ht="60" hidden="1" customHeight="1" x14ac:dyDescent="0.2">
      <c r="A505" s="69" t="s">
        <v>811</v>
      </c>
      <c r="B505" s="78"/>
      <c r="C505" s="66" t="s">
        <v>812</v>
      </c>
      <c r="D505" s="53" t="s">
        <v>809</v>
      </c>
      <c r="E505" s="54" t="s">
        <v>34</v>
      </c>
      <c r="F505" s="55" t="s">
        <v>810</v>
      </c>
      <c r="G505" s="67" t="s">
        <v>50</v>
      </c>
      <c r="H505" s="57" t="s">
        <v>37</v>
      </c>
      <c r="I505" s="55" t="s">
        <v>51</v>
      </c>
      <c r="J505" s="57" t="e">
        <f>ROUND(#REF!*2.4,-1)</f>
        <v>#REF!</v>
      </c>
      <c r="K505" s="58"/>
      <c r="L505" s="59">
        <f>1-1</f>
        <v>0</v>
      </c>
      <c r="M505" s="60"/>
      <c r="N505" s="61"/>
      <c r="O505" s="61"/>
      <c r="P505" s="62"/>
      <c r="Q505" s="62"/>
      <c r="R505" s="62">
        <f>1-1</f>
        <v>0</v>
      </c>
      <c r="S505" s="62">
        <f>1-1</f>
        <v>0</v>
      </c>
      <c r="T505" s="62"/>
      <c r="U505" s="62"/>
      <c r="V505" s="62"/>
      <c r="W505" s="63"/>
      <c r="X505" s="63"/>
      <c r="Z505" s="64"/>
      <c r="AA505" s="54"/>
      <c r="AB505" s="54"/>
      <c r="AC505" s="54"/>
    </row>
    <row r="506" spans="1:29" ht="60" hidden="1" customHeight="1" x14ac:dyDescent="0.2">
      <c r="A506" s="69" t="s">
        <v>813</v>
      </c>
      <c r="B506" s="78"/>
      <c r="C506" s="66" t="s">
        <v>808</v>
      </c>
      <c r="D506" s="53" t="s">
        <v>809</v>
      </c>
      <c r="E506" s="54" t="s">
        <v>34</v>
      </c>
      <c r="F506" s="55" t="s">
        <v>810</v>
      </c>
      <c r="G506" s="67" t="s">
        <v>50</v>
      </c>
      <c r="H506" s="57" t="s">
        <v>60</v>
      </c>
      <c r="I506" s="55" t="s">
        <v>51</v>
      </c>
      <c r="J506" s="57" t="e">
        <f>ROUND(#REF!*2.4,-1)</f>
        <v>#REF!</v>
      </c>
      <c r="K506" s="58"/>
      <c r="L506" s="59">
        <f>1-1</f>
        <v>0</v>
      </c>
      <c r="M506" s="60"/>
      <c r="N506" s="61"/>
      <c r="O506" s="61"/>
      <c r="P506" s="62"/>
      <c r="Q506" s="62">
        <f>1-1</f>
        <v>0</v>
      </c>
      <c r="R506" s="62"/>
      <c r="S506" s="62"/>
      <c r="T506" s="62"/>
      <c r="U506" s="62"/>
      <c r="V506" s="62"/>
      <c r="W506" s="63"/>
      <c r="X506" s="63"/>
      <c r="Z506" s="64"/>
      <c r="AA506" s="54"/>
      <c r="AB506" s="54"/>
      <c r="AC506" s="54"/>
    </row>
    <row r="507" spans="1:29" ht="60" hidden="1" customHeight="1" x14ac:dyDescent="0.2">
      <c r="A507" s="69" t="s">
        <v>814</v>
      </c>
      <c r="B507" s="78"/>
      <c r="C507" s="66" t="s">
        <v>815</v>
      </c>
      <c r="D507" s="53" t="s">
        <v>809</v>
      </c>
      <c r="E507" s="54" t="s">
        <v>34</v>
      </c>
      <c r="F507" s="55" t="s">
        <v>810</v>
      </c>
      <c r="G507" s="56" t="s">
        <v>36</v>
      </c>
      <c r="H507" s="57" t="s">
        <v>60</v>
      </c>
      <c r="I507" s="55" t="s">
        <v>51</v>
      </c>
      <c r="J507" s="57" t="e">
        <f>ROUND(#REF!*2.4,-1)</f>
        <v>#REF!</v>
      </c>
      <c r="K507" s="58"/>
      <c r="L507" s="59">
        <f>1-1</f>
        <v>0</v>
      </c>
      <c r="M507" s="60"/>
      <c r="N507" s="61"/>
      <c r="O507" s="61"/>
      <c r="P507" s="62">
        <f>1-1</f>
        <v>0</v>
      </c>
      <c r="Q507" s="62">
        <f>1-1</f>
        <v>0</v>
      </c>
      <c r="R507" s="62">
        <f>1-1</f>
        <v>0</v>
      </c>
      <c r="S507" s="62">
        <f>1-1</f>
        <v>0</v>
      </c>
      <c r="T507" s="62"/>
      <c r="U507" s="62"/>
      <c r="V507" s="62"/>
      <c r="W507" s="63"/>
      <c r="X507" s="63"/>
      <c r="Z507" s="64"/>
      <c r="AA507" s="54"/>
      <c r="AB507" s="54"/>
      <c r="AC507" s="54"/>
    </row>
    <row r="508" spans="1:29" ht="60" hidden="1" customHeight="1" x14ac:dyDescent="0.2">
      <c r="A508" s="69" t="s">
        <v>816</v>
      </c>
      <c r="B508" s="78"/>
      <c r="C508" s="66" t="s">
        <v>812</v>
      </c>
      <c r="D508" s="53" t="s">
        <v>809</v>
      </c>
      <c r="E508" s="54" t="s">
        <v>34</v>
      </c>
      <c r="F508" s="55" t="s">
        <v>810</v>
      </c>
      <c r="G508" s="67" t="s">
        <v>50</v>
      </c>
      <c r="H508" s="57" t="s">
        <v>375</v>
      </c>
      <c r="I508" s="55" t="s">
        <v>51</v>
      </c>
      <c r="J508" s="57" t="e">
        <f>ROUND(#REF!*2.4,-1)</f>
        <v>#REF!</v>
      </c>
      <c r="K508" s="58"/>
      <c r="L508" s="59">
        <f>1-1</f>
        <v>0</v>
      </c>
      <c r="M508" s="60"/>
      <c r="N508" s="61"/>
      <c r="O508" s="61"/>
      <c r="P508" s="62">
        <f>1-1</f>
        <v>0</v>
      </c>
      <c r="Q508" s="62">
        <f>1-1</f>
        <v>0</v>
      </c>
      <c r="R508" s="62">
        <f>1-1</f>
        <v>0</v>
      </c>
      <c r="S508" s="62">
        <f>1-1</f>
        <v>0</v>
      </c>
      <c r="T508" s="62"/>
      <c r="U508" s="62"/>
      <c r="V508" s="62"/>
      <c r="W508" s="63"/>
      <c r="X508" s="63"/>
      <c r="Z508" s="64"/>
      <c r="AA508" s="54"/>
      <c r="AB508" s="54"/>
      <c r="AC508" s="54"/>
    </row>
    <row r="509" spans="1:29" ht="25.5" x14ac:dyDescent="0.2">
      <c r="A509" s="69" t="s">
        <v>817</v>
      </c>
      <c r="B509" s="51"/>
      <c r="C509" s="54" t="s">
        <v>486</v>
      </c>
      <c r="D509" s="57" t="s">
        <v>58</v>
      </c>
      <c r="E509" s="54" t="s">
        <v>34</v>
      </c>
      <c r="F509" s="67" t="s">
        <v>59</v>
      </c>
      <c r="G509" s="67" t="s">
        <v>487</v>
      </c>
      <c r="H509" s="57" t="s">
        <v>37</v>
      </c>
      <c r="I509" s="67" t="s">
        <v>51</v>
      </c>
      <c r="J509" s="57" t="e">
        <f>ROUND(#REF!*2.4,-1)</f>
        <v>#REF!</v>
      </c>
      <c r="K509" s="58"/>
      <c r="L509" s="59">
        <f>22-1</f>
        <v>21</v>
      </c>
      <c r="M509" s="60"/>
      <c r="N509" s="61"/>
      <c r="O509" s="61"/>
      <c r="P509" s="62">
        <f>5-2+2</f>
        <v>5</v>
      </c>
      <c r="Q509" s="62">
        <f>5-2+1</f>
        <v>4</v>
      </c>
      <c r="R509" s="62">
        <f>5-2+1</f>
        <v>4</v>
      </c>
      <c r="S509" s="62">
        <f>4-1</f>
        <v>3</v>
      </c>
      <c r="T509" s="62">
        <f>5-2+2</f>
        <v>5</v>
      </c>
      <c r="U509" s="62"/>
      <c r="V509" s="62"/>
      <c r="W509" s="63"/>
      <c r="X509" s="63"/>
      <c r="Z509" s="93"/>
      <c r="AA509" s="54"/>
      <c r="AB509" s="54"/>
      <c r="AC509" s="54"/>
    </row>
    <row r="510" spans="1:29" ht="25.5" hidden="1" x14ac:dyDescent="0.2">
      <c r="A510" s="69" t="s">
        <v>818</v>
      </c>
      <c r="B510" s="51"/>
      <c r="C510" s="54" t="s">
        <v>486</v>
      </c>
      <c r="D510" s="57" t="s">
        <v>58</v>
      </c>
      <c r="E510" s="54" t="s">
        <v>34</v>
      </c>
      <c r="F510" s="67" t="s">
        <v>59</v>
      </c>
      <c r="G510" s="67" t="s">
        <v>487</v>
      </c>
      <c r="H510" s="57" t="s">
        <v>37</v>
      </c>
      <c r="I510" s="67" t="s">
        <v>51</v>
      </c>
      <c r="J510" s="57" t="e">
        <f>ROUND(#REF!*2.4,-1)</f>
        <v>#REF!</v>
      </c>
      <c r="K510" s="58"/>
      <c r="L510" s="59">
        <f>0</f>
        <v>0</v>
      </c>
      <c r="M510" s="60"/>
      <c r="N510" s="61"/>
      <c r="O510" s="61"/>
      <c r="P510" s="62">
        <f>0</f>
        <v>0</v>
      </c>
      <c r="Q510" s="62">
        <f>0</f>
        <v>0</v>
      </c>
      <c r="R510" s="62">
        <f>0</f>
        <v>0</v>
      </c>
      <c r="S510" s="62">
        <f>0</f>
        <v>0</v>
      </c>
      <c r="T510" s="62">
        <f>0</f>
        <v>0</v>
      </c>
      <c r="U510" s="62"/>
      <c r="V510" s="62"/>
      <c r="W510" s="63"/>
      <c r="X510" s="63"/>
      <c r="Z510" s="93"/>
      <c r="AA510" s="54"/>
      <c r="AB510" s="54"/>
      <c r="AC510" s="54"/>
    </row>
    <row r="511" spans="1:29" ht="60" hidden="1" customHeight="1" x14ac:dyDescent="0.2">
      <c r="A511" s="69" t="s">
        <v>819</v>
      </c>
      <c r="B511" s="51"/>
      <c r="C511" s="66" t="s">
        <v>489</v>
      </c>
      <c r="D511" s="57" t="s">
        <v>58</v>
      </c>
      <c r="E511" s="54" t="s">
        <v>34</v>
      </c>
      <c r="F511" s="67" t="s">
        <v>59</v>
      </c>
      <c r="G511" s="67" t="s">
        <v>50</v>
      </c>
      <c r="H511" s="57" t="s">
        <v>37</v>
      </c>
      <c r="I511" s="67" t="s">
        <v>51</v>
      </c>
      <c r="J511" s="106">
        <v>1300</v>
      </c>
      <c r="K511" s="58"/>
      <c r="L511" s="59">
        <v>0</v>
      </c>
      <c r="M511" s="60"/>
      <c r="N511" s="61"/>
      <c r="O511" s="61"/>
      <c r="P511" s="62"/>
      <c r="Q511" s="62"/>
      <c r="R511" s="62"/>
      <c r="S511" s="62"/>
      <c r="T511" s="62"/>
      <c r="U511" s="62"/>
      <c r="V511" s="62"/>
      <c r="W511" s="63"/>
      <c r="X511" s="63"/>
      <c r="Z511" s="71"/>
      <c r="AA511" s="54"/>
      <c r="AB511" s="54"/>
      <c r="AC511" s="54"/>
    </row>
    <row r="512" spans="1:29" ht="60" hidden="1" customHeight="1" x14ac:dyDescent="0.2">
      <c r="A512" s="69" t="s">
        <v>820</v>
      </c>
      <c r="B512" s="74"/>
      <c r="C512" s="87" t="s">
        <v>821</v>
      </c>
      <c r="D512" s="57" t="s">
        <v>58</v>
      </c>
      <c r="E512" s="54" t="s">
        <v>34</v>
      </c>
      <c r="F512" s="67" t="s">
        <v>59</v>
      </c>
      <c r="G512" s="67" t="s">
        <v>50</v>
      </c>
      <c r="H512" s="57" t="s">
        <v>37</v>
      </c>
      <c r="I512" s="67" t="s">
        <v>51</v>
      </c>
      <c r="J512" s="57" t="e">
        <f>ROUND(#REF!*2.4,-1)</f>
        <v>#REF!</v>
      </c>
      <c r="K512" s="58"/>
      <c r="L512" s="59">
        <f>1-1</f>
        <v>0</v>
      </c>
      <c r="M512" s="60"/>
      <c r="N512" s="61"/>
      <c r="O512" s="61"/>
      <c r="P512" s="62">
        <f t="shared" ref="P512:T513" si="47">1-1</f>
        <v>0</v>
      </c>
      <c r="Q512" s="62">
        <f t="shared" si="47"/>
        <v>0</v>
      </c>
      <c r="R512" s="62">
        <f t="shared" si="47"/>
        <v>0</v>
      </c>
      <c r="S512" s="62">
        <f t="shared" si="47"/>
        <v>0</v>
      </c>
      <c r="T512" s="62">
        <f t="shared" si="47"/>
        <v>0</v>
      </c>
      <c r="U512" s="62"/>
      <c r="V512" s="62"/>
      <c r="W512" s="63"/>
      <c r="X512" s="63"/>
      <c r="Z512" s="64"/>
      <c r="AA512" s="54"/>
      <c r="AB512" s="54"/>
      <c r="AC512" s="54"/>
    </row>
    <row r="513" spans="1:29" ht="60" hidden="1" customHeight="1" x14ac:dyDescent="0.2">
      <c r="A513" s="69" t="s">
        <v>822</v>
      </c>
      <c r="B513" s="51"/>
      <c r="C513" s="66" t="s">
        <v>182</v>
      </c>
      <c r="D513" s="53" t="s">
        <v>58</v>
      </c>
      <c r="E513" s="54" t="s">
        <v>34</v>
      </c>
      <c r="F513" s="55" t="s">
        <v>59</v>
      </c>
      <c r="G513" s="67" t="s">
        <v>50</v>
      </c>
      <c r="H513" s="57" t="s">
        <v>37</v>
      </c>
      <c r="I513" s="55" t="s">
        <v>51</v>
      </c>
      <c r="J513" s="57" t="e">
        <f>ROUND(#REF!*2.4,-1)</f>
        <v>#REF!</v>
      </c>
      <c r="K513" s="58"/>
      <c r="L513" s="59">
        <f>1-1</f>
        <v>0</v>
      </c>
      <c r="M513" s="60"/>
      <c r="N513" s="61"/>
      <c r="O513" s="61"/>
      <c r="P513" s="62">
        <f t="shared" si="47"/>
        <v>0</v>
      </c>
      <c r="Q513" s="62">
        <f t="shared" si="47"/>
        <v>0</v>
      </c>
      <c r="R513" s="62">
        <f t="shared" si="47"/>
        <v>0</v>
      </c>
      <c r="S513" s="62">
        <f t="shared" si="47"/>
        <v>0</v>
      </c>
      <c r="T513" s="62">
        <f t="shared" si="47"/>
        <v>0</v>
      </c>
      <c r="U513" s="62"/>
      <c r="V513" s="62"/>
      <c r="W513" s="63"/>
      <c r="X513" s="63"/>
      <c r="Z513" s="64"/>
      <c r="AA513" s="54"/>
      <c r="AB513" s="54"/>
      <c r="AC513" s="54"/>
    </row>
    <row r="514" spans="1:29" ht="60" hidden="1" customHeight="1" x14ac:dyDescent="0.2">
      <c r="A514" s="69" t="s">
        <v>823</v>
      </c>
      <c r="B514" s="74"/>
      <c r="C514" s="66" t="s">
        <v>500</v>
      </c>
      <c r="D514" s="53" t="s">
        <v>58</v>
      </c>
      <c r="E514" s="54" t="s">
        <v>34</v>
      </c>
      <c r="F514" s="55" t="s">
        <v>59</v>
      </c>
      <c r="G514" s="67" t="s">
        <v>50</v>
      </c>
      <c r="H514" s="57" t="s">
        <v>37</v>
      </c>
      <c r="I514" s="55" t="s">
        <v>51</v>
      </c>
      <c r="J514" s="57" t="e">
        <f>ROUND(#REF!*2.4,-1)</f>
        <v>#REF!</v>
      </c>
      <c r="K514" s="58"/>
      <c r="L514" s="59">
        <f>1-1</f>
        <v>0</v>
      </c>
      <c r="M514" s="60"/>
      <c r="N514" s="61"/>
      <c r="O514" s="61"/>
      <c r="P514" s="62">
        <f>1-1</f>
        <v>0</v>
      </c>
      <c r="Q514" s="62"/>
      <c r="R514" s="62"/>
      <c r="S514" s="62">
        <f>1-1</f>
        <v>0</v>
      </c>
      <c r="T514" s="62">
        <f>1-1</f>
        <v>0</v>
      </c>
      <c r="U514" s="62"/>
      <c r="V514" s="62"/>
      <c r="W514" s="63"/>
      <c r="X514" s="63"/>
      <c r="Z514" s="64"/>
      <c r="AA514" s="54"/>
      <c r="AB514" s="54"/>
      <c r="AC514" s="54"/>
    </row>
    <row r="515" spans="1:29" ht="60" hidden="1" customHeight="1" x14ac:dyDescent="0.2">
      <c r="A515" s="69" t="s">
        <v>824</v>
      </c>
      <c r="B515" s="74"/>
      <c r="C515" s="66" t="s">
        <v>503</v>
      </c>
      <c r="D515" s="53" t="s">
        <v>58</v>
      </c>
      <c r="E515" s="54" t="s">
        <v>34</v>
      </c>
      <c r="F515" s="55" t="s">
        <v>59</v>
      </c>
      <c r="G515" s="67" t="s">
        <v>50</v>
      </c>
      <c r="H515" s="57" t="s">
        <v>37</v>
      </c>
      <c r="I515" s="55" t="s">
        <v>51</v>
      </c>
      <c r="J515" s="57" t="e">
        <f>ROUND(#REF!*2.4,-1)</f>
        <v>#REF!</v>
      </c>
      <c r="K515" s="58"/>
      <c r="L515" s="59">
        <v>0</v>
      </c>
      <c r="M515" s="60"/>
      <c r="N515" s="61"/>
      <c r="O515" s="61"/>
      <c r="P515" s="62"/>
      <c r="Q515" s="62"/>
      <c r="R515" s="62"/>
      <c r="S515" s="62"/>
      <c r="T515" s="62"/>
      <c r="U515" s="62"/>
      <c r="V515" s="62"/>
      <c r="W515" s="63"/>
      <c r="X515" s="63"/>
      <c r="Z515" s="64"/>
      <c r="AA515" s="54"/>
      <c r="AB515" s="54"/>
      <c r="AC515" s="54"/>
    </row>
    <row r="516" spans="1:29" ht="60" hidden="1" customHeight="1" x14ac:dyDescent="0.2">
      <c r="A516" s="69" t="s">
        <v>825</v>
      </c>
      <c r="B516" s="74"/>
      <c r="C516" s="66" t="s">
        <v>235</v>
      </c>
      <c r="D516" s="53" t="s">
        <v>58</v>
      </c>
      <c r="E516" s="54" t="s">
        <v>34</v>
      </c>
      <c r="F516" s="55" t="s">
        <v>59</v>
      </c>
      <c r="G516" s="56" t="s">
        <v>36</v>
      </c>
      <c r="H516" s="57" t="s">
        <v>37</v>
      </c>
      <c r="I516" s="55" t="s">
        <v>51</v>
      </c>
      <c r="J516" s="57" t="e">
        <f>ROUND(#REF!*2.4,-1)</f>
        <v>#REF!</v>
      </c>
      <c r="K516" s="58"/>
      <c r="L516" s="59">
        <f>1-1</f>
        <v>0</v>
      </c>
      <c r="M516" s="60"/>
      <c r="N516" s="61"/>
      <c r="O516" s="61"/>
      <c r="P516" s="62">
        <f>1-1</f>
        <v>0</v>
      </c>
      <c r="Q516" s="62">
        <f t="shared" ref="Q516:S517" si="48">1-1</f>
        <v>0</v>
      </c>
      <c r="R516" s="62">
        <f t="shared" si="48"/>
        <v>0</v>
      </c>
      <c r="S516" s="62">
        <f t="shared" si="48"/>
        <v>0</v>
      </c>
      <c r="T516" s="62"/>
      <c r="U516" s="62"/>
      <c r="V516" s="62"/>
      <c r="W516" s="63"/>
      <c r="X516" s="63"/>
      <c r="Z516" s="64"/>
      <c r="AA516" s="54"/>
      <c r="AB516" s="54"/>
      <c r="AC516" s="54"/>
    </row>
    <row r="517" spans="1:29" ht="60" hidden="1" customHeight="1" x14ac:dyDescent="0.2">
      <c r="A517" s="69" t="s">
        <v>826</v>
      </c>
      <c r="B517" s="51"/>
      <c r="C517" s="66" t="s">
        <v>827</v>
      </c>
      <c r="D517" s="53" t="s">
        <v>58</v>
      </c>
      <c r="E517" s="54" t="s">
        <v>34</v>
      </c>
      <c r="F517" s="55" t="s">
        <v>59</v>
      </c>
      <c r="G517" s="67" t="s">
        <v>50</v>
      </c>
      <c r="H517" s="57" t="s">
        <v>37</v>
      </c>
      <c r="I517" s="55" t="s">
        <v>51</v>
      </c>
      <c r="J517" s="57" t="e">
        <f>ROUND(#REF!*2.4,-1)</f>
        <v>#REF!</v>
      </c>
      <c r="K517" s="58"/>
      <c r="L517" s="59">
        <f>1-1</f>
        <v>0</v>
      </c>
      <c r="M517" s="60"/>
      <c r="N517" s="61"/>
      <c r="O517" s="61"/>
      <c r="P517" s="62">
        <f>1-1</f>
        <v>0</v>
      </c>
      <c r="Q517" s="62">
        <f>1-1</f>
        <v>0</v>
      </c>
      <c r="R517" s="62">
        <f>1-1</f>
        <v>0</v>
      </c>
      <c r="S517" s="62">
        <f t="shared" si="48"/>
        <v>0</v>
      </c>
      <c r="T517" s="62">
        <f>1-1</f>
        <v>0</v>
      </c>
      <c r="U517" s="62"/>
      <c r="V517" s="62"/>
      <c r="W517" s="63"/>
      <c r="X517" s="63"/>
      <c r="Z517" s="64"/>
      <c r="AA517" s="54"/>
      <c r="AB517" s="54"/>
      <c r="AC517" s="54"/>
    </row>
    <row r="518" spans="1:29" ht="60" customHeight="1" x14ac:dyDescent="0.2">
      <c r="A518" s="69" t="s">
        <v>828</v>
      </c>
      <c r="B518" s="51"/>
      <c r="C518" s="87" t="s">
        <v>350</v>
      </c>
      <c r="D518" s="53" t="s">
        <v>58</v>
      </c>
      <c r="E518" s="54" t="s">
        <v>34</v>
      </c>
      <c r="F518" s="55" t="s">
        <v>59</v>
      </c>
      <c r="G518" s="56" t="s">
        <v>36</v>
      </c>
      <c r="H518" s="57" t="s">
        <v>37</v>
      </c>
      <c r="I518" s="55" t="s">
        <v>51</v>
      </c>
      <c r="J518" s="57" t="e">
        <f>ROUND(#REF!*2.4,-1)</f>
        <v>#REF!</v>
      </c>
      <c r="K518" s="58"/>
      <c r="L518" s="59">
        <f>1-1+1</f>
        <v>1</v>
      </c>
      <c r="M518" s="60"/>
      <c r="N518" s="61"/>
      <c r="O518" s="61"/>
      <c r="P518" s="62">
        <f>1-1</f>
        <v>0</v>
      </c>
      <c r="Q518" s="62">
        <f>1-1+1</f>
        <v>1</v>
      </c>
      <c r="R518" s="62">
        <f>1-1</f>
        <v>0</v>
      </c>
      <c r="S518" s="62">
        <f>3-3</f>
        <v>0</v>
      </c>
      <c r="T518" s="62">
        <f>1-1</f>
        <v>0</v>
      </c>
      <c r="U518" s="62"/>
      <c r="V518" s="62"/>
      <c r="W518" s="63"/>
      <c r="X518" s="63"/>
      <c r="Z518" s="64"/>
      <c r="AA518" s="54">
        <v>3410144</v>
      </c>
      <c r="AB518" s="54">
        <v>386</v>
      </c>
      <c r="AC518" s="54"/>
    </row>
    <row r="519" spans="1:29" ht="60" hidden="1" customHeight="1" x14ac:dyDescent="0.2">
      <c r="A519" s="69" t="s">
        <v>829</v>
      </c>
      <c r="B519" s="70"/>
      <c r="C519" s="87" t="s">
        <v>830</v>
      </c>
      <c r="D519" s="57" t="s">
        <v>58</v>
      </c>
      <c r="E519" s="54" t="s">
        <v>34</v>
      </c>
      <c r="F519" s="67" t="s">
        <v>59</v>
      </c>
      <c r="G519" s="67" t="s">
        <v>50</v>
      </c>
      <c r="H519" s="57" t="s">
        <v>37</v>
      </c>
      <c r="I519" s="67" t="s">
        <v>51</v>
      </c>
      <c r="J519" s="57" t="e">
        <f>ROUND(#REF!*2.4,-1)</f>
        <v>#REF!</v>
      </c>
      <c r="K519" s="58"/>
      <c r="L519" s="59">
        <f>1-1</f>
        <v>0</v>
      </c>
      <c r="M519" s="60"/>
      <c r="N519" s="61"/>
      <c r="O519" s="61"/>
      <c r="P519" s="62"/>
      <c r="Q519" s="62"/>
      <c r="R519" s="62"/>
      <c r="S519" s="62"/>
      <c r="T519" s="62">
        <f>1-1</f>
        <v>0</v>
      </c>
      <c r="U519" s="62"/>
      <c r="V519" s="62"/>
      <c r="W519" s="63"/>
      <c r="X519" s="63"/>
      <c r="Z519" s="64"/>
      <c r="AA519" s="54"/>
      <c r="AB519" s="54"/>
      <c r="AC519" s="54"/>
    </row>
    <row r="520" spans="1:29" ht="60" hidden="1" customHeight="1" x14ac:dyDescent="0.2">
      <c r="A520" s="69" t="s">
        <v>831</v>
      </c>
      <c r="B520" s="70"/>
      <c r="C520" s="87" t="s">
        <v>832</v>
      </c>
      <c r="D520" s="57" t="s">
        <v>58</v>
      </c>
      <c r="E520" s="54" t="s">
        <v>34</v>
      </c>
      <c r="F520" s="67" t="s">
        <v>59</v>
      </c>
      <c r="G520" s="67" t="s">
        <v>50</v>
      </c>
      <c r="H520" s="57" t="s">
        <v>37</v>
      </c>
      <c r="I520" s="67" t="s">
        <v>51</v>
      </c>
      <c r="J520" s="57" t="e">
        <f>ROUND(#REF!*2.4,-1)</f>
        <v>#REF!</v>
      </c>
      <c r="K520" s="58"/>
      <c r="L520" s="59">
        <f>1-1</f>
        <v>0</v>
      </c>
      <c r="M520" s="60"/>
      <c r="N520" s="61"/>
      <c r="O520" s="61"/>
      <c r="P520" s="62">
        <f>1-1</f>
        <v>0</v>
      </c>
      <c r="Q520" s="62">
        <f>1-1</f>
        <v>0</v>
      </c>
      <c r="R520" s="62">
        <f>1-1</f>
        <v>0</v>
      </c>
      <c r="S520" s="62">
        <f>1-1</f>
        <v>0</v>
      </c>
      <c r="T520" s="62">
        <f>1-1</f>
        <v>0</v>
      </c>
      <c r="U520" s="62"/>
      <c r="V520" s="62"/>
      <c r="W520" s="63"/>
      <c r="X520" s="63"/>
      <c r="Z520" s="64"/>
      <c r="AA520" s="54"/>
      <c r="AB520" s="54"/>
      <c r="AC520" s="54"/>
    </row>
    <row r="521" spans="1:29" ht="60" hidden="1" customHeight="1" x14ac:dyDescent="0.2">
      <c r="A521" s="69" t="s">
        <v>833</v>
      </c>
      <c r="B521" s="70"/>
      <c r="C521" s="66" t="s">
        <v>834</v>
      </c>
      <c r="D521" s="57" t="s">
        <v>58</v>
      </c>
      <c r="E521" s="54" t="s">
        <v>34</v>
      </c>
      <c r="F521" s="67" t="s">
        <v>59</v>
      </c>
      <c r="G521" s="67" t="s">
        <v>50</v>
      </c>
      <c r="H521" s="57" t="s">
        <v>37</v>
      </c>
      <c r="I521" s="67" t="s">
        <v>51</v>
      </c>
      <c r="J521" s="57" t="e">
        <f>ROUND(#REF!*2.4,-1)</f>
        <v>#REF!</v>
      </c>
      <c r="K521" s="58"/>
      <c r="L521" s="59">
        <f>1-1</f>
        <v>0</v>
      </c>
      <c r="M521" s="60"/>
      <c r="N521" s="61"/>
      <c r="O521" s="61"/>
      <c r="P521" s="62"/>
      <c r="Q521" s="62"/>
      <c r="R521" s="62">
        <f>1-1</f>
        <v>0</v>
      </c>
      <c r="S521" s="62">
        <f>1-1</f>
        <v>0</v>
      </c>
      <c r="T521" s="62">
        <f>1-1</f>
        <v>0</v>
      </c>
      <c r="U521" s="62"/>
      <c r="V521" s="62"/>
      <c r="W521" s="63"/>
      <c r="X521" s="63"/>
      <c r="Z521" s="64"/>
      <c r="AA521" s="54"/>
      <c r="AB521" s="54"/>
      <c r="AC521" s="54"/>
    </row>
    <row r="522" spans="1:29" ht="60" hidden="1" customHeight="1" x14ac:dyDescent="0.2">
      <c r="A522" s="69" t="s">
        <v>835</v>
      </c>
      <c r="B522" s="70"/>
      <c r="C522" s="66" t="s">
        <v>836</v>
      </c>
      <c r="D522" s="57" t="s">
        <v>58</v>
      </c>
      <c r="E522" s="54" t="s">
        <v>34</v>
      </c>
      <c r="F522" s="67" t="s">
        <v>59</v>
      </c>
      <c r="G522" s="67" t="s">
        <v>50</v>
      </c>
      <c r="H522" s="57" t="s">
        <v>37</v>
      </c>
      <c r="I522" s="67" t="s">
        <v>51</v>
      </c>
      <c r="J522" s="57" t="e">
        <f>ROUND(#REF!*2.4,-1)</f>
        <v>#REF!</v>
      </c>
      <c r="K522" s="58"/>
      <c r="L522" s="59">
        <v>0</v>
      </c>
      <c r="M522" s="60"/>
      <c r="N522" s="61"/>
      <c r="O522" s="61"/>
      <c r="P522" s="62"/>
      <c r="Q522" s="62"/>
      <c r="R522" s="62"/>
      <c r="S522" s="62"/>
      <c r="T522" s="62"/>
      <c r="U522" s="62"/>
      <c r="V522" s="62"/>
      <c r="W522" s="63"/>
      <c r="X522" s="63"/>
      <c r="Z522" s="64"/>
      <c r="AA522" s="54"/>
      <c r="AB522" s="54"/>
      <c r="AC522" s="54"/>
    </row>
    <row r="523" spans="1:29" ht="60" hidden="1" customHeight="1" x14ac:dyDescent="0.2">
      <c r="A523" s="69" t="s">
        <v>837</v>
      </c>
      <c r="B523" s="70"/>
      <c r="C523" s="66" t="s">
        <v>838</v>
      </c>
      <c r="D523" s="57" t="s">
        <v>58</v>
      </c>
      <c r="E523" s="54" t="s">
        <v>34</v>
      </c>
      <c r="F523" s="67" t="s">
        <v>59</v>
      </c>
      <c r="G523" s="56" t="s">
        <v>36</v>
      </c>
      <c r="H523" s="57" t="s">
        <v>37</v>
      </c>
      <c r="I523" s="67" t="s">
        <v>51</v>
      </c>
      <c r="J523" s="57" t="e">
        <f>ROUND(#REF!*2.4,-1)</f>
        <v>#REF!</v>
      </c>
      <c r="K523" s="58"/>
      <c r="L523" s="59">
        <f>1-1</f>
        <v>0</v>
      </c>
      <c r="M523" s="60"/>
      <c r="N523" s="61"/>
      <c r="O523" s="61"/>
      <c r="P523" s="62">
        <f>1-1</f>
        <v>0</v>
      </c>
      <c r="Q523" s="62"/>
      <c r="R523" s="62">
        <f>1-1</f>
        <v>0</v>
      </c>
      <c r="S523" s="62"/>
      <c r="T523" s="62"/>
      <c r="U523" s="62"/>
      <c r="V523" s="62"/>
      <c r="W523" s="63"/>
      <c r="X523" s="63"/>
      <c r="Z523" s="64"/>
      <c r="AA523" s="54"/>
      <c r="AB523" s="54"/>
      <c r="AC523" s="54"/>
    </row>
    <row r="524" spans="1:29" ht="60" customHeight="1" x14ac:dyDescent="0.2">
      <c r="A524" s="69" t="s">
        <v>839</v>
      </c>
      <c r="B524" s="70"/>
      <c r="C524" s="66" t="s">
        <v>225</v>
      </c>
      <c r="D524" s="57" t="s">
        <v>58</v>
      </c>
      <c r="E524" s="54" t="s">
        <v>34</v>
      </c>
      <c r="F524" s="67" t="s">
        <v>59</v>
      </c>
      <c r="G524" s="56" t="s">
        <v>36</v>
      </c>
      <c r="H524" s="57" t="s">
        <v>37</v>
      </c>
      <c r="I524" s="67" t="s">
        <v>51</v>
      </c>
      <c r="J524" s="57" t="e">
        <f>ROUND(#REF!*2.4,-1)</f>
        <v>#REF!</v>
      </c>
      <c r="K524" s="58"/>
      <c r="L524" s="59">
        <f>2-1</f>
        <v>1</v>
      </c>
      <c r="M524" s="60"/>
      <c r="N524" s="61"/>
      <c r="O524" s="61"/>
      <c r="P524" s="62">
        <f>1-1</f>
        <v>0</v>
      </c>
      <c r="Q524" s="62">
        <f>1-1+1</f>
        <v>1</v>
      </c>
      <c r="R524" s="62">
        <f>1-1</f>
        <v>0</v>
      </c>
      <c r="S524" s="62">
        <f>1-1</f>
        <v>0</v>
      </c>
      <c r="T524" s="62">
        <f>1-1</f>
        <v>0</v>
      </c>
      <c r="U524" s="62"/>
      <c r="V524" s="62"/>
      <c r="W524" s="63"/>
      <c r="X524" s="63"/>
      <c r="Z524" s="64"/>
      <c r="AA524" s="54"/>
      <c r="AB524" s="54"/>
      <c r="AC524" s="54"/>
    </row>
    <row r="525" spans="1:29" ht="60" hidden="1" customHeight="1" x14ac:dyDescent="0.2">
      <c r="A525" s="69" t="s">
        <v>840</v>
      </c>
      <c r="B525" s="70"/>
      <c r="C525" s="66" t="s">
        <v>423</v>
      </c>
      <c r="D525" s="57" t="s">
        <v>58</v>
      </c>
      <c r="E525" s="54" t="s">
        <v>34</v>
      </c>
      <c r="F525" s="67" t="s">
        <v>59</v>
      </c>
      <c r="G525" s="67" t="s">
        <v>50</v>
      </c>
      <c r="H525" s="57" t="s">
        <v>37</v>
      </c>
      <c r="I525" s="55" t="s">
        <v>51</v>
      </c>
      <c r="J525" s="57" t="e">
        <f>ROUND(#REF!*2.4,-1)</f>
        <v>#REF!</v>
      </c>
      <c r="K525" s="58"/>
      <c r="L525" s="59">
        <f>1-1</f>
        <v>0</v>
      </c>
      <c r="M525" s="60"/>
      <c r="N525" s="61"/>
      <c r="O525" s="61"/>
      <c r="P525" s="62">
        <f>1-1</f>
        <v>0</v>
      </c>
      <c r="Q525" s="62">
        <f>1-1</f>
        <v>0</v>
      </c>
      <c r="R525" s="62">
        <v>0</v>
      </c>
      <c r="S525" s="62">
        <f>1-1</f>
        <v>0</v>
      </c>
      <c r="T525" s="62">
        <f>1-1</f>
        <v>0</v>
      </c>
      <c r="U525" s="62"/>
      <c r="V525" s="62"/>
      <c r="W525" s="63"/>
      <c r="X525" s="63"/>
      <c r="Z525" s="64"/>
      <c r="AA525" s="54"/>
      <c r="AB525" s="54"/>
      <c r="AC525" s="54"/>
    </row>
    <row r="526" spans="1:29" ht="60" hidden="1" customHeight="1" x14ac:dyDescent="0.2">
      <c r="A526" s="69" t="s">
        <v>841</v>
      </c>
      <c r="B526" s="70"/>
      <c r="C526" s="66" t="s">
        <v>423</v>
      </c>
      <c r="D526" s="57" t="s">
        <v>58</v>
      </c>
      <c r="E526" s="54" t="s">
        <v>34</v>
      </c>
      <c r="F526" s="67" t="s">
        <v>59</v>
      </c>
      <c r="G526" s="67" t="s">
        <v>50</v>
      </c>
      <c r="H526" s="57" t="s">
        <v>37</v>
      </c>
      <c r="I526" s="55" t="s">
        <v>51</v>
      </c>
      <c r="J526" s="57" t="e">
        <f>ROUND(#REF!*2.4,-1)</f>
        <v>#REF!</v>
      </c>
      <c r="K526" s="58"/>
      <c r="L526" s="59">
        <f t="shared" ref="L526:L531" si="49">1-1</f>
        <v>0</v>
      </c>
      <c r="M526" s="60"/>
      <c r="N526" s="61"/>
      <c r="O526" s="61"/>
      <c r="P526" s="62">
        <f>4-4</f>
        <v>0</v>
      </c>
      <c r="Q526" s="62">
        <f t="shared" ref="Q526:S527" si="50">1-1</f>
        <v>0</v>
      </c>
      <c r="R526" s="62">
        <f t="shared" si="50"/>
        <v>0</v>
      </c>
      <c r="S526" s="62">
        <f t="shared" si="50"/>
        <v>0</v>
      </c>
      <c r="T526" s="62">
        <f>1-1</f>
        <v>0</v>
      </c>
      <c r="U526" s="62"/>
      <c r="V526" s="62"/>
      <c r="W526" s="63"/>
      <c r="X526" s="63"/>
      <c r="Z526" s="64"/>
      <c r="AA526" s="54"/>
      <c r="AB526" s="54"/>
      <c r="AC526" s="54"/>
    </row>
    <row r="527" spans="1:29" ht="60" customHeight="1" x14ac:dyDescent="0.2">
      <c r="A527" s="69" t="s">
        <v>842</v>
      </c>
      <c r="B527" s="70"/>
      <c r="C527" s="66" t="s">
        <v>843</v>
      </c>
      <c r="D527" s="57" t="s">
        <v>58</v>
      </c>
      <c r="E527" s="54" t="s">
        <v>34</v>
      </c>
      <c r="F527" s="67" t="s">
        <v>59</v>
      </c>
      <c r="G527" s="56" t="s">
        <v>36</v>
      </c>
      <c r="H527" s="57" t="s">
        <v>37</v>
      </c>
      <c r="I527" s="55" t="s">
        <v>51</v>
      </c>
      <c r="J527" s="57" t="e">
        <f>ROUND(#REF!*2.4,-1)</f>
        <v>#REF!</v>
      </c>
      <c r="K527" s="58"/>
      <c r="L527" s="59">
        <f>3-3+2</f>
        <v>2</v>
      </c>
      <c r="M527" s="60"/>
      <c r="N527" s="61"/>
      <c r="O527" s="61"/>
      <c r="P527" s="62">
        <f>3-3</f>
        <v>0</v>
      </c>
      <c r="Q527" s="62">
        <f t="shared" si="50"/>
        <v>0</v>
      </c>
      <c r="R527" s="62">
        <f>1-1+1</f>
        <v>1</v>
      </c>
      <c r="S527" s="62">
        <f>1-1+1</f>
        <v>1</v>
      </c>
      <c r="T527" s="62">
        <f>1-1</f>
        <v>0</v>
      </c>
      <c r="U527" s="62"/>
      <c r="V527" s="62"/>
      <c r="W527" s="63"/>
      <c r="X527" s="63"/>
      <c r="Z527" s="71"/>
      <c r="AA527" s="54"/>
      <c r="AB527" s="54"/>
      <c r="AC527" s="54"/>
    </row>
    <row r="528" spans="1:29" ht="60" hidden="1" customHeight="1" x14ac:dyDescent="0.2">
      <c r="A528" s="69" t="s">
        <v>844</v>
      </c>
      <c r="B528" s="70"/>
      <c r="C528" s="66" t="s">
        <v>845</v>
      </c>
      <c r="D528" s="57" t="s">
        <v>58</v>
      </c>
      <c r="E528" s="54" t="s">
        <v>34</v>
      </c>
      <c r="F528" s="67" t="s">
        <v>59</v>
      </c>
      <c r="G528" s="67" t="s">
        <v>50</v>
      </c>
      <c r="H528" s="57" t="s">
        <v>37</v>
      </c>
      <c r="I528" s="55" t="s">
        <v>51</v>
      </c>
      <c r="J528" s="57" t="e">
        <f>ROUND(#REF!*2.4,-1)</f>
        <v>#REF!</v>
      </c>
      <c r="K528" s="58"/>
      <c r="L528" s="59">
        <f t="shared" si="49"/>
        <v>0</v>
      </c>
      <c r="M528" s="60"/>
      <c r="N528" s="61"/>
      <c r="O528" s="61"/>
      <c r="P528" s="62"/>
      <c r="Q528" s="62"/>
      <c r="R528" s="62"/>
      <c r="S528" s="62"/>
      <c r="T528" s="62"/>
      <c r="U528" s="62"/>
      <c r="V528" s="62"/>
      <c r="W528" s="63"/>
      <c r="X528" s="63"/>
      <c r="Z528" s="64"/>
      <c r="AA528" s="54"/>
      <c r="AB528" s="54"/>
      <c r="AC528" s="54"/>
    </row>
    <row r="529" spans="1:29" ht="60" customHeight="1" x14ac:dyDescent="0.2">
      <c r="A529" s="69" t="s">
        <v>846</v>
      </c>
      <c r="B529" s="70"/>
      <c r="C529" s="66" t="s">
        <v>142</v>
      </c>
      <c r="D529" s="57" t="s">
        <v>58</v>
      </c>
      <c r="E529" s="54" t="s">
        <v>34</v>
      </c>
      <c r="F529" s="67" t="s">
        <v>59</v>
      </c>
      <c r="G529" s="56" t="s">
        <v>36</v>
      </c>
      <c r="H529" s="57" t="s">
        <v>37</v>
      </c>
      <c r="I529" s="55" t="s">
        <v>51</v>
      </c>
      <c r="J529" s="57" t="e">
        <f>ROUND(#REF!*2.4,-1)</f>
        <v>#REF!</v>
      </c>
      <c r="K529" s="58"/>
      <c r="L529" s="59">
        <f>2-2+2</f>
        <v>2</v>
      </c>
      <c r="M529" s="60"/>
      <c r="N529" s="61"/>
      <c r="O529" s="61"/>
      <c r="P529" s="62">
        <f>1-1</f>
        <v>0</v>
      </c>
      <c r="Q529" s="62">
        <f>1-1+1</f>
        <v>1</v>
      </c>
      <c r="R529" s="62">
        <f>2-2</f>
        <v>0</v>
      </c>
      <c r="S529" s="62">
        <f>1-1+1</f>
        <v>1</v>
      </c>
      <c r="T529" s="62">
        <f>0</f>
        <v>0</v>
      </c>
      <c r="U529" s="62"/>
      <c r="V529" s="62"/>
      <c r="W529" s="63"/>
      <c r="X529" s="63"/>
      <c r="Z529" s="64"/>
      <c r="AA529" s="54"/>
      <c r="AB529" s="54"/>
      <c r="AC529" s="54"/>
    </row>
    <row r="530" spans="1:29" ht="60" hidden="1" customHeight="1" x14ac:dyDescent="0.2">
      <c r="A530" s="69" t="s">
        <v>847</v>
      </c>
      <c r="B530" s="74"/>
      <c r="C530" s="66" t="s">
        <v>547</v>
      </c>
      <c r="D530" s="57" t="s">
        <v>58</v>
      </c>
      <c r="E530" s="54" t="s">
        <v>34</v>
      </c>
      <c r="F530" s="67" t="s">
        <v>59</v>
      </c>
      <c r="G530" s="67" t="s">
        <v>50</v>
      </c>
      <c r="H530" s="57" t="s">
        <v>37</v>
      </c>
      <c r="I530" s="55" t="s">
        <v>51</v>
      </c>
      <c r="J530" s="57" t="e">
        <f>ROUND(#REF!*2.4,-1)</f>
        <v>#REF!</v>
      </c>
      <c r="K530" s="58"/>
      <c r="L530" s="59">
        <f>1-1</f>
        <v>0</v>
      </c>
      <c r="M530" s="60"/>
      <c r="N530" s="61"/>
      <c r="O530" s="61"/>
      <c r="P530" s="62">
        <f>2-2</f>
        <v>0</v>
      </c>
      <c r="Q530" s="62">
        <f t="shared" ref="Q530:R533" si="51">1-1</f>
        <v>0</v>
      </c>
      <c r="R530" s="62">
        <f t="shared" si="51"/>
        <v>0</v>
      </c>
      <c r="S530" s="62">
        <f>1-1</f>
        <v>0</v>
      </c>
      <c r="T530" s="62">
        <f>1-1</f>
        <v>0</v>
      </c>
      <c r="U530" s="62"/>
      <c r="V530" s="62"/>
      <c r="W530" s="63"/>
      <c r="X530" s="63"/>
      <c r="Z530" s="64"/>
      <c r="AA530" s="54"/>
      <c r="AB530" s="54"/>
      <c r="AC530" s="54"/>
    </row>
    <row r="531" spans="1:29" ht="38.25" hidden="1" x14ac:dyDescent="0.2">
      <c r="A531" s="69" t="s">
        <v>848</v>
      </c>
      <c r="B531" s="74" t="s">
        <v>329</v>
      </c>
      <c r="C531" s="87" t="s">
        <v>812</v>
      </c>
      <c r="D531" s="53" t="s">
        <v>58</v>
      </c>
      <c r="E531" s="54" t="s">
        <v>34</v>
      </c>
      <c r="F531" s="55" t="s">
        <v>59</v>
      </c>
      <c r="G531" s="67" t="s">
        <v>50</v>
      </c>
      <c r="H531" s="57" t="s">
        <v>37</v>
      </c>
      <c r="I531" s="55" t="s">
        <v>51</v>
      </c>
      <c r="J531" s="57" t="e">
        <f>ROUND(#REF!*2.4,-1)</f>
        <v>#REF!</v>
      </c>
      <c r="K531" s="58"/>
      <c r="L531" s="59">
        <f t="shared" si="49"/>
        <v>0</v>
      </c>
      <c r="M531" s="60"/>
      <c r="N531" s="61"/>
      <c r="O531" s="61"/>
      <c r="P531" s="62">
        <f>1-1</f>
        <v>0</v>
      </c>
      <c r="Q531" s="62">
        <f t="shared" si="51"/>
        <v>0</v>
      </c>
      <c r="R531" s="62">
        <f t="shared" si="51"/>
        <v>0</v>
      </c>
      <c r="S531" s="62">
        <f>1-1</f>
        <v>0</v>
      </c>
      <c r="T531" s="62"/>
      <c r="U531" s="62"/>
      <c r="V531" s="62"/>
      <c r="W531" s="63"/>
      <c r="X531" s="63"/>
      <c r="Z531" s="64"/>
      <c r="AA531" s="54"/>
      <c r="AB531" s="54"/>
      <c r="AC531" s="54"/>
    </row>
    <row r="532" spans="1:29" ht="60" hidden="1" customHeight="1" x14ac:dyDescent="0.2">
      <c r="A532" s="69" t="s">
        <v>849</v>
      </c>
      <c r="B532" s="51"/>
      <c r="C532" s="87" t="s">
        <v>850</v>
      </c>
      <c r="D532" s="53" t="s">
        <v>58</v>
      </c>
      <c r="E532" s="54" t="s">
        <v>34</v>
      </c>
      <c r="F532" s="55" t="s">
        <v>59</v>
      </c>
      <c r="G532" s="56" t="s">
        <v>36</v>
      </c>
      <c r="H532" s="57" t="s">
        <v>37</v>
      </c>
      <c r="I532" s="55" t="s">
        <v>51</v>
      </c>
      <c r="J532" s="57">
        <v>980</v>
      </c>
      <c r="K532" s="58"/>
      <c r="L532" s="59">
        <f>5-5</f>
        <v>0</v>
      </c>
      <c r="M532" s="60"/>
      <c r="N532" s="61"/>
      <c r="O532" s="61"/>
      <c r="P532" s="62">
        <f>1-1</f>
        <v>0</v>
      </c>
      <c r="Q532" s="62">
        <f>1-1</f>
        <v>0</v>
      </c>
      <c r="R532" s="62">
        <f>1-1</f>
        <v>0</v>
      </c>
      <c r="S532" s="62">
        <f>1-1</f>
        <v>0</v>
      </c>
      <c r="T532" s="62">
        <f>1-1</f>
        <v>0</v>
      </c>
      <c r="U532" s="62"/>
      <c r="V532" s="62"/>
      <c r="W532" s="63"/>
      <c r="X532" s="63"/>
      <c r="Z532" s="64"/>
      <c r="AA532" s="54"/>
      <c r="AB532" s="54"/>
      <c r="AC532" s="54"/>
    </row>
    <row r="533" spans="1:29" ht="60" hidden="1" customHeight="1" x14ac:dyDescent="0.2">
      <c r="A533" s="69" t="s">
        <v>851</v>
      </c>
      <c r="B533" s="74"/>
      <c r="C533" s="87" t="s">
        <v>582</v>
      </c>
      <c r="D533" s="53" t="s">
        <v>58</v>
      </c>
      <c r="E533" s="54" t="s">
        <v>34</v>
      </c>
      <c r="F533" s="55" t="s">
        <v>59</v>
      </c>
      <c r="G533" s="67" t="s">
        <v>50</v>
      </c>
      <c r="H533" s="57" t="s">
        <v>37</v>
      </c>
      <c r="I533" s="55" t="s">
        <v>51</v>
      </c>
      <c r="J533" s="57" t="e">
        <f>ROUND(#REF!*2.4,-1)</f>
        <v>#REF!</v>
      </c>
      <c r="K533" s="58"/>
      <c r="L533" s="59">
        <f>2-2</f>
        <v>0</v>
      </c>
      <c r="M533" s="60"/>
      <c r="N533" s="61"/>
      <c r="O533" s="61"/>
      <c r="P533" s="62"/>
      <c r="Q533" s="62">
        <f t="shared" si="51"/>
        <v>0</v>
      </c>
      <c r="R533" s="62">
        <f t="shared" si="51"/>
        <v>0</v>
      </c>
      <c r="S533" s="62"/>
      <c r="T533" s="62"/>
      <c r="U533" s="62"/>
      <c r="V533" s="62"/>
      <c r="W533" s="63"/>
      <c r="X533" s="63"/>
      <c r="Z533" s="64"/>
      <c r="AA533" s="54"/>
      <c r="AB533" s="54"/>
      <c r="AC533" s="54"/>
    </row>
    <row r="534" spans="1:29" ht="25.5" x14ac:dyDescent="0.2">
      <c r="A534" s="69" t="s">
        <v>852</v>
      </c>
      <c r="B534" s="51"/>
      <c r="C534" s="68" t="s">
        <v>486</v>
      </c>
      <c r="D534" s="53" t="s">
        <v>58</v>
      </c>
      <c r="E534" s="54" t="s">
        <v>34</v>
      </c>
      <c r="F534" s="55" t="s">
        <v>59</v>
      </c>
      <c r="G534" s="67" t="s">
        <v>487</v>
      </c>
      <c r="H534" s="57" t="s">
        <v>60</v>
      </c>
      <c r="I534" s="55" t="s">
        <v>51</v>
      </c>
      <c r="J534" s="57" t="e">
        <f>ROUND(#REF!*2.4,-1)</f>
        <v>#REF!</v>
      </c>
      <c r="K534" s="58"/>
      <c r="L534" s="59">
        <f>25-1</f>
        <v>24</v>
      </c>
      <c r="M534" s="60"/>
      <c r="N534" s="61"/>
      <c r="O534" s="61"/>
      <c r="P534" s="62">
        <v>5</v>
      </c>
      <c r="Q534" s="62">
        <v>5</v>
      </c>
      <c r="R534" s="62">
        <v>5</v>
      </c>
      <c r="S534" s="62">
        <f>5-1</f>
        <v>4</v>
      </c>
      <c r="T534" s="62">
        <v>5</v>
      </c>
      <c r="U534" s="62"/>
      <c r="V534" s="62"/>
      <c r="W534" s="63"/>
      <c r="X534" s="63"/>
      <c r="Z534" s="64"/>
      <c r="AA534" s="54">
        <v>3420000</v>
      </c>
      <c r="AB534" s="54">
        <v>408</v>
      </c>
      <c r="AC534" s="54"/>
    </row>
    <row r="535" spans="1:29" ht="60" customHeight="1" x14ac:dyDescent="0.2">
      <c r="A535" s="69" t="s">
        <v>853</v>
      </c>
      <c r="B535" s="51"/>
      <c r="C535" s="66" t="s">
        <v>590</v>
      </c>
      <c r="D535" s="53" t="s">
        <v>58</v>
      </c>
      <c r="E535" s="54" t="s">
        <v>34</v>
      </c>
      <c r="F535" s="55" t="s">
        <v>59</v>
      </c>
      <c r="G535" s="56" t="s">
        <v>36</v>
      </c>
      <c r="H535" s="57" t="s">
        <v>60</v>
      </c>
      <c r="I535" s="55" t="s">
        <v>51</v>
      </c>
      <c r="J535" s="57" t="e">
        <f>ROUND(#REF!*2.4,-1)</f>
        <v>#REF!</v>
      </c>
      <c r="K535" s="58"/>
      <c r="L535" s="59">
        <f>1-1+1</f>
        <v>1</v>
      </c>
      <c r="M535" s="60"/>
      <c r="N535" s="61"/>
      <c r="O535" s="61"/>
      <c r="P535" s="62">
        <f>1-1</f>
        <v>0</v>
      </c>
      <c r="Q535" s="62">
        <f>1-1+1</f>
        <v>1</v>
      </c>
      <c r="R535" s="62">
        <f>1-1</f>
        <v>0</v>
      </c>
      <c r="S535" s="62">
        <f>1-1</f>
        <v>0</v>
      </c>
      <c r="T535" s="62">
        <f>1-1</f>
        <v>0</v>
      </c>
      <c r="U535" s="62"/>
      <c r="V535" s="62"/>
      <c r="W535" s="63"/>
      <c r="X535" s="63"/>
      <c r="Z535" s="64"/>
      <c r="AA535" s="54"/>
      <c r="AB535" s="54"/>
      <c r="AC535" s="54"/>
    </row>
    <row r="536" spans="1:29" ht="60" hidden="1" customHeight="1" x14ac:dyDescent="0.2">
      <c r="A536" s="69" t="s">
        <v>854</v>
      </c>
      <c r="B536" s="74"/>
      <c r="C536" s="87" t="s">
        <v>594</v>
      </c>
      <c r="D536" s="53" t="s">
        <v>58</v>
      </c>
      <c r="E536" s="68" t="s">
        <v>34</v>
      </c>
      <c r="F536" s="55" t="s">
        <v>59</v>
      </c>
      <c r="G536" s="67" t="s">
        <v>50</v>
      </c>
      <c r="H536" s="57" t="s">
        <v>60</v>
      </c>
      <c r="I536" s="55" t="s">
        <v>51</v>
      </c>
      <c r="J536" s="57" t="e">
        <f>ROUND(#REF!*2.4,-1)</f>
        <v>#REF!</v>
      </c>
      <c r="K536" s="58"/>
      <c r="L536" s="59">
        <f>1-1</f>
        <v>0</v>
      </c>
      <c r="M536" s="60"/>
      <c r="N536" s="61"/>
      <c r="O536" s="61"/>
      <c r="P536" s="62">
        <f>1-1</f>
        <v>0</v>
      </c>
      <c r="Q536" s="62">
        <f>1-1</f>
        <v>0</v>
      </c>
      <c r="R536" s="62">
        <f t="shared" ref="Q536:S538" si="52">1-1</f>
        <v>0</v>
      </c>
      <c r="S536" s="62">
        <f>9-9</f>
        <v>0</v>
      </c>
      <c r="T536" s="62">
        <f t="shared" ref="T536:T544" si="53">1-1</f>
        <v>0</v>
      </c>
      <c r="U536" s="62"/>
      <c r="V536" s="62"/>
      <c r="W536" s="63"/>
      <c r="X536" s="63"/>
      <c r="Z536" s="64"/>
      <c r="AA536" s="54">
        <v>3420027</v>
      </c>
      <c r="AB536" s="54">
        <v>360</v>
      </c>
      <c r="AC536" s="54"/>
    </row>
    <row r="537" spans="1:29" ht="60" customHeight="1" x14ac:dyDescent="0.2">
      <c r="A537" s="69" t="s">
        <v>855</v>
      </c>
      <c r="B537" s="74"/>
      <c r="C537" s="66" t="s">
        <v>596</v>
      </c>
      <c r="D537" s="53" t="s">
        <v>58</v>
      </c>
      <c r="E537" s="54" t="s">
        <v>34</v>
      </c>
      <c r="F537" s="55" t="s">
        <v>59</v>
      </c>
      <c r="G537" s="56" t="s">
        <v>36</v>
      </c>
      <c r="H537" s="57" t="s">
        <v>60</v>
      </c>
      <c r="I537" s="55" t="s">
        <v>51</v>
      </c>
      <c r="J537" s="57" t="e">
        <f>ROUND(#REF!*2.4,-1)</f>
        <v>#REF!</v>
      </c>
      <c r="K537" s="58"/>
      <c r="L537" s="59">
        <f>2-1+1</f>
        <v>2</v>
      </c>
      <c r="M537" s="60"/>
      <c r="N537" s="61"/>
      <c r="O537" s="61"/>
      <c r="P537" s="62">
        <f>2-1</f>
        <v>1</v>
      </c>
      <c r="Q537" s="62">
        <f t="shared" si="52"/>
        <v>0</v>
      </c>
      <c r="R537" s="62">
        <f t="shared" si="52"/>
        <v>0</v>
      </c>
      <c r="S537" s="62">
        <f>1-1</f>
        <v>0</v>
      </c>
      <c r="T537" s="62">
        <f>1-1+1</f>
        <v>1</v>
      </c>
      <c r="U537" s="62"/>
      <c r="V537" s="62"/>
      <c r="W537" s="63"/>
      <c r="X537" s="63"/>
      <c r="Z537" s="64"/>
      <c r="AA537" s="54"/>
      <c r="AB537" s="54"/>
      <c r="AC537" s="54"/>
    </row>
    <row r="538" spans="1:29" ht="60" hidden="1" customHeight="1" x14ac:dyDescent="0.2">
      <c r="A538" s="69" t="s">
        <v>856</v>
      </c>
      <c r="B538" s="74"/>
      <c r="C538" s="66" t="s">
        <v>356</v>
      </c>
      <c r="D538" s="53" t="s">
        <v>58</v>
      </c>
      <c r="E538" s="54" t="s">
        <v>34</v>
      </c>
      <c r="F538" s="55" t="s">
        <v>59</v>
      </c>
      <c r="G538" s="56" t="s">
        <v>36</v>
      </c>
      <c r="H538" s="57" t="s">
        <v>60</v>
      </c>
      <c r="I538" s="55" t="s">
        <v>51</v>
      </c>
      <c r="J538" s="57" t="e">
        <f>ROUND(#REF!*2.4,-1)</f>
        <v>#REF!</v>
      </c>
      <c r="K538" s="58"/>
      <c r="L538" s="59">
        <f t="shared" ref="L538:L543" si="54">1-1</f>
        <v>0</v>
      </c>
      <c r="M538" s="60"/>
      <c r="N538" s="61"/>
      <c r="O538" s="61"/>
      <c r="P538" s="62">
        <f>1-1</f>
        <v>0</v>
      </c>
      <c r="Q538" s="62">
        <f t="shared" si="52"/>
        <v>0</v>
      </c>
      <c r="R538" s="62">
        <f t="shared" si="52"/>
        <v>0</v>
      </c>
      <c r="S538" s="62">
        <f>1-1</f>
        <v>0</v>
      </c>
      <c r="T538" s="62">
        <f>1-1</f>
        <v>0</v>
      </c>
      <c r="U538" s="62"/>
      <c r="V538" s="62"/>
      <c r="W538" s="63"/>
      <c r="X538" s="63"/>
      <c r="Z538" s="64"/>
      <c r="AA538" s="54"/>
      <c r="AB538" s="54"/>
      <c r="AC538" s="54"/>
    </row>
    <row r="539" spans="1:29" ht="60" hidden="1" customHeight="1" x14ac:dyDescent="0.2">
      <c r="A539" s="69" t="s">
        <v>857</v>
      </c>
      <c r="B539" s="74"/>
      <c r="C539" s="66" t="s">
        <v>372</v>
      </c>
      <c r="D539" s="53" t="s">
        <v>58</v>
      </c>
      <c r="E539" s="54" t="s">
        <v>34</v>
      </c>
      <c r="F539" s="55" t="s">
        <v>59</v>
      </c>
      <c r="G539" s="67" t="s">
        <v>50</v>
      </c>
      <c r="H539" s="57" t="s">
        <v>60</v>
      </c>
      <c r="I539" s="55" t="s">
        <v>51</v>
      </c>
      <c r="J539" s="57" t="e">
        <f>ROUND(#REF!*2.4,-1)</f>
        <v>#REF!</v>
      </c>
      <c r="K539" s="58"/>
      <c r="L539" s="59">
        <f t="shared" si="54"/>
        <v>0</v>
      </c>
      <c r="M539" s="60"/>
      <c r="N539" s="61"/>
      <c r="O539" s="61"/>
      <c r="P539" s="62"/>
      <c r="Q539" s="62"/>
      <c r="R539" s="62">
        <f>1-1</f>
        <v>0</v>
      </c>
      <c r="S539" s="62"/>
      <c r="T539" s="62">
        <f t="shared" si="53"/>
        <v>0</v>
      </c>
      <c r="U539" s="62"/>
      <c r="V539" s="62"/>
      <c r="W539" s="63"/>
      <c r="X539" s="63"/>
      <c r="Z539" s="64"/>
      <c r="AA539" s="54"/>
      <c r="AB539" s="54"/>
      <c r="AC539" s="54"/>
    </row>
    <row r="540" spans="1:29" ht="60" hidden="1" customHeight="1" x14ac:dyDescent="0.2">
      <c r="A540" s="69" t="s">
        <v>858</v>
      </c>
      <c r="B540" s="74"/>
      <c r="C540" s="66" t="s">
        <v>358</v>
      </c>
      <c r="D540" s="53" t="s">
        <v>58</v>
      </c>
      <c r="E540" s="54" t="s">
        <v>34</v>
      </c>
      <c r="F540" s="55" t="s">
        <v>59</v>
      </c>
      <c r="G540" s="56" t="s">
        <v>36</v>
      </c>
      <c r="H540" s="57" t="s">
        <v>60</v>
      </c>
      <c r="I540" s="55" t="s">
        <v>51</v>
      </c>
      <c r="J540" s="57" t="e">
        <f>ROUND(#REF!*2.4,-1)</f>
        <v>#REF!</v>
      </c>
      <c r="K540" s="58"/>
      <c r="L540" s="59">
        <f t="shared" si="54"/>
        <v>0</v>
      </c>
      <c r="M540" s="60"/>
      <c r="N540" s="61"/>
      <c r="O540" s="61"/>
      <c r="P540" s="62">
        <f>1-1</f>
        <v>0</v>
      </c>
      <c r="Q540" s="62">
        <f>1-1+1-1</f>
        <v>0</v>
      </c>
      <c r="R540" s="62">
        <f>1-1</f>
        <v>0</v>
      </c>
      <c r="S540" s="62">
        <f>1-1</f>
        <v>0</v>
      </c>
      <c r="T540" s="62">
        <f>2-2</f>
        <v>0</v>
      </c>
      <c r="U540" s="62"/>
      <c r="V540" s="62"/>
      <c r="W540" s="63"/>
      <c r="X540" s="63"/>
      <c r="Z540" s="64"/>
      <c r="AA540" s="54"/>
      <c r="AB540" s="54"/>
      <c r="AC540" s="54"/>
    </row>
    <row r="541" spans="1:29" ht="60" customHeight="1" x14ac:dyDescent="0.2">
      <c r="A541" s="69" t="s">
        <v>859</v>
      </c>
      <c r="B541" s="74"/>
      <c r="C541" s="66" t="s">
        <v>360</v>
      </c>
      <c r="D541" s="53" t="s">
        <v>58</v>
      </c>
      <c r="E541" s="54" t="s">
        <v>34</v>
      </c>
      <c r="F541" s="55" t="s">
        <v>59</v>
      </c>
      <c r="G541" s="56" t="s">
        <v>36</v>
      </c>
      <c r="H541" s="57" t="s">
        <v>60</v>
      </c>
      <c r="I541" s="55" t="s">
        <v>51</v>
      </c>
      <c r="J541" s="57" t="e">
        <f>ROUND(#REF!*2.4,-1)</f>
        <v>#REF!</v>
      </c>
      <c r="K541" s="58"/>
      <c r="L541" s="59">
        <f>1-1+1</f>
        <v>1</v>
      </c>
      <c r="M541" s="60"/>
      <c r="N541" s="61"/>
      <c r="O541" s="61"/>
      <c r="P541" s="62">
        <f>1-1</f>
        <v>0</v>
      </c>
      <c r="Q541" s="62">
        <f>1-1</f>
        <v>0</v>
      </c>
      <c r="R541" s="62">
        <f>1-1+1</f>
        <v>1</v>
      </c>
      <c r="S541" s="62">
        <f>1-1</f>
        <v>0</v>
      </c>
      <c r="T541" s="62">
        <f t="shared" si="53"/>
        <v>0</v>
      </c>
      <c r="U541" s="62"/>
      <c r="V541" s="62"/>
      <c r="W541" s="63"/>
      <c r="X541" s="63"/>
      <c r="Z541" s="64"/>
      <c r="AA541" s="54"/>
      <c r="AB541" s="54"/>
      <c r="AC541" s="54"/>
    </row>
    <row r="542" spans="1:29" ht="60" hidden="1" customHeight="1" x14ac:dyDescent="0.2">
      <c r="A542" s="69" t="s">
        <v>860</v>
      </c>
      <c r="B542" s="74"/>
      <c r="C542" s="66" t="s">
        <v>381</v>
      </c>
      <c r="D542" s="53" t="s">
        <v>58</v>
      </c>
      <c r="E542" s="54" t="s">
        <v>34</v>
      </c>
      <c r="F542" s="55" t="s">
        <v>59</v>
      </c>
      <c r="G542" s="56" t="s">
        <v>36</v>
      </c>
      <c r="H542" s="57" t="s">
        <v>60</v>
      </c>
      <c r="I542" s="55" t="s">
        <v>51</v>
      </c>
      <c r="J542" s="57">
        <v>480</v>
      </c>
      <c r="K542" s="58"/>
      <c r="L542" s="59">
        <f t="shared" si="54"/>
        <v>0</v>
      </c>
      <c r="M542" s="60"/>
      <c r="N542" s="61"/>
      <c r="O542" s="61"/>
      <c r="P542" s="62">
        <f>1-1</f>
        <v>0</v>
      </c>
      <c r="Q542" s="62">
        <f>1-1</f>
        <v>0</v>
      </c>
      <c r="R542" s="62">
        <f>1-1</f>
        <v>0</v>
      </c>
      <c r="S542" s="62">
        <f>1-1</f>
        <v>0</v>
      </c>
      <c r="T542" s="62">
        <f>1-1</f>
        <v>0</v>
      </c>
      <c r="U542" s="62"/>
      <c r="V542" s="62"/>
      <c r="W542" s="63"/>
      <c r="X542" s="63"/>
      <c r="Z542" s="64"/>
      <c r="AA542" s="54">
        <v>3420536</v>
      </c>
      <c r="AB542" s="54">
        <v>361</v>
      </c>
      <c r="AC542" s="54"/>
    </row>
    <row r="543" spans="1:29" ht="60" hidden="1" customHeight="1" x14ac:dyDescent="0.2">
      <c r="A543" s="69" t="s">
        <v>861</v>
      </c>
      <c r="B543" s="74"/>
      <c r="C543" s="66" t="s">
        <v>815</v>
      </c>
      <c r="D543" s="53" t="s">
        <v>58</v>
      </c>
      <c r="E543" s="54" t="s">
        <v>34</v>
      </c>
      <c r="F543" s="55" t="s">
        <v>59</v>
      </c>
      <c r="G543" s="67" t="s">
        <v>50</v>
      </c>
      <c r="H543" s="57" t="s">
        <v>60</v>
      </c>
      <c r="I543" s="55" t="s">
        <v>51</v>
      </c>
      <c r="J543" s="57" t="e">
        <f>ROUND(#REF!*2.4,-1)</f>
        <v>#REF!</v>
      </c>
      <c r="K543" s="58"/>
      <c r="L543" s="59">
        <f t="shared" si="54"/>
        <v>0</v>
      </c>
      <c r="M543" s="60"/>
      <c r="N543" s="61"/>
      <c r="O543" s="61"/>
      <c r="P543" s="62"/>
      <c r="Q543" s="62"/>
      <c r="R543" s="62"/>
      <c r="S543" s="62"/>
      <c r="T543" s="62">
        <f t="shared" si="53"/>
        <v>0</v>
      </c>
      <c r="U543" s="62"/>
      <c r="V543" s="62"/>
      <c r="W543" s="63"/>
      <c r="X543" s="63"/>
      <c r="Z543" s="64"/>
      <c r="AA543" s="54"/>
      <c r="AB543" s="54"/>
      <c r="AC543" s="54"/>
    </row>
    <row r="544" spans="1:29" ht="60" hidden="1" customHeight="1" x14ac:dyDescent="0.2">
      <c r="A544" s="69" t="s">
        <v>862</v>
      </c>
      <c r="B544" s="74"/>
      <c r="C544" s="66" t="s">
        <v>390</v>
      </c>
      <c r="D544" s="57" t="s">
        <v>58</v>
      </c>
      <c r="E544" s="54" t="s">
        <v>34</v>
      </c>
      <c r="F544" s="67" t="s">
        <v>59</v>
      </c>
      <c r="G544" s="56" t="s">
        <v>36</v>
      </c>
      <c r="H544" s="57" t="s">
        <v>60</v>
      </c>
      <c r="I544" s="67" t="s">
        <v>51</v>
      </c>
      <c r="J544" s="57">
        <v>1010</v>
      </c>
      <c r="K544" s="58"/>
      <c r="L544" s="59">
        <f>1-1</f>
        <v>0</v>
      </c>
      <c r="M544" s="60"/>
      <c r="N544" s="61"/>
      <c r="O544" s="61"/>
      <c r="P544" s="62">
        <f>1-1</f>
        <v>0</v>
      </c>
      <c r="Q544" s="62">
        <f>1-1</f>
        <v>0</v>
      </c>
      <c r="R544" s="62">
        <f>1-1</f>
        <v>0</v>
      </c>
      <c r="S544" s="62">
        <f>1-1</f>
        <v>0</v>
      </c>
      <c r="T544" s="62">
        <f t="shared" si="53"/>
        <v>0</v>
      </c>
      <c r="U544" s="62"/>
      <c r="V544" s="62"/>
      <c r="W544" s="63"/>
      <c r="X544" s="63"/>
      <c r="Z544" s="64"/>
      <c r="AA544" s="54"/>
      <c r="AB544" s="54"/>
      <c r="AC544" s="54"/>
    </row>
    <row r="545" spans="1:29" ht="60" customHeight="1" x14ac:dyDescent="0.2">
      <c r="A545" s="69" t="s">
        <v>863</v>
      </c>
      <c r="B545" s="74"/>
      <c r="C545" s="66" t="s">
        <v>601</v>
      </c>
      <c r="D545" s="57" t="s">
        <v>58</v>
      </c>
      <c r="E545" s="54" t="s">
        <v>34</v>
      </c>
      <c r="F545" s="67" t="s">
        <v>59</v>
      </c>
      <c r="G545" s="56" t="s">
        <v>36</v>
      </c>
      <c r="H545" s="57" t="s">
        <v>60</v>
      </c>
      <c r="I545" s="67" t="s">
        <v>51</v>
      </c>
      <c r="J545" s="57">
        <v>480</v>
      </c>
      <c r="K545" s="58"/>
      <c r="L545" s="59">
        <f>5-2</f>
        <v>3</v>
      </c>
      <c r="M545" s="60"/>
      <c r="N545" s="61"/>
      <c r="O545" s="61"/>
      <c r="P545" s="62">
        <f>1-1</f>
        <v>0</v>
      </c>
      <c r="Q545" s="62">
        <f>1-1</f>
        <v>0</v>
      </c>
      <c r="R545" s="62">
        <f>2-2</f>
        <v>0</v>
      </c>
      <c r="S545" s="62">
        <f>1-1</f>
        <v>0</v>
      </c>
      <c r="T545" s="62">
        <f>4-1</f>
        <v>3</v>
      </c>
      <c r="U545" s="62"/>
      <c r="V545" s="62"/>
      <c r="W545" s="63"/>
      <c r="X545" s="63"/>
      <c r="Z545" s="64"/>
      <c r="AA545" s="54"/>
      <c r="AB545" s="54"/>
      <c r="AC545" s="54"/>
    </row>
    <row r="546" spans="1:29" ht="60" customHeight="1" x14ac:dyDescent="0.2">
      <c r="A546" s="69" t="s">
        <v>864</v>
      </c>
      <c r="B546" s="74"/>
      <c r="C546" s="54" t="s">
        <v>484</v>
      </c>
      <c r="D546" s="57" t="s">
        <v>58</v>
      </c>
      <c r="E546" s="54" t="s">
        <v>34</v>
      </c>
      <c r="F546" s="67" t="s">
        <v>59</v>
      </c>
      <c r="G546" s="56" t="s">
        <v>36</v>
      </c>
      <c r="H546" s="57" t="s">
        <v>60</v>
      </c>
      <c r="I546" s="67" t="s">
        <v>51</v>
      </c>
      <c r="J546" s="57" t="e">
        <f>ROUND(#REF!*2.4,-1)</f>
        <v>#REF!</v>
      </c>
      <c r="K546" s="58"/>
      <c r="L546" s="59">
        <f>1-1+1</f>
        <v>1</v>
      </c>
      <c r="M546" s="60"/>
      <c r="N546" s="61"/>
      <c r="O546" s="61"/>
      <c r="P546" s="62">
        <f>1-1</f>
        <v>0</v>
      </c>
      <c r="Q546" s="62">
        <f>1-1+1</f>
        <v>1</v>
      </c>
      <c r="R546" s="62">
        <f>1-1</f>
        <v>0</v>
      </c>
      <c r="S546" s="62">
        <f>1-1</f>
        <v>0</v>
      </c>
      <c r="T546" s="62">
        <f>1-1</f>
        <v>0</v>
      </c>
      <c r="U546" s="62"/>
      <c r="V546" s="62"/>
      <c r="W546" s="63"/>
      <c r="X546" s="63"/>
      <c r="Z546" s="64"/>
      <c r="AA546" s="54"/>
      <c r="AB546" s="54"/>
      <c r="AC546" s="54"/>
    </row>
    <row r="547" spans="1:29" ht="60" hidden="1" customHeight="1" x14ac:dyDescent="0.2">
      <c r="A547" s="69" t="s">
        <v>865</v>
      </c>
      <c r="B547" s="74"/>
      <c r="C547" s="54" t="s">
        <v>603</v>
      </c>
      <c r="D547" s="57" t="s">
        <v>58</v>
      </c>
      <c r="E547" s="54" t="s">
        <v>34</v>
      </c>
      <c r="F547" s="67" t="s">
        <v>59</v>
      </c>
      <c r="G547" s="67" t="s">
        <v>50</v>
      </c>
      <c r="H547" s="57" t="s">
        <v>60</v>
      </c>
      <c r="I547" s="67" t="s">
        <v>51</v>
      </c>
      <c r="J547" s="57" t="e">
        <f>ROUND(#REF!*2.4,-1)</f>
        <v>#REF!</v>
      </c>
      <c r="K547" s="58"/>
      <c r="L547" s="59">
        <f>2-2</f>
        <v>0</v>
      </c>
      <c r="M547" s="60"/>
      <c r="N547" s="61"/>
      <c r="O547" s="61"/>
      <c r="P547" s="62"/>
      <c r="Q547" s="62">
        <f>1-1</f>
        <v>0</v>
      </c>
      <c r="R547" s="62">
        <f>1-1</f>
        <v>0</v>
      </c>
      <c r="S547" s="62"/>
      <c r="T547" s="62"/>
      <c r="U547" s="62"/>
      <c r="V547" s="62"/>
      <c r="W547" s="63"/>
      <c r="X547" s="63"/>
      <c r="Z547" s="64"/>
      <c r="AA547" s="54"/>
      <c r="AB547" s="54"/>
      <c r="AC547" s="54"/>
    </row>
    <row r="548" spans="1:29" ht="60" hidden="1" customHeight="1" x14ac:dyDescent="0.2">
      <c r="A548" s="69" t="s">
        <v>866</v>
      </c>
      <c r="B548" s="74"/>
      <c r="C548" s="66" t="s">
        <v>812</v>
      </c>
      <c r="D548" s="57" t="s">
        <v>58</v>
      </c>
      <c r="E548" s="54" t="s">
        <v>34</v>
      </c>
      <c r="F548" s="67" t="s">
        <v>59</v>
      </c>
      <c r="G548" s="67" t="s">
        <v>50</v>
      </c>
      <c r="H548" s="57" t="s">
        <v>60</v>
      </c>
      <c r="I548" s="67" t="s">
        <v>51</v>
      </c>
      <c r="J548" s="57" t="e">
        <f>ROUND(#REF!*2.4,-1)</f>
        <v>#REF!</v>
      </c>
      <c r="K548" s="58"/>
      <c r="L548" s="59">
        <v>0</v>
      </c>
      <c r="M548" s="60"/>
      <c r="N548" s="61"/>
      <c r="O548" s="61"/>
      <c r="P548" s="62"/>
      <c r="Q548" s="62"/>
      <c r="R548" s="62"/>
      <c r="S548" s="62"/>
      <c r="T548" s="62"/>
      <c r="U548" s="62"/>
      <c r="V548" s="62"/>
      <c r="W548" s="63"/>
      <c r="X548" s="63"/>
      <c r="Z548" s="64"/>
      <c r="AA548" s="54"/>
      <c r="AB548" s="54"/>
      <c r="AC548" s="54"/>
    </row>
    <row r="549" spans="1:29" ht="60" customHeight="1" x14ac:dyDescent="0.2">
      <c r="A549" s="69" t="s">
        <v>867</v>
      </c>
      <c r="B549" s="70"/>
      <c r="C549" s="66" t="s">
        <v>608</v>
      </c>
      <c r="D549" s="57" t="s">
        <v>58</v>
      </c>
      <c r="E549" s="54" t="s">
        <v>34</v>
      </c>
      <c r="F549" s="67" t="s">
        <v>59</v>
      </c>
      <c r="G549" s="56" t="s">
        <v>36</v>
      </c>
      <c r="H549" s="57" t="s">
        <v>60</v>
      </c>
      <c r="I549" s="67" t="s">
        <v>51</v>
      </c>
      <c r="J549" s="57" t="e">
        <f>ROUND(#REF!*2.4,-1)</f>
        <v>#REF!</v>
      </c>
      <c r="K549" s="58"/>
      <c r="L549" s="59">
        <f>2-1+1</f>
        <v>2</v>
      </c>
      <c r="M549" s="60"/>
      <c r="N549" s="61"/>
      <c r="O549" s="61"/>
      <c r="P549" s="62">
        <f>2-1</f>
        <v>1</v>
      </c>
      <c r="Q549" s="62">
        <f>1-1</f>
        <v>0</v>
      </c>
      <c r="R549" s="62">
        <f>1-1</f>
        <v>0</v>
      </c>
      <c r="S549" s="62">
        <f>1-1+1</f>
        <v>1</v>
      </c>
      <c r="T549" s="62">
        <f>1-1</f>
        <v>0</v>
      </c>
      <c r="U549" s="62"/>
      <c r="V549" s="62"/>
      <c r="W549" s="63"/>
      <c r="X549" s="63"/>
      <c r="Z549" s="64"/>
      <c r="AA549" s="54"/>
      <c r="AB549" s="54"/>
      <c r="AC549" s="54"/>
    </row>
    <row r="550" spans="1:29" ht="60" hidden="1" customHeight="1" x14ac:dyDescent="0.2">
      <c r="A550" s="69" t="s">
        <v>868</v>
      </c>
      <c r="B550" s="70"/>
      <c r="C550" s="66" t="s">
        <v>576</v>
      </c>
      <c r="D550" s="57" t="s">
        <v>58</v>
      </c>
      <c r="E550" s="54" t="s">
        <v>34</v>
      </c>
      <c r="F550" s="67" t="s">
        <v>59</v>
      </c>
      <c r="G550" s="67" t="s">
        <v>50</v>
      </c>
      <c r="H550" s="57" t="s">
        <v>60</v>
      </c>
      <c r="I550" s="67" t="s">
        <v>51</v>
      </c>
      <c r="J550" s="57" t="e">
        <f>ROUND(#REF!*2.4,-1)</f>
        <v>#REF!</v>
      </c>
      <c r="K550" s="58"/>
      <c r="L550" s="59">
        <f>1-1</f>
        <v>0</v>
      </c>
      <c r="M550" s="60"/>
      <c r="N550" s="61"/>
      <c r="O550" s="61"/>
      <c r="P550" s="62">
        <f>1-1</f>
        <v>0</v>
      </c>
      <c r="Q550" s="62">
        <f>1-1</f>
        <v>0</v>
      </c>
      <c r="R550" s="62">
        <f>2-2</f>
        <v>0</v>
      </c>
      <c r="S550" s="62">
        <f>1-1</f>
        <v>0</v>
      </c>
      <c r="T550" s="62">
        <f>1-1</f>
        <v>0</v>
      </c>
      <c r="U550" s="62"/>
      <c r="V550" s="62"/>
      <c r="W550" s="63"/>
      <c r="X550" s="63"/>
      <c r="Z550" s="64"/>
      <c r="AA550" s="54"/>
      <c r="AB550" s="54"/>
      <c r="AC550" s="54"/>
    </row>
    <row r="551" spans="1:29" ht="60" hidden="1" customHeight="1" x14ac:dyDescent="0.2">
      <c r="A551" s="69" t="s">
        <v>869</v>
      </c>
      <c r="B551" s="70"/>
      <c r="C551" s="66" t="s">
        <v>611</v>
      </c>
      <c r="D551" s="57" t="s">
        <v>58</v>
      </c>
      <c r="E551" s="54" t="s">
        <v>34</v>
      </c>
      <c r="F551" s="67" t="s">
        <v>59</v>
      </c>
      <c r="G551" s="56" t="s">
        <v>36</v>
      </c>
      <c r="H551" s="57" t="s">
        <v>60</v>
      </c>
      <c r="I551" s="67" t="s">
        <v>51</v>
      </c>
      <c r="J551" s="57" t="e">
        <f>ROUND(#REF!*2.4,-1)</f>
        <v>#REF!</v>
      </c>
      <c r="K551" s="58"/>
      <c r="L551" s="59">
        <f>1-1</f>
        <v>0</v>
      </c>
      <c r="M551" s="60"/>
      <c r="N551" s="61"/>
      <c r="O551" s="61"/>
      <c r="P551" s="62">
        <f>1-1</f>
        <v>0</v>
      </c>
      <c r="Q551" s="62">
        <f>1-1</f>
        <v>0</v>
      </c>
      <c r="R551" s="62">
        <f>1-1</f>
        <v>0</v>
      </c>
      <c r="S551" s="62">
        <f>1-1</f>
        <v>0</v>
      </c>
      <c r="T551" s="62">
        <f>2-2</f>
        <v>0</v>
      </c>
      <c r="U551" s="62"/>
      <c r="V551" s="62"/>
      <c r="W551" s="63"/>
      <c r="X551" s="63"/>
      <c r="Z551" s="64"/>
      <c r="AA551" s="54">
        <v>3420634</v>
      </c>
      <c r="AB551" s="54">
        <v>436</v>
      </c>
      <c r="AC551" s="54"/>
    </row>
    <row r="552" spans="1:29" ht="60" customHeight="1" x14ac:dyDescent="0.2">
      <c r="A552" s="69" t="s">
        <v>870</v>
      </c>
      <c r="B552" s="74"/>
      <c r="C552" s="87" t="s">
        <v>850</v>
      </c>
      <c r="D552" s="57" t="s">
        <v>58</v>
      </c>
      <c r="E552" s="54" t="s">
        <v>34</v>
      </c>
      <c r="F552" s="67" t="s">
        <v>59</v>
      </c>
      <c r="G552" s="56" t="s">
        <v>36</v>
      </c>
      <c r="H552" s="57" t="s">
        <v>60</v>
      </c>
      <c r="I552" s="67" t="s">
        <v>51</v>
      </c>
      <c r="J552" s="57">
        <v>480</v>
      </c>
      <c r="K552" s="58"/>
      <c r="L552" s="59">
        <f>2-1</f>
        <v>1</v>
      </c>
      <c r="M552" s="60"/>
      <c r="N552" s="61"/>
      <c r="O552" s="61"/>
      <c r="P552" s="62">
        <f>5-5</f>
        <v>0</v>
      </c>
      <c r="Q552" s="62">
        <f>1-1</f>
        <v>0</v>
      </c>
      <c r="R552" s="62">
        <f>2-1</f>
        <v>1</v>
      </c>
      <c r="S552" s="62">
        <f>1-1</f>
        <v>0</v>
      </c>
      <c r="T552" s="62">
        <f>1-1</f>
        <v>0</v>
      </c>
      <c r="U552" s="62"/>
      <c r="V552" s="62"/>
      <c r="W552" s="63"/>
      <c r="X552" s="63"/>
      <c r="Z552" s="64"/>
      <c r="AA552" s="54">
        <v>3420084</v>
      </c>
      <c r="AB552" s="54">
        <v>437</v>
      </c>
      <c r="AC552" s="54"/>
    </row>
    <row r="553" spans="1:29" ht="60" hidden="1" customHeight="1" x14ac:dyDescent="0.2">
      <c r="A553" s="72" t="s">
        <v>871</v>
      </c>
      <c r="B553" s="74"/>
      <c r="C553" s="66" t="s">
        <v>367</v>
      </c>
      <c r="D553" s="53" t="s">
        <v>58</v>
      </c>
      <c r="E553" s="54" t="s">
        <v>34</v>
      </c>
      <c r="F553" s="55" t="s">
        <v>59</v>
      </c>
      <c r="G553" s="67" t="s">
        <v>50</v>
      </c>
      <c r="H553" s="57" t="s">
        <v>60</v>
      </c>
      <c r="I553" s="55" t="s">
        <v>51</v>
      </c>
      <c r="J553" s="57" t="e">
        <f>ROUND(#REF!*2.4,-1)</f>
        <v>#REF!</v>
      </c>
      <c r="K553" s="58"/>
      <c r="L553" s="59">
        <f>1-1</f>
        <v>0</v>
      </c>
      <c r="M553" s="60"/>
      <c r="N553" s="61"/>
      <c r="O553" s="61"/>
      <c r="P553" s="62">
        <f>1-1</f>
        <v>0</v>
      </c>
      <c r="Q553" s="62">
        <f>1-1+1-1</f>
        <v>0</v>
      </c>
      <c r="R553" s="62">
        <f>6-5-1</f>
        <v>0</v>
      </c>
      <c r="S553" s="62">
        <f>3-1+1-3</f>
        <v>0</v>
      </c>
      <c r="T553" s="62">
        <f>2-2+1+1-2</f>
        <v>0</v>
      </c>
      <c r="U553" s="62"/>
      <c r="V553" s="62"/>
      <c r="W553" s="63"/>
      <c r="X553" s="63"/>
      <c r="Z553" s="64"/>
      <c r="AA553" s="54"/>
      <c r="AB553" s="54"/>
      <c r="AC553" s="54"/>
    </row>
    <row r="554" spans="1:29" ht="60" hidden="1" customHeight="1" x14ac:dyDescent="0.2">
      <c r="A554" s="69" t="s">
        <v>872</v>
      </c>
      <c r="B554" s="74"/>
      <c r="C554" s="87" t="s">
        <v>451</v>
      </c>
      <c r="D554" s="57" t="s">
        <v>58</v>
      </c>
      <c r="E554" s="54" t="s">
        <v>34</v>
      </c>
      <c r="F554" s="67" t="s">
        <v>59</v>
      </c>
      <c r="G554" s="56" t="s">
        <v>36</v>
      </c>
      <c r="H554" s="57" t="s">
        <v>123</v>
      </c>
      <c r="I554" s="67" t="s">
        <v>51</v>
      </c>
      <c r="J554" s="57" t="e">
        <f>ROUND(#REF!*2.4,-1)</f>
        <v>#REF!</v>
      </c>
      <c r="K554" s="58"/>
      <c r="L554" s="59">
        <f>1-1</f>
        <v>0</v>
      </c>
      <c r="M554" s="60"/>
      <c r="N554" s="61"/>
      <c r="O554" s="61"/>
      <c r="P554" s="62">
        <f>1-1</f>
        <v>0</v>
      </c>
      <c r="Q554" s="62">
        <f>1-1</f>
        <v>0</v>
      </c>
      <c r="R554" s="62"/>
      <c r="S554" s="62">
        <f>1-1</f>
        <v>0</v>
      </c>
      <c r="T554" s="62">
        <f>1-1</f>
        <v>0</v>
      </c>
      <c r="U554" s="62"/>
      <c r="V554" s="62"/>
      <c r="W554" s="63"/>
      <c r="X554" s="63"/>
      <c r="Z554" s="64"/>
      <c r="AA554" s="54"/>
      <c r="AB554" s="54"/>
      <c r="AC554" s="54"/>
    </row>
    <row r="555" spans="1:29" ht="60" hidden="1" customHeight="1" x14ac:dyDescent="0.2">
      <c r="A555" s="69" t="s">
        <v>873</v>
      </c>
      <c r="B555" s="74"/>
      <c r="C555" s="87" t="s">
        <v>830</v>
      </c>
      <c r="D555" s="57" t="s">
        <v>58</v>
      </c>
      <c r="E555" s="54" t="s">
        <v>34</v>
      </c>
      <c r="F555" s="67" t="s">
        <v>59</v>
      </c>
      <c r="G555" s="67" t="s">
        <v>50</v>
      </c>
      <c r="H555" s="57" t="s">
        <v>123</v>
      </c>
      <c r="I555" s="67" t="s">
        <v>51</v>
      </c>
      <c r="J555" s="57" t="e">
        <f>ROUND(#REF!*2.4,-1)</f>
        <v>#REF!</v>
      </c>
      <c r="K555" s="58"/>
      <c r="L555" s="59">
        <v>0</v>
      </c>
      <c r="M555" s="60"/>
      <c r="N555" s="61"/>
      <c r="O555" s="61"/>
      <c r="P555" s="62"/>
      <c r="Q555" s="62"/>
      <c r="R555" s="62"/>
      <c r="S555" s="62"/>
      <c r="T555" s="62"/>
      <c r="U555" s="62"/>
      <c r="V555" s="62"/>
      <c r="W555" s="63"/>
      <c r="X555" s="63"/>
      <c r="Z555" s="64"/>
      <c r="AA555" s="54"/>
      <c r="AB555" s="54"/>
      <c r="AC555" s="54"/>
    </row>
    <row r="556" spans="1:29" ht="60" hidden="1" customHeight="1" x14ac:dyDescent="0.2">
      <c r="A556" s="69" t="s">
        <v>874</v>
      </c>
      <c r="B556" s="74" t="s">
        <v>329</v>
      </c>
      <c r="C556" s="66" t="s">
        <v>372</v>
      </c>
      <c r="D556" s="57" t="s">
        <v>58</v>
      </c>
      <c r="E556" s="54" t="s">
        <v>34</v>
      </c>
      <c r="F556" s="67" t="s">
        <v>59</v>
      </c>
      <c r="G556" s="56" t="s">
        <v>36</v>
      </c>
      <c r="H556" s="57" t="s">
        <v>123</v>
      </c>
      <c r="I556" s="67" t="s">
        <v>51</v>
      </c>
      <c r="J556" s="57" t="e">
        <f>ROUND(#REF!*2.4,-1)</f>
        <v>#REF!</v>
      </c>
      <c r="K556" s="58"/>
      <c r="L556" s="59">
        <f>2-2</f>
        <v>0</v>
      </c>
      <c r="M556" s="60"/>
      <c r="N556" s="61"/>
      <c r="O556" s="61"/>
      <c r="P556" s="62">
        <f>1-1</f>
        <v>0</v>
      </c>
      <c r="Q556" s="62">
        <f>1-1</f>
        <v>0</v>
      </c>
      <c r="R556" s="62">
        <f>1-1</f>
        <v>0</v>
      </c>
      <c r="S556" s="62">
        <f>1-1</f>
        <v>0</v>
      </c>
      <c r="T556" s="62">
        <f>1-1</f>
        <v>0</v>
      </c>
      <c r="U556" s="62"/>
      <c r="V556" s="62"/>
      <c r="W556" s="63"/>
      <c r="X556" s="63"/>
      <c r="Z556" s="64"/>
      <c r="AA556" s="54"/>
      <c r="AB556" s="54"/>
      <c r="AC556" s="54"/>
    </row>
    <row r="557" spans="1:29" ht="60" hidden="1" customHeight="1" x14ac:dyDescent="0.2">
      <c r="A557" s="69" t="s">
        <v>875</v>
      </c>
      <c r="B557" s="74"/>
      <c r="C557" s="54" t="s">
        <v>390</v>
      </c>
      <c r="D557" s="57" t="s">
        <v>58</v>
      </c>
      <c r="E557" s="54" t="s">
        <v>34</v>
      </c>
      <c r="F557" s="67" t="s">
        <v>59</v>
      </c>
      <c r="G557" s="67" t="s">
        <v>50</v>
      </c>
      <c r="H557" s="57" t="s">
        <v>123</v>
      </c>
      <c r="I557" s="67" t="s">
        <v>51</v>
      </c>
      <c r="J557" s="57" t="e">
        <f>ROUND(#REF!*2.4,-1)</f>
        <v>#REF!</v>
      </c>
      <c r="K557" s="58"/>
      <c r="L557" s="59">
        <v>0</v>
      </c>
      <c r="M557" s="60"/>
      <c r="N557" s="61"/>
      <c r="O557" s="61"/>
      <c r="P557" s="62"/>
      <c r="Q557" s="62"/>
      <c r="R557" s="62"/>
      <c r="S557" s="62"/>
      <c r="T557" s="62"/>
      <c r="U557" s="62"/>
      <c r="V557" s="62"/>
      <c r="W557" s="63"/>
      <c r="X557" s="63"/>
      <c r="Z557" s="64"/>
      <c r="AA557" s="54"/>
      <c r="AB557" s="54"/>
      <c r="AC557" s="54"/>
    </row>
    <row r="558" spans="1:29" ht="60" hidden="1" customHeight="1" x14ac:dyDescent="0.2">
      <c r="A558" s="69" t="s">
        <v>876</v>
      </c>
      <c r="B558" s="74"/>
      <c r="C558" s="66" t="s">
        <v>127</v>
      </c>
      <c r="D558" s="57" t="s">
        <v>58</v>
      </c>
      <c r="E558" s="54" t="s">
        <v>34</v>
      </c>
      <c r="F558" s="67" t="s">
        <v>59</v>
      </c>
      <c r="G558" s="67" t="s">
        <v>50</v>
      </c>
      <c r="H558" s="57" t="s">
        <v>137</v>
      </c>
      <c r="I558" s="67" t="s">
        <v>51</v>
      </c>
      <c r="J558" s="57" t="e">
        <f>ROUND(#REF!*2.4,-1)</f>
        <v>#REF!</v>
      </c>
      <c r="K558" s="58"/>
      <c r="L558" s="59">
        <f>1-1</f>
        <v>0</v>
      </c>
      <c r="M558" s="60"/>
      <c r="N558" s="61"/>
      <c r="O558" s="61"/>
      <c r="P558" s="62">
        <f>1-1</f>
        <v>0</v>
      </c>
      <c r="Q558" s="62">
        <f>1-1</f>
        <v>0</v>
      </c>
      <c r="R558" s="62">
        <f>1-1</f>
        <v>0</v>
      </c>
      <c r="S558" s="62">
        <f>1-1</f>
        <v>0</v>
      </c>
      <c r="T558" s="62">
        <f>1-1</f>
        <v>0</v>
      </c>
      <c r="U558" s="62"/>
      <c r="V558" s="62"/>
      <c r="W558" s="63"/>
      <c r="X558" s="63"/>
      <c r="Z558" s="64"/>
      <c r="AA558" s="54"/>
      <c r="AB558" s="54"/>
      <c r="AC558" s="54"/>
    </row>
    <row r="559" spans="1:29" ht="60" hidden="1" customHeight="1" x14ac:dyDescent="0.2">
      <c r="A559" s="69" t="s">
        <v>877</v>
      </c>
      <c r="B559" s="74"/>
      <c r="C559" s="66" t="s">
        <v>446</v>
      </c>
      <c r="D559" s="57" t="s">
        <v>58</v>
      </c>
      <c r="E559" s="54" t="s">
        <v>34</v>
      </c>
      <c r="F559" s="67" t="s">
        <v>59</v>
      </c>
      <c r="G559" s="56" t="s">
        <v>36</v>
      </c>
      <c r="H559" s="57" t="s">
        <v>137</v>
      </c>
      <c r="I559" s="67" t="s">
        <v>51</v>
      </c>
      <c r="J559" s="57" t="e">
        <f>ROUND(#REF!*2.4,-1)</f>
        <v>#REF!</v>
      </c>
      <c r="K559" s="58"/>
      <c r="L559" s="59">
        <f>5-5</f>
        <v>0</v>
      </c>
      <c r="M559" s="60"/>
      <c r="N559" s="61"/>
      <c r="O559" s="61"/>
      <c r="P559" s="62">
        <f>5-5</f>
        <v>0</v>
      </c>
      <c r="Q559" s="62">
        <f>5-5</f>
        <v>0</v>
      </c>
      <c r="R559" s="62">
        <f>1-1</f>
        <v>0</v>
      </c>
      <c r="S559" s="62">
        <f>1-1</f>
        <v>0</v>
      </c>
      <c r="T559" s="62">
        <f>5-5</f>
        <v>0</v>
      </c>
      <c r="U559" s="62"/>
      <c r="V559" s="62"/>
      <c r="W559" s="63"/>
      <c r="X559" s="63"/>
      <c r="Z559" s="64"/>
      <c r="AA559" s="54"/>
      <c r="AB559" s="54"/>
      <c r="AC559" s="54"/>
    </row>
    <row r="560" spans="1:29" ht="60" customHeight="1" x14ac:dyDescent="0.2">
      <c r="A560" s="69" t="s">
        <v>878</v>
      </c>
      <c r="B560" s="74"/>
      <c r="C560" s="66" t="s">
        <v>620</v>
      </c>
      <c r="D560" s="53" t="s">
        <v>58</v>
      </c>
      <c r="E560" s="54" t="s">
        <v>34</v>
      </c>
      <c r="F560" s="55" t="s">
        <v>59</v>
      </c>
      <c r="G560" s="56" t="s">
        <v>36</v>
      </c>
      <c r="H560" s="57" t="s">
        <v>137</v>
      </c>
      <c r="I560" s="55" t="s">
        <v>51</v>
      </c>
      <c r="J560" s="57" t="e">
        <f>ROUND(#REF!*2.4,-1)</f>
        <v>#REF!</v>
      </c>
      <c r="K560" s="58"/>
      <c r="L560" s="59">
        <f>3-1</f>
        <v>2</v>
      </c>
      <c r="M560" s="60"/>
      <c r="N560" s="61"/>
      <c r="O560" s="61"/>
      <c r="P560" s="62">
        <f>3-2</f>
        <v>1</v>
      </c>
      <c r="Q560" s="62">
        <f>2-1</f>
        <v>1</v>
      </c>
      <c r="R560" s="62">
        <f>1-1</f>
        <v>0</v>
      </c>
      <c r="S560" s="62">
        <f>2-2</f>
        <v>0</v>
      </c>
      <c r="T560" s="62">
        <f>1-1</f>
        <v>0</v>
      </c>
      <c r="U560" s="62"/>
      <c r="V560" s="62"/>
      <c r="W560" s="63"/>
      <c r="X560" s="63"/>
      <c r="Z560" s="64"/>
      <c r="AA560" s="54"/>
      <c r="AB560" s="54"/>
      <c r="AC560" s="54"/>
    </row>
    <row r="561" spans="1:29" ht="60" hidden="1" customHeight="1" x14ac:dyDescent="0.2">
      <c r="A561" s="69" t="s">
        <v>879</v>
      </c>
      <c r="B561" s="74"/>
      <c r="C561" s="66" t="s">
        <v>625</v>
      </c>
      <c r="D561" s="53" t="s">
        <v>58</v>
      </c>
      <c r="E561" s="54" t="s">
        <v>34</v>
      </c>
      <c r="F561" s="55" t="s">
        <v>59</v>
      </c>
      <c r="G561" s="67" t="s">
        <v>50</v>
      </c>
      <c r="H561" s="57" t="s">
        <v>123</v>
      </c>
      <c r="I561" s="55" t="s">
        <v>51</v>
      </c>
      <c r="J561" s="57" t="e">
        <f>ROUND(#REF!*2.4,-1)</f>
        <v>#REF!</v>
      </c>
      <c r="K561" s="58"/>
      <c r="L561" s="59">
        <v>0</v>
      </c>
      <c r="M561" s="60"/>
      <c r="N561" s="61"/>
      <c r="O561" s="61"/>
      <c r="P561" s="62"/>
      <c r="Q561" s="62"/>
      <c r="R561" s="62"/>
      <c r="S561" s="62"/>
      <c r="T561" s="62"/>
      <c r="U561" s="62"/>
      <c r="V561" s="62"/>
      <c r="W561" s="63"/>
      <c r="X561" s="63"/>
      <c r="Z561" s="64"/>
      <c r="AA561" s="54"/>
      <c r="AB561" s="54"/>
      <c r="AC561" s="54"/>
    </row>
    <row r="562" spans="1:29" ht="60" customHeight="1" x14ac:dyDescent="0.2">
      <c r="A562" s="69" t="s">
        <v>880</v>
      </c>
      <c r="B562" s="74"/>
      <c r="C562" s="66" t="s">
        <v>850</v>
      </c>
      <c r="D562" s="53" t="s">
        <v>58</v>
      </c>
      <c r="E562" s="54" t="s">
        <v>34</v>
      </c>
      <c r="F562" s="55" t="s">
        <v>59</v>
      </c>
      <c r="G562" s="56" t="s">
        <v>36</v>
      </c>
      <c r="H562" s="57" t="s">
        <v>123</v>
      </c>
      <c r="I562" s="55" t="s">
        <v>51</v>
      </c>
      <c r="J562" s="57" t="e">
        <f>ROUND(#REF!*2.4,-1)</f>
        <v>#REF!</v>
      </c>
      <c r="K562" s="58"/>
      <c r="L562" s="59">
        <f>1-1+1</f>
        <v>1</v>
      </c>
      <c r="M562" s="60"/>
      <c r="N562" s="61"/>
      <c r="O562" s="61"/>
      <c r="P562" s="62">
        <f t="shared" ref="P562:R563" si="55">1-1</f>
        <v>0</v>
      </c>
      <c r="Q562" s="62">
        <f t="shared" si="55"/>
        <v>0</v>
      </c>
      <c r="R562" s="62">
        <f t="shared" si="55"/>
        <v>0</v>
      </c>
      <c r="S562" s="62">
        <f>1-1+1</f>
        <v>1</v>
      </c>
      <c r="T562" s="62">
        <f>1-1</f>
        <v>0</v>
      </c>
      <c r="U562" s="62"/>
      <c r="V562" s="62"/>
      <c r="W562" s="63"/>
      <c r="X562" s="63"/>
      <c r="Z562" s="64"/>
      <c r="AA562" s="54"/>
      <c r="AB562" s="54"/>
      <c r="AC562" s="54"/>
    </row>
    <row r="563" spans="1:29" ht="60" hidden="1" customHeight="1" x14ac:dyDescent="0.2">
      <c r="A563" s="69" t="s">
        <v>881</v>
      </c>
      <c r="B563" s="74"/>
      <c r="C563" s="87" t="s">
        <v>342</v>
      </c>
      <c r="D563" s="57" t="s">
        <v>58</v>
      </c>
      <c r="E563" s="54" t="s">
        <v>34</v>
      </c>
      <c r="F563" s="67" t="s">
        <v>59</v>
      </c>
      <c r="G563" s="56" t="s">
        <v>36</v>
      </c>
      <c r="H563" s="57" t="s">
        <v>84</v>
      </c>
      <c r="I563" s="67" t="s">
        <v>51</v>
      </c>
      <c r="J563" s="57" t="e">
        <f>ROUND(#REF!*2.4,-1)</f>
        <v>#REF!</v>
      </c>
      <c r="K563" s="58"/>
      <c r="L563" s="59">
        <f>1-1</f>
        <v>0</v>
      </c>
      <c r="M563" s="60"/>
      <c r="N563" s="61"/>
      <c r="O563" s="61"/>
      <c r="P563" s="62">
        <f t="shared" si="55"/>
        <v>0</v>
      </c>
      <c r="Q563" s="62">
        <f>1-1</f>
        <v>0</v>
      </c>
      <c r="R563" s="62">
        <f t="shared" si="55"/>
        <v>0</v>
      </c>
      <c r="S563" s="62">
        <f>1-1</f>
        <v>0</v>
      </c>
      <c r="T563" s="62">
        <f>1-1</f>
        <v>0</v>
      </c>
      <c r="U563" s="62"/>
      <c r="V563" s="62"/>
      <c r="W563" s="63"/>
      <c r="X563" s="63"/>
      <c r="Z563" s="64"/>
      <c r="AA563" s="54"/>
      <c r="AB563" s="54"/>
      <c r="AC563" s="54"/>
    </row>
    <row r="564" spans="1:29" ht="60" customHeight="1" x14ac:dyDescent="0.2">
      <c r="A564" s="69" t="s">
        <v>882</v>
      </c>
      <c r="B564" s="74"/>
      <c r="C564" s="66" t="s">
        <v>838</v>
      </c>
      <c r="D564" s="53" t="s">
        <v>58</v>
      </c>
      <c r="E564" s="54" t="s">
        <v>34</v>
      </c>
      <c r="F564" s="55" t="s">
        <v>59</v>
      </c>
      <c r="G564" s="56" t="s">
        <v>36</v>
      </c>
      <c r="H564" s="57" t="s">
        <v>84</v>
      </c>
      <c r="I564" s="55" t="s">
        <v>51</v>
      </c>
      <c r="J564" s="57">
        <v>480</v>
      </c>
      <c r="K564" s="58"/>
      <c r="L564" s="59">
        <f>6-1</f>
        <v>5</v>
      </c>
      <c r="M564" s="60"/>
      <c r="N564" s="61"/>
      <c r="O564" s="61"/>
      <c r="P564" s="62">
        <f>4-1</f>
        <v>3</v>
      </c>
      <c r="Q564" s="62">
        <f>3-1</f>
        <v>2</v>
      </c>
      <c r="R564" s="62">
        <f>1-1</f>
        <v>0</v>
      </c>
      <c r="S564" s="62">
        <f>1-1</f>
        <v>0</v>
      </c>
      <c r="T564" s="62">
        <f>2-2</f>
        <v>0</v>
      </c>
      <c r="U564" s="62"/>
      <c r="V564" s="62"/>
      <c r="W564" s="63"/>
      <c r="X564" s="63"/>
      <c r="Z564" s="64"/>
      <c r="AA564" s="54"/>
      <c r="AB564" s="54"/>
      <c r="AC564" s="54"/>
    </row>
    <row r="565" spans="1:29" ht="60" hidden="1" customHeight="1" x14ac:dyDescent="0.2">
      <c r="A565" s="69" t="s">
        <v>883</v>
      </c>
      <c r="B565" s="74"/>
      <c r="C565" s="66" t="s">
        <v>759</v>
      </c>
      <c r="D565" s="53" t="s">
        <v>58</v>
      </c>
      <c r="E565" s="54" t="s">
        <v>34</v>
      </c>
      <c r="F565" s="55" t="s">
        <v>59</v>
      </c>
      <c r="G565" s="56" t="s">
        <v>36</v>
      </c>
      <c r="H565" s="57" t="s">
        <v>84</v>
      </c>
      <c r="I565" s="55" t="s">
        <v>51</v>
      </c>
      <c r="J565" s="57">
        <v>940</v>
      </c>
      <c r="K565" s="58"/>
      <c r="L565" s="59">
        <f>1-1</f>
        <v>0</v>
      </c>
      <c r="M565" s="60"/>
      <c r="N565" s="61"/>
      <c r="O565" s="61"/>
      <c r="P565" s="62">
        <f>1-1</f>
        <v>0</v>
      </c>
      <c r="Q565" s="62">
        <f>1-1</f>
        <v>0</v>
      </c>
      <c r="R565" s="62">
        <f>1-1</f>
        <v>0</v>
      </c>
      <c r="S565" s="62">
        <f>1-1</f>
        <v>0</v>
      </c>
      <c r="T565" s="62">
        <f>1-1</f>
        <v>0</v>
      </c>
      <c r="U565" s="62"/>
      <c r="V565" s="62"/>
      <c r="W565" s="63"/>
      <c r="X565" s="63"/>
      <c r="Z565" s="64"/>
      <c r="AA565" s="54"/>
      <c r="AB565" s="54"/>
      <c r="AC565" s="54"/>
    </row>
    <row r="566" spans="1:29" ht="60" hidden="1" customHeight="1" x14ac:dyDescent="0.2">
      <c r="A566" s="69" t="s">
        <v>884</v>
      </c>
      <c r="B566" s="74"/>
      <c r="C566" s="66" t="s">
        <v>235</v>
      </c>
      <c r="D566" s="53" t="s">
        <v>58</v>
      </c>
      <c r="E566" s="54" t="s">
        <v>34</v>
      </c>
      <c r="F566" s="55" t="s">
        <v>59</v>
      </c>
      <c r="G566" s="67" t="s">
        <v>50</v>
      </c>
      <c r="H566" s="57" t="s">
        <v>37</v>
      </c>
      <c r="I566" s="55" t="s">
        <v>51</v>
      </c>
      <c r="J566" s="57" t="e">
        <f>ROUND(#REF!*2.4,-1)</f>
        <v>#REF!</v>
      </c>
      <c r="K566" s="58"/>
      <c r="L566" s="59">
        <f>2-2</f>
        <v>0</v>
      </c>
      <c r="M566" s="60"/>
      <c r="N566" s="61"/>
      <c r="O566" s="61"/>
      <c r="P566" s="62">
        <f>1-1</f>
        <v>0</v>
      </c>
      <c r="Q566" s="62">
        <f>1-1</f>
        <v>0</v>
      </c>
      <c r="R566" s="62"/>
      <c r="S566" s="62"/>
      <c r="T566" s="62"/>
      <c r="U566" s="62"/>
      <c r="V566" s="62"/>
      <c r="W566" s="63"/>
      <c r="X566" s="63"/>
      <c r="Z566" s="64"/>
      <c r="AA566" s="54"/>
      <c r="AB566" s="54"/>
      <c r="AC566" s="54"/>
    </row>
    <row r="567" spans="1:29" ht="38.25" hidden="1" x14ac:dyDescent="0.2">
      <c r="A567" s="69" t="s">
        <v>885</v>
      </c>
      <c r="B567" s="74" t="s">
        <v>329</v>
      </c>
      <c r="C567" s="87" t="s">
        <v>694</v>
      </c>
      <c r="D567" s="57" t="s">
        <v>58</v>
      </c>
      <c r="E567" s="54" t="s">
        <v>34</v>
      </c>
      <c r="F567" s="67" t="s">
        <v>59</v>
      </c>
      <c r="G567" s="67" t="s">
        <v>50</v>
      </c>
      <c r="H567" s="57" t="s">
        <v>344</v>
      </c>
      <c r="I567" s="67" t="s">
        <v>51</v>
      </c>
      <c r="J567" s="57" t="e">
        <f>ROUND(#REF!*2.4,-1)</f>
        <v>#REF!</v>
      </c>
      <c r="K567" s="58"/>
      <c r="L567" s="59">
        <v>0</v>
      </c>
      <c r="M567" s="60"/>
      <c r="N567" s="61"/>
      <c r="O567" s="61"/>
      <c r="P567" s="62"/>
      <c r="Q567" s="62"/>
      <c r="R567" s="62"/>
      <c r="S567" s="62"/>
      <c r="T567" s="62"/>
      <c r="U567" s="62"/>
      <c r="V567" s="62"/>
      <c r="W567" s="63"/>
      <c r="X567" s="63"/>
      <c r="Z567" s="64"/>
      <c r="AA567" s="54"/>
      <c r="AB567" s="54"/>
      <c r="AC567" s="54"/>
    </row>
    <row r="568" spans="1:29" ht="60" hidden="1" customHeight="1" x14ac:dyDescent="0.2">
      <c r="A568" s="69" t="s">
        <v>886</v>
      </c>
      <c r="B568" s="74"/>
      <c r="C568" s="66" t="s">
        <v>441</v>
      </c>
      <c r="D568" s="57" t="s">
        <v>58</v>
      </c>
      <c r="E568" s="54" t="s">
        <v>34</v>
      </c>
      <c r="F568" s="67" t="s">
        <v>59</v>
      </c>
      <c r="G568" s="67" t="s">
        <v>50</v>
      </c>
      <c r="H568" s="57" t="s">
        <v>84</v>
      </c>
      <c r="I568" s="67" t="s">
        <v>51</v>
      </c>
      <c r="J568" s="57" t="e">
        <f>ROUND(#REF!*2.4,-1)</f>
        <v>#REF!</v>
      </c>
      <c r="K568" s="58"/>
      <c r="L568" s="59">
        <f>1-1</f>
        <v>0</v>
      </c>
      <c r="M568" s="60"/>
      <c r="N568" s="61"/>
      <c r="O568" s="61"/>
      <c r="P568" s="62">
        <f>1-1</f>
        <v>0</v>
      </c>
      <c r="Q568" s="62">
        <f>1-1</f>
        <v>0</v>
      </c>
      <c r="R568" s="62">
        <f>1-1</f>
        <v>0</v>
      </c>
      <c r="S568" s="62">
        <f>1-1</f>
        <v>0</v>
      </c>
      <c r="T568" s="62">
        <f>1-1</f>
        <v>0</v>
      </c>
      <c r="U568" s="62"/>
      <c r="V568" s="62"/>
      <c r="W568" s="63"/>
      <c r="X568" s="63"/>
      <c r="Z568" s="64"/>
      <c r="AA568" s="54"/>
      <c r="AB568" s="54"/>
      <c r="AC568" s="54"/>
    </row>
    <row r="569" spans="1:29" ht="60" hidden="1" customHeight="1" x14ac:dyDescent="0.2">
      <c r="A569" s="69" t="s">
        <v>887</v>
      </c>
      <c r="B569" s="74"/>
      <c r="C569" s="66" t="s">
        <v>527</v>
      </c>
      <c r="D569" s="57" t="s">
        <v>58</v>
      </c>
      <c r="E569" s="54" t="s">
        <v>34</v>
      </c>
      <c r="F569" s="67" t="s">
        <v>59</v>
      </c>
      <c r="G569" s="56" t="s">
        <v>36</v>
      </c>
      <c r="H569" s="57" t="s">
        <v>84</v>
      </c>
      <c r="I569" s="67" t="s">
        <v>51</v>
      </c>
      <c r="J569" s="57" t="e">
        <f>ROUND(#REF!*2.4,-1)</f>
        <v>#REF!</v>
      </c>
      <c r="K569" s="58"/>
      <c r="L569" s="59">
        <f>1-1</f>
        <v>0</v>
      </c>
      <c r="M569" s="60"/>
      <c r="N569" s="61"/>
      <c r="O569" s="61"/>
      <c r="P569" s="62">
        <f>2-2</f>
        <v>0</v>
      </c>
      <c r="Q569" s="62">
        <f>1-1</f>
        <v>0</v>
      </c>
      <c r="R569" s="62">
        <f>1-1</f>
        <v>0</v>
      </c>
      <c r="S569" s="62">
        <f>1-1</f>
        <v>0</v>
      </c>
      <c r="T569" s="62"/>
      <c r="U569" s="62"/>
      <c r="V569" s="62"/>
      <c r="W569" s="63"/>
      <c r="X569" s="63"/>
      <c r="Z569" s="64"/>
      <c r="AA569" s="54"/>
      <c r="AB569" s="54"/>
      <c r="AC569" s="54"/>
    </row>
    <row r="570" spans="1:29" ht="60" hidden="1" customHeight="1" x14ac:dyDescent="0.2">
      <c r="A570" s="69" t="s">
        <v>888</v>
      </c>
      <c r="B570" s="74"/>
      <c r="C570" s="66" t="s">
        <v>836</v>
      </c>
      <c r="D570" s="57" t="s">
        <v>58</v>
      </c>
      <c r="E570" s="54" t="s">
        <v>34</v>
      </c>
      <c r="F570" s="67" t="s">
        <v>59</v>
      </c>
      <c r="G570" s="67" t="s">
        <v>50</v>
      </c>
      <c r="H570" s="57" t="s">
        <v>344</v>
      </c>
      <c r="I570" s="67" t="s">
        <v>51</v>
      </c>
      <c r="J570" s="57" t="e">
        <f>ROUND(#REF!*2.4,-1)</f>
        <v>#REF!</v>
      </c>
      <c r="K570" s="58"/>
      <c r="L570" s="59">
        <f>2-2</f>
        <v>0</v>
      </c>
      <c r="M570" s="60"/>
      <c r="N570" s="61"/>
      <c r="O570" s="61"/>
      <c r="P570" s="62"/>
      <c r="Q570" s="62"/>
      <c r="R570" s="62"/>
      <c r="S570" s="62">
        <f>1-1</f>
        <v>0</v>
      </c>
      <c r="T570" s="62">
        <f>1-1</f>
        <v>0</v>
      </c>
      <c r="U570" s="62"/>
      <c r="V570" s="62"/>
      <c r="W570" s="63"/>
      <c r="X570" s="63"/>
      <c r="Z570" s="64"/>
      <c r="AA570" s="54"/>
      <c r="AB570" s="54"/>
      <c r="AC570" s="54"/>
    </row>
    <row r="571" spans="1:29" ht="60" hidden="1" customHeight="1" x14ac:dyDescent="0.2">
      <c r="A571" s="69" t="s">
        <v>889</v>
      </c>
      <c r="B571" s="74"/>
      <c r="C571" s="66" t="s">
        <v>890</v>
      </c>
      <c r="D571" s="57" t="s">
        <v>58</v>
      </c>
      <c r="E571" s="54" t="s">
        <v>34</v>
      </c>
      <c r="F571" s="67" t="s">
        <v>59</v>
      </c>
      <c r="G571" s="67" t="s">
        <v>50</v>
      </c>
      <c r="H571" s="57" t="s">
        <v>442</v>
      </c>
      <c r="I571" s="67" t="s">
        <v>51</v>
      </c>
      <c r="J571" s="57" t="e">
        <f>ROUND(#REF!*2.4,-1)</f>
        <v>#REF!</v>
      </c>
      <c r="K571" s="58"/>
      <c r="L571" s="59">
        <v>0</v>
      </c>
      <c r="M571" s="60"/>
      <c r="N571" s="61"/>
      <c r="O571" s="61"/>
      <c r="P571" s="62"/>
      <c r="Q571" s="62"/>
      <c r="R571" s="62"/>
      <c r="S571" s="62"/>
      <c r="T571" s="62"/>
      <c r="U571" s="62"/>
      <c r="V571" s="62"/>
      <c r="W571" s="63"/>
      <c r="X571" s="63"/>
      <c r="Z571" s="64"/>
      <c r="AA571" s="54"/>
      <c r="AB571" s="54"/>
      <c r="AC571" s="54"/>
    </row>
    <row r="572" spans="1:29" ht="60" customHeight="1" x14ac:dyDescent="0.2">
      <c r="A572" s="69" t="s">
        <v>891</v>
      </c>
      <c r="B572" s="74"/>
      <c r="C572" s="66" t="s">
        <v>360</v>
      </c>
      <c r="D572" s="57" t="s">
        <v>58</v>
      </c>
      <c r="E572" s="54" t="s">
        <v>34</v>
      </c>
      <c r="F572" s="67" t="s">
        <v>59</v>
      </c>
      <c r="G572" s="56" t="s">
        <v>36</v>
      </c>
      <c r="H572" s="57" t="s">
        <v>84</v>
      </c>
      <c r="I572" s="67" t="s">
        <v>51</v>
      </c>
      <c r="J572" s="57" t="e">
        <f>ROUND(#REF!*2.4,-1)</f>
        <v>#REF!</v>
      </c>
      <c r="K572" s="58"/>
      <c r="L572" s="59">
        <f>2-1</f>
        <v>1</v>
      </c>
      <c r="M572" s="60"/>
      <c r="N572" s="61"/>
      <c r="O572" s="61"/>
      <c r="P572" s="62">
        <f>1-1</f>
        <v>0</v>
      </c>
      <c r="Q572" s="62">
        <f>1-1+1</f>
        <v>1</v>
      </c>
      <c r="R572" s="62">
        <f>1-1</f>
        <v>0</v>
      </c>
      <c r="S572" s="62">
        <f>1-1</f>
        <v>0</v>
      </c>
      <c r="T572" s="62"/>
      <c r="U572" s="62"/>
      <c r="V572" s="62"/>
      <c r="W572" s="63"/>
      <c r="X572" s="63"/>
      <c r="Z572" s="64"/>
      <c r="AA572" s="54"/>
      <c r="AB572" s="54"/>
      <c r="AC572" s="54"/>
    </row>
    <row r="573" spans="1:29" ht="60" hidden="1" customHeight="1" x14ac:dyDescent="0.2">
      <c r="A573" s="69" t="s">
        <v>892</v>
      </c>
      <c r="B573" s="74"/>
      <c r="C573" s="66" t="s">
        <v>893</v>
      </c>
      <c r="D573" s="57" t="s">
        <v>58</v>
      </c>
      <c r="E573" s="54" t="s">
        <v>34</v>
      </c>
      <c r="F573" s="67" t="s">
        <v>59</v>
      </c>
      <c r="G573" s="67" t="s">
        <v>50</v>
      </c>
      <c r="H573" s="57" t="s">
        <v>344</v>
      </c>
      <c r="I573" s="67" t="s">
        <v>51</v>
      </c>
      <c r="J573" s="57" t="e">
        <f>ROUND(#REF!*2.4,-1)</f>
        <v>#REF!</v>
      </c>
      <c r="K573" s="58"/>
      <c r="L573" s="59">
        <v>0</v>
      </c>
      <c r="M573" s="60"/>
      <c r="N573" s="61"/>
      <c r="O573" s="61"/>
      <c r="P573" s="62"/>
      <c r="Q573" s="62"/>
      <c r="R573" s="62"/>
      <c r="S573" s="62"/>
      <c r="T573" s="62"/>
      <c r="U573" s="62"/>
      <c r="V573" s="62"/>
      <c r="W573" s="63"/>
      <c r="X573" s="63"/>
      <c r="Z573" s="64"/>
      <c r="AA573" s="54"/>
      <c r="AB573" s="54"/>
      <c r="AC573" s="54"/>
    </row>
    <row r="574" spans="1:29" ht="60" hidden="1" customHeight="1" x14ac:dyDescent="0.2">
      <c r="A574" s="69" t="s">
        <v>894</v>
      </c>
      <c r="B574" s="74"/>
      <c r="C574" s="66" t="s">
        <v>276</v>
      </c>
      <c r="D574" s="57" t="s">
        <v>58</v>
      </c>
      <c r="E574" s="54" t="s">
        <v>34</v>
      </c>
      <c r="F574" s="67" t="s">
        <v>59</v>
      </c>
      <c r="G574" s="67" t="s">
        <v>50</v>
      </c>
      <c r="H574" s="57" t="s">
        <v>646</v>
      </c>
      <c r="I574" s="67" t="s">
        <v>51</v>
      </c>
      <c r="J574" s="57" t="e">
        <f>ROUND(#REF!*2.4,-1)</f>
        <v>#REF!</v>
      </c>
      <c r="K574" s="58"/>
      <c r="L574" s="59">
        <f>1-1</f>
        <v>0</v>
      </c>
      <c r="M574" s="60"/>
      <c r="N574" s="61"/>
      <c r="O574" s="61"/>
      <c r="P574" s="62">
        <f>1-1</f>
        <v>0</v>
      </c>
      <c r="Q574" s="62">
        <f>1-1</f>
        <v>0</v>
      </c>
      <c r="R574" s="62">
        <f>1-1</f>
        <v>0</v>
      </c>
      <c r="S574" s="62">
        <f>1-1</f>
        <v>0</v>
      </c>
      <c r="T574" s="62">
        <f>2-2</f>
        <v>0</v>
      </c>
      <c r="U574" s="62"/>
      <c r="V574" s="62"/>
      <c r="W574" s="63"/>
      <c r="X574" s="63"/>
      <c r="Z574" s="64"/>
      <c r="AA574" s="54"/>
      <c r="AB574" s="54"/>
      <c r="AC574" s="54"/>
    </row>
    <row r="575" spans="1:29" ht="60" hidden="1" customHeight="1" x14ac:dyDescent="0.2">
      <c r="A575" s="69" t="s">
        <v>895</v>
      </c>
      <c r="B575" s="74"/>
      <c r="C575" s="66" t="s">
        <v>384</v>
      </c>
      <c r="D575" s="57" t="s">
        <v>58</v>
      </c>
      <c r="E575" s="54" t="s">
        <v>34</v>
      </c>
      <c r="F575" s="67" t="s">
        <v>59</v>
      </c>
      <c r="G575" s="67" t="s">
        <v>50</v>
      </c>
      <c r="H575" s="57" t="s">
        <v>442</v>
      </c>
      <c r="I575" s="67" t="s">
        <v>51</v>
      </c>
      <c r="J575" s="57" t="e">
        <f>ROUND(#REF!*2.4,-1)</f>
        <v>#REF!</v>
      </c>
      <c r="K575" s="58"/>
      <c r="L575" s="59">
        <v>0</v>
      </c>
      <c r="M575" s="60"/>
      <c r="N575" s="61"/>
      <c r="O575" s="61"/>
      <c r="P575" s="62"/>
      <c r="Q575" s="62"/>
      <c r="R575" s="62"/>
      <c r="S575" s="62"/>
      <c r="T575" s="62"/>
      <c r="U575" s="62"/>
      <c r="V575" s="62"/>
      <c r="W575" s="63"/>
      <c r="X575" s="63"/>
      <c r="Z575" s="64"/>
      <c r="AA575" s="54"/>
      <c r="AB575" s="54"/>
      <c r="AC575" s="54"/>
    </row>
    <row r="576" spans="1:29" ht="60" customHeight="1" x14ac:dyDescent="0.2">
      <c r="A576" s="69" t="s">
        <v>896</v>
      </c>
      <c r="B576" s="74"/>
      <c r="C576" s="66" t="s">
        <v>449</v>
      </c>
      <c r="D576" s="57" t="s">
        <v>58</v>
      </c>
      <c r="E576" s="54" t="s">
        <v>34</v>
      </c>
      <c r="F576" s="67" t="s">
        <v>59</v>
      </c>
      <c r="G576" s="56" t="s">
        <v>36</v>
      </c>
      <c r="H576" s="57" t="s">
        <v>646</v>
      </c>
      <c r="I576" s="67" t="s">
        <v>51</v>
      </c>
      <c r="J576" s="57" t="e">
        <f>ROUND(#REF!*2.4,-1)</f>
        <v>#REF!</v>
      </c>
      <c r="K576" s="58"/>
      <c r="L576" s="59">
        <f>3-1</f>
        <v>2</v>
      </c>
      <c r="M576" s="60"/>
      <c r="N576" s="61"/>
      <c r="O576" s="61"/>
      <c r="P576" s="62">
        <f>3-1</f>
        <v>2</v>
      </c>
      <c r="Q576" s="62">
        <f>1-1</f>
        <v>0</v>
      </c>
      <c r="R576" s="62">
        <f>2-2</f>
        <v>0</v>
      </c>
      <c r="S576" s="62">
        <f>1-1</f>
        <v>0</v>
      </c>
      <c r="T576" s="62"/>
      <c r="U576" s="62"/>
      <c r="V576" s="62"/>
      <c r="W576" s="63"/>
      <c r="X576" s="63"/>
      <c r="Z576" s="64"/>
      <c r="AA576" s="54"/>
      <c r="AB576" s="54"/>
      <c r="AC576" s="54"/>
    </row>
    <row r="577" spans="1:29" ht="60" hidden="1" customHeight="1" x14ac:dyDescent="0.2">
      <c r="A577" s="69" t="s">
        <v>897</v>
      </c>
      <c r="B577" s="74"/>
      <c r="C577" s="66" t="s">
        <v>632</v>
      </c>
      <c r="D577" s="57" t="s">
        <v>58</v>
      </c>
      <c r="E577" s="54" t="s">
        <v>34</v>
      </c>
      <c r="F577" s="67" t="s">
        <v>59</v>
      </c>
      <c r="G577" s="67" t="s">
        <v>50</v>
      </c>
      <c r="H577" s="57" t="s">
        <v>219</v>
      </c>
      <c r="I577" s="67" t="s">
        <v>51</v>
      </c>
      <c r="J577" s="57" t="e">
        <f>ROUND(#REF!*2.4,-1)</f>
        <v>#REF!</v>
      </c>
      <c r="K577" s="58"/>
      <c r="L577" s="59">
        <f>5-5</f>
        <v>0</v>
      </c>
      <c r="M577" s="60"/>
      <c r="N577" s="61"/>
      <c r="O577" s="61"/>
      <c r="P577" s="62">
        <f>2-2</f>
        <v>0</v>
      </c>
      <c r="Q577" s="62">
        <f>1-1</f>
        <v>0</v>
      </c>
      <c r="R577" s="62">
        <f t="shared" ref="R577:T579" si="56">1-1</f>
        <v>0</v>
      </c>
      <c r="S577" s="62">
        <f t="shared" si="56"/>
        <v>0</v>
      </c>
      <c r="T577" s="62">
        <f t="shared" si="56"/>
        <v>0</v>
      </c>
      <c r="U577" s="62">
        <f>0</f>
        <v>0</v>
      </c>
      <c r="V577" s="62"/>
      <c r="W577" s="63"/>
      <c r="X577" s="63"/>
      <c r="Z577" s="64"/>
      <c r="AA577" s="54"/>
      <c r="AB577" s="54"/>
      <c r="AC577" s="54"/>
    </row>
    <row r="578" spans="1:29" ht="60" customHeight="1" x14ac:dyDescent="0.2">
      <c r="A578" s="69" t="s">
        <v>898</v>
      </c>
      <c r="B578" s="74"/>
      <c r="C578" s="66" t="s">
        <v>127</v>
      </c>
      <c r="D578" s="57" t="s">
        <v>58</v>
      </c>
      <c r="E578" s="54" t="s">
        <v>34</v>
      </c>
      <c r="F578" s="67" t="s">
        <v>59</v>
      </c>
      <c r="G578" s="67" t="s">
        <v>50</v>
      </c>
      <c r="H578" s="57" t="s">
        <v>340</v>
      </c>
      <c r="I578" s="67" t="s">
        <v>51</v>
      </c>
      <c r="J578" s="57" t="e">
        <f>ROUND(#REF!*2.4,-1)</f>
        <v>#REF!</v>
      </c>
      <c r="K578" s="58"/>
      <c r="L578" s="59">
        <f>1-1+1</f>
        <v>1</v>
      </c>
      <c r="M578" s="60"/>
      <c r="N578" s="61"/>
      <c r="O578" s="61"/>
      <c r="P578" s="62">
        <f>2-2</f>
        <v>0</v>
      </c>
      <c r="Q578" s="62">
        <f>1-1</f>
        <v>0</v>
      </c>
      <c r="R578" s="62">
        <f>1-1+1</f>
        <v>1</v>
      </c>
      <c r="S578" s="62">
        <f t="shared" si="56"/>
        <v>0</v>
      </c>
      <c r="T578" s="62">
        <f t="shared" si="56"/>
        <v>0</v>
      </c>
      <c r="U578" s="62"/>
      <c r="V578" s="62"/>
      <c r="W578" s="63"/>
      <c r="X578" s="63"/>
      <c r="Z578" s="64"/>
      <c r="AA578" s="54"/>
      <c r="AB578" s="54"/>
      <c r="AC578" s="54"/>
    </row>
    <row r="579" spans="1:29" ht="60" customHeight="1" x14ac:dyDescent="0.2">
      <c r="A579" s="69" t="s">
        <v>899</v>
      </c>
      <c r="B579" s="74"/>
      <c r="C579" s="66" t="s">
        <v>297</v>
      </c>
      <c r="D579" s="57" t="s">
        <v>58</v>
      </c>
      <c r="E579" s="54" t="s">
        <v>34</v>
      </c>
      <c r="F579" s="67" t="s">
        <v>59</v>
      </c>
      <c r="G579" s="56" t="s">
        <v>36</v>
      </c>
      <c r="H579" s="57" t="s">
        <v>646</v>
      </c>
      <c r="I579" s="67" t="s">
        <v>51</v>
      </c>
      <c r="J579" s="57" t="e">
        <f>ROUND(#REF!*2.4,-1)</f>
        <v>#REF!</v>
      </c>
      <c r="K579" s="58"/>
      <c r="L579" s="59">
        <f>1-1+1</f>
        <v>1</v>
      </c>
      <c r="M579" s="60"/>
      <c r="N579" s="61"/>
      <c r="O579" s="61"/>
      <c r="P579" s="62">
        <f>1-1</f>
        <v>0</v>
      </c>
      <c r="Q579" s="62">
        <f>1-1+1</f>
        <v>1</v>
      </c>
      <c r="R579" s="62">
        <f t="shared" si="56"/>
        <v>0</v>
      </c>
      <c r="S579" s="62">
        <f t="shared" si="56"/>
        <v>0</v>
      </c>
      <c r="T579" s="62">
        <f t="shared" si="56"/>
        <v>0</v>
      </c>
      <c r="U579" s="62"/>
      <c r="V579" s="62"/>
      <c r="W579" s="63"/>
      <c r="X579" s="63"/>
      <c r="Z579" s="64"/>
      <c r="AA579" s="54"/>
      <c r="AB579" s="54"/>
      <c r="AC579" s="54"/>
    </row>
    <row r="580" spans="1:29" ht="60" customHeight="1" x14ac:dyDescent="0.2">
      <c r="A580" s="69" t="s">
        <v>900</v>
      </c>
      <c r="B580" s="74"/>
      <c r="C580" s="66" t="s">
        <v>374</v>
      </c>
      <c r="D580" s="57" t="s">
        <v>58</v>
      </c>
      <c r="E580" s="54" t="s">
        <v>34</v>
      </c>
      <c r="F580" s="67" t="s">
        <v>59</v>
      </c>
      <c r="G580" s="56" t="s">
        <v>36</v>
      </c>
      <c r="H580" s="57" t="s">
        <v>219</v>
      </c>
      <c r="I580" s="67" t="s">
        <v>51</v>
      </c>
      <c r="J580" s="57" t="e">
        <f>ROUND(#REF!*2.4,-1)</f>
        <v>#REF!</v>
      </c>
      <c r="K580" s="58"/>
      <c r="L580" s="59">
        <f>1-1+1</f>
        <v>1</v>
      </c>
      <c r="M580" s="60"/>
      <c r="N580" s="61"/>
      <c r="O580" s="61"/>
      <c r="P580" s="62">
        <f>1-1</f>
        <v>0</v>
      </c>
      <c r="Q580" s="62">
        <f>1-1</f>
        <v>0</v>
      </c>
      <c r="R580" s="62">
        <f>1-1+1</f>
        <v>1</v>
      </c>
      <c r="S580" s="62">
        <f>1-1</f>
        <v>0</v>
      </c>
      <c r="T580" s="62">
        <f>1-1</f>
        <v>0</v>
      </c>
      <c r="U580" s="62"/>
      <c r="V580" s="62"/>
      <c r="W580" s="63"/>
      <c r="X580" s="63"/>
      <c r="Z580" s="64"/>
      <c r="AA580" s="54"/>
      <c r="AB580" s="54"/>
      <c r="AC580" s="54"/>
    </row>
    <row r="581" spans="1:29" ht="38.25" hidden="1" x14ac:dyDescent="0.2">
      <c r="A581" s="69" t="s">
        <v>901</v>
      </c>
      <c r="B581" s="74" t="s">
        <v>329</v>
      </c>
      <c r="C581" s="87" t="s">
        <v>902</v>
      </c>
      <c r="D581" s="57" t="s">
        <v>58</v>
      </c>
      <c r="E581" s="54" t="s">
        <v>34</v>
      </c>
      <c r="F581" s="67" t="s">
        <v>59</v>
      </c>
      <c r="G581" s="67" t="s">
        <v>50</v>
      </c>
      <c r="H581" s="57" t="s">
        <v>903</v>
      </c>
      <c r="I581" s="67" t="s">
        <v>51</v>
      </c>
      <c r="J581" s="57" t="e">
        <f>ROUND(#REF!*2.4,-1)</f>
        <v>#REF!</v>
      </c>
      <c r="K581" s="58"/>
      <c r="L581" s="59">
        <v>0</v>
      </c>
      <c r="M581" s="60"/>
      <c r="N581" s="61"/>
      <c r="O581" s="61"/>
      <c r="P581" s="62"/>
      <c r="Q581" s="62"/>
      <c r="R581" s="62"/>
      <c r="S581" s="62"/>
      <c r="T581" s="62"/>
      <c r="U581" s="62"/>
      <c r="V581" s="62"/>
      <c r="W581" s="63"/>
      <c r="X581" s="63"/>
      <c r="Z581" s="64"/>
      <c r="AA581" s="54"/>
      <c r="AB581" s="54"/>
      <c r="AC581" s="54"/>
    </row>
    <row r="582" spans="1:29" ht="60" hidden="1" customHeight="1" x14ac:dyDescent="0.2">
      <c r="A582" s="69" t="s">
        <v>904</v>
      </c>
      <c r="B582" s="74"/>
      <c r="C582" s="87" t="s">
        <v>812</v>
      </c>
      <c r="D582" s="57" t="s">
        <v>58</v>
      </c>
      <c r="E582" s="54" t="s">
        <v>34</v>
      </c>
      <c r="F582" s="67" t="s">
        <v>59</v>
      </c>
      <c r="G582" s="67" t="s">
        <v>50</v>
      </c>
      <c r="H582" s="57" t="s">
        <v>344</v>
      </c>
      <c r="I582" s="67" t="s">
        <v>51</v>
      </c>
      <c r="J582" s="57" t="e">
        <f>ROUND(#REF!*2.4,-1)</f>
        <v>#REF!</v>
      </c>
      <c r="K582" s="58"/>
      <c r="L582" s="59">
        <f>1-1</f>
        <v>0</v>
      </c>
      <c r="M582" s="60"/>
      <c r="N582" s="61"/>
      <c r="O582" s="61"/>
      <c r="P582" s="62">
        <f>1-1</f>
        <v>0</v>
      </c>
      <c r="Q582" s="62">
        <f>1-1</f>
        <v>0</v>
      </c>
      <c r="R582" s="62">
        <f>1-1</f>
        <v>0</v>
      </c>
      <c r="S582" s="62"/>
      <c r="T582" s="62"/>
      <c r="U582" s="62"/>
      <c r="V582" s="62"/>
      <c r="W582" s="63"/>
      <c r="X582" s="63"/>
      <c r="Z582" s="64"/>
      <c r="AA582" s="54"/>
      <c r="AB582" s="54"/>
      <c r="AC582" s="54"/>
    </row>
    <row r="583" spans="1:29" ht="60" hidden="1" customHeight="1" x14ac:dyDescent="0.2">
      <c r="A583" s="69" t="s">
        <v>905</v>
      </c>
      <c r="B583" s="74"/>
      <c r="C583" s="87" t="s">
        <v>830</v>
      </c>
      <c r="D583" s="57" t="s">
        <v>58</v>
      </c>
      <c r="E583" s="54" t="s">
        <v>34</v>
      </c>
      <c r="F583" s="67" t="s">
        <v>59</v>
      </c>
      <c r="G583" s="67" t="s">
        <v>50</v>
      </c>
      <c r="H583" s="57" t="s">
        <v>661</v>
      </c>
      <c r="I583" s="67" t="s">
        <v>51</v>
      </c>
      <c r="J583" s="57" t="e">
        <f>ROUND(#REF!*2.4,-1)</f>
        <v>#REF!</v>
      </c>
      <c r="K583" s="58"/>
      <c r="L583" s="59">
        <v>0</v>
      </c>
      <c r="M583" s="60"/>
      <c r="N583" s="61"/>
      <c r="O583" s="61"/>
      <c r="P583" s="62"/>
      <c r="Q583" s="62"/>
      <c r="R583" s="62"/>
      <c r="S583" s="62"/>
      <c r="T583" s="62"/>
      <c r="U583" s="62"/>
      <c r="V583" s="62"/>
      <c r="W583" s="63"/>
      <c r="X583" s="63"/>
      <c r="Z583" s="64"/>
      <c r="AA583" s="54"/>
      <c r="AB583" s="54"/>
      <c r="AC583" s="54"/>
    </row>
    <row r="584" spans="1:29" ht="60" hidden="1" customHeight="1" x14ac:dyDescent="0.2">
      <c r="A584" s="69" t="s">
        <v>906</v>
      </c>
      <c r="B584" s="74"/>
      <c r="C584" s="87" t="s">
        <v>441</v>
      </c>
      <c r="D584" s="57" t="s">
        <v>58</v>
      </c>
      <c r="E584" s="54" t="s">
        <v>34</v>
      </c>
      <c r="F584" s="67" t="s">
        <v>59</v>
      </c>
      <c r="G584" s="56" t="s">
        <v>36</v>
      </c>
      <c r="H584" s="57" t="s">
        <v>661</v>
      </c>
      <c r="I584" s="67" t="s">
        <v>51</v>
      </c>
      <c r="J584" s="57" t="e">
        <f>ROUND(#REF!*2.4,-1)</f>
        <v>#REF!</v>
      </c>
      <c r="K584" s="58"/>
      <c r="L584" s="59">
        <f>1-1</f>
        <v>0</v>
      </c>
      <c r="M584" s="60"/>
      <c r="N584" s="61"/>
      <c r="O584" s="61"/>
      <c r="P584" s="62">
        <f>1-1</f>
        <v>0</v>
      </c>
      <c r="Q584" s="62">
        <f>1-1</f>
        <v>0</v>
      </c>
      <c r="R584" s="62"/>
      <c r="S584" s="62"/>
      <c r="T584" s="62">
        <f>1-1</f>
        <v>0</v>
      </c>
      <c r="U584" s="62"/>
      <c r="V584" s="62"/>
      <c r="W584" s="63"/>
      <c r="X584" s="63"/>
      <c r="Z584" s="64"/>
      <c r="AA584" s="54"/>
      <c r="AB584" s="54"/>
      <c r="AC584" s="54"/>
    </row>
    <row r="585" spans="1:29" ht="60" hidden="1" customHeight="1" x14ac:dyDescent="0.2">
      <c r="A585" s="69" t="s">
        <v>907</v>
      </c>
      <c r="B585" s="74"/>
      <c r="C585" s="66" t="s">
        <v>838</v>
      </c>
      <c r="D585" s="57" t="s">
        <v>58</v>
      </c>
      <c r="E585" s="54" t="s">
        <v>34</v>
      </c>
      <c r="F585" s="67" t="s">
        <v>59</v>
      </c>
      <c r="G585" s="67" t="s">
        <v>50</v>
      </c>
      <c r="H585" s="57" t="s">
        <v>273</v>
      </c>
      <c r="I585" s="67" t="s">
        <v>51</v>
      </c>
      <c r="J585" s="57" t="e">
        <f>ROUND(#REF!*2.4,-1)</f>
        <v>#REF!</v>
      </c>
      <c r="K585" s="58"/>
      <c r="L585" s="59">
        <f>1-1</f>
        <v>0</v>
      </c>
      <c r="M585" s="60"/>
      <c r="N585" s="61"/>
      <c r="O585" s="61"/>
      <c r="P585" s="62"/>
      <c r="Q585" s="62">
        <f>1-1</f>
        <v>0</v>
      </c>
      <c r="R585" s="62">
        <f>1-1</f>
        <v>0</v>
      </c>
      <c r="S585" s="62">
        <f>1-1</f>
        <v>0</v>
      </c>
      <c r="T585" s="62">
        <v>0</v>
      </c>
      <c r="U585" s="62"/>
      <c r="V585" s="62"/>
      <c r="W585" s="63"/>
      <c r="X585" s="63"/>
      <c r="Z585" s="64"/>
      <c r="AA585" s="54"/>
      <c r="AB585" s="54"/>
      <c r="AC585" s="54"/>
    </row>
    <row r="586" spans="1:29" ht="60" hidden="1" customHeight="1" x14ac:dyDescent="0.2">
      <c r="A586" s="69" t="s">
        <v>908</v>
      </c>
      <c r="B586" s="74"/>
      <c r="C586" s="54" t="s">
        <v>390</v>
      </c>
      <c r="D586" s="57" t="s">
        <v>58</v>
      </c>
      <c r="E586" s="54" t="s">
        <v>34</v>
      </c>
      <c r="F586" s="67" t="s">
        <v>59</v>
      </c>
      <c r="G586" s="67" t="s">
        <v>50</v>
      </c>
      <c r="H586" s="57" t="s">
        <v>132</v>
      </c>
      <c r="I586" s="67" t="s">
        <v>51</v>
      </c>
      <c r="J586" s="57" t="e">
        <f>ROUND(#REF!*2.4,-1)</f>
        <v>#REF!</v>
      </c>
      <c r="K586" s="58"/>
      <c r="L586" s="59">
        <v>0</v>
      </c>
      <c r="M586" s="60"/>
      <c r="N586" s="61"/>
      <c r="O586" s="61"/>
      <c r="P586" s="62"/>
      <c r="Q586" s="62"/>
      <c r="R586" s="62"/>
      <c r="S586" s="62"/>
      <c r="T586" s="62"/>
      <c r="U586" s="62"/>
      <c r="V586" s="62"/>
      <c r="W586" s="63"/>
      <c r="X586" s="63"/>
      <c r="Z586" s="64"/>
      <c r="AA586" s="54"/>
      <c r="AB586" s="54"/>
      <c r="AC586" s="54"/>
    </row>
    <row r="587" spans="1:29" ht="60" hidden="1" customHeight="1" x14ac:dyDescent="0.2">
      <c r="A587" s="69" t="s">
        <v>909</v>
      </c>
      <c r="B587" s="74"/>
      <c r="C587" s="66" t="s">
        <v>850</v>
      </c>
      <c r="D587" s="57" t="s">
        <v>58</v>
      </c>
      <c r="E587" s="54" t="s">
        <v>34</v>
      </c>
      <c r="F587" s="67" t="s">
        <v>59</v>
      </c>
      <c r="G587" s="56" t="s">
        <v>36</v>
      </c>
      <c r="H587" s="57" t="s">
        <v>132</v>
      </c>
      <c r="I587" s="67" t="s">
        <v>51</v>
      </c>
      <c r="J587" s="57" t="e">
        <f>ROUND(#REF!*2.4,-1)</f>
        <v>#REF!</v>
      </c>
      <c r="K587" s="58"/>
      <c r="L587" s="59">
        <f>2-2</f>
        <v>0</v>
      </c>
      <c r="M587" s="60"/>
      <c r="N587" s="61"/>
      <c r="O587" s="61"/>
      <c r="P587" s="62">
        <f>1-1</f>
        <v>0</v>
      </c>
      <c r="Q587" s="62">
        <f>1-1</f>
        <v>0</v>
      </c>
      <c r="R587" s="62">
        <f>2-2</f>
        <v>0</v>
      </c>
      <c r="S587" s="62">
        <f>1-1</f>
        <v>0</v>
      </c>
      <c r="T587" s="62">
        <f>1-1</f>
        <v>0</v>
      </c>
      <c r="U587" s="62"/>
      <c r="V587" s="62"/>
      <c r="W587" s="63"/>
      <c r="X587" s="63"/>
      <c r="Z587" s="64"/>
      <c r="AA587" s="54"/>
      <c r="AB587" s="54"/>
      <c r="AC587" s="54"/>
    </row>
    <row r="588" spans="1:29" ht="60" hidden="1" customHeight="1" x14ac:dyDescent="0.2">
      <c r="A588" s="69" t="s">
        <v>910</v>
      </c>
      <c r="B588" s="74"/>
      <c r="C588" s="66" t="s">
        <v>451</v>
      </c>
      <c r="D588" s="57" t="s">
        <v>58</v>
      </c>
      <c r="E588" s="54" t="s">
        <v>34</v>
      </c>
      <c r="F588" s="67" t="s">
        <v>59</v>
      </c>
      <c r="G588" s="56" t="s">
        <v>36</v>
      </c>
      <c r="H588" s="57" t="s">
        <v>149</v>
      </c>
      <c r="I588" s="67" t="s">
        <v>51</v>
      </c>
      <c r="J588" s="57" t="e">
        <f>ROUND(#REF!*2.4,-1)</f>
        <v>#REF!</v>
      </c>
      <c r="K588" s="58"/>
      <c r="L588" s="59">
        <f>1-1</f>
        <v>0</v>
      </c>
      <c r="M588" s="60"/>
      <c r="N588" s="61"/>
      <c r="O588" s="61"/>
      <c r="P588" s="62">
        <f>1-1</f>
        <v>0</v>
      </c>
      <c r="Q588" s="62">
        <f>1-1</f>
        <v>0</v>
      </c>
      <c r="R588" s="62">
        <f>1-1</f>
        <v>0</v>
      </c>
      <c r="S588" s="62"/>
      <c r="T588" s="62">
        <f>1-1</f>
        <v>0</v>
      </c>
      <c r="U588" s="62"/>
      <c r="V588" s="62"/>
      <c r="W588" s="63"/>
      <c r="X588" s="63"/>
      <c r="Z588" s="64"/>
      <c r="AA588" s="54"/>
      <c r="AB588" s="54"/>
      <c r="AC588" s="54"/>
    </row>
    <row r="589" spans="1:29" ht="60" customHeight="1" x14ac:dyDescent="0.2">
      <c r="A589" s="69" t="s">
        <v>911</v>
      </c>
      <c r="B589" s="74"/>
      <c r="C589" s="66" t="s">
        <v>838</v>
      </c>
      <c r="D589" s="57" t="s">
        <v>58</v>
      </c>
      <c r="E589" s="54" t="s">
        <v>34</v>
      </c>
      <c r="F589" s="67" t="s">
        <v>59</v>
      </c>
      <c r="G589" s="56" t="s">
        <v>36</v>
      </c>
      <c r="H589" s="57" t="s">
        <v>273</v>
      </c>
      <c r="I589" s="67" t="s">
        <v>51</v>
      </c>
      <c r="J589" s="57">
        <v>480</v>
      </c>
      <c r="K589" s="58"/>
      <c r="L589" s="59">
        <f>5-1</f>
        <v>4</v>
      </c>
      <c r="M589" s="60"/>
      <c r="N589" s="61"/>
      <c r="O589" s="61"/>
      <c r="P589" s="62">
        <f>4-1</f>
        <v>3</v>
      </c>
      <c r="Q589" s="62">
        <f>2-2</f>
        <v>0</v>
      </c>
      <c r="R589" s="62">
        <f>1-1</f>
        <v>0</v>
      </c>
      <c r="S589" s="62">
        <f>1-1</f>
        <v>0</v>
      </c>
      <c r="T589" s="62">
        <f>1-1+1</f>
        <v>1</v>
      </c>
      <c r="U589" s="62"/>
      <c r="V589" s="62"/>
      <c r="W589" s="63"/>
      <c r="X589" s="63"/>
      <c r="Z589" s="64"/>
      <c r="AA589" s="54"/>
      <c r="AB589" s="54"/>
      <c r="AC589" s="54"/>
    </row>
    <row r="590" spans="1:29" ht="60" hidden="1" customHeight="1" x14ac:dyDescent="0.2">
      <c r="A590" s="69" t="s">
        <v>912</v>
      </c>
      <c r="B590" s="74"/>
      <c r="C590" s="66" t="s">
        <v>276</v>
      </c>
      <c r="D590" s="57" t="s">
        <v>58</v>
      </c>
      <c r="E590" s="54" t="s">
        <v>34</v>
      </c>
      <c r="F590" s="67" t="s">
        <v>59</v>
      </c>
      <c r="G590" s="67" t="s">
        <v>50</v>
      </c>
      <c r="H590" s="57" t="s">
        <v>273</v>
      </c>
      <c r="I590" s="67" t="s">
        <v>51</v>
      </c>
      <c r="J590" s="57" t="e">
        <f>ROUND(#REF!*2.4,-1)</f>
        <v>#REF!</v>
      </c>
      <c r="K590" s="58"/>
      <c r="L590" s="59">
        <f>1-1</f>
        <v>0</v>
      </c>
      <c r="M590" s="60"/>
      <c r="N590" s="61"/>
      <c r="O590" s="61"/>
      <c r="P590" s="62">
        <f>1-1</f>
        <v>0</v>
      </c>
      <c r="Q590" s="62">
        <f>7-7</f>
        <v>0</v>
      </c>
      <c r="R590" s="62">
        <f>2-2</f>
        <v>0</v>
      </c>
      <c r="S590" s="62">
        <f>2-2</f>
        <v>0</v>
      </c>
      <c r="T590" s="62">
        <f>1-1</f>
        <v>0</v>
      </c>
      <c r="U590" s="62"/>
      <c r="V590" s="62"/>
      <c r="W590" s="63"/>
      <c r="X590" s="63"/>
      <c r="Z590" s="64"/>
      <c r="AA590" s="54"/>
      <c r="AB590" s="54"/>
      <c r="AC590" s="54"/>
    </row>
    <row r="591" spans="1:29" ht="60" hidden="1" customHeight="1" x14ac:dyDescent="0.2">
      <c r="A591" s="69" t="s">
        <v>913</v>
      </c>
      <c r="B591" s="74"/>
      <c r="C591" s="66" t="s">
        <v>673</v>
      </c>
      <c r="D591" s="57" t="s">
        <v>58</v>
      </c>
      <c r="E591" s="54" t="s">
        <v>34</v>
      </c>
      <c r="F591" s="67" t="s">
        <v>59</v>
      </c>
      <c r="G591" s="56" t="s">
        <v>36</v>
      </c>
      <c r="H591" s="57" t="s">
        <v>149</v>
      </c>
      <c r="I591" s="67" t="s">
        <v>51</v>
      </c>
      <c r="J591" s="57" t="e">
        <f>ROUND(#REF!*2.4,-1)</f>
        <v>#REF!</v>
      </c>
      <c r="K591" s="58"/>
      <c r="L591" s="59">
        <f>1-1</f>
        <v>0</v>
      </c>
      <c r="M591" s="60"/>
      <c r="N591" s="61"/>
      <c r="O591" s="61"/>
      <c r="P591" s="62">
        <f>1-1</f>
        <v>0</v>
      </c>
      <c r="Q591" s="62">
        <f>2-2</f>
        <v>0</v>
      </c>
      <c r="R591" s="62">
        <f>1-1</f>
        <v>0</v>
      </c>
      <c r="S591" s="62">
        <f>1-1</f>
        <v>0</v>
      </c>
      <c r="T591" s="62">
        <f>1-1</f>
        <v>0</v>
      </c>
      <c r="U591" s="62"/>
      <c r="V591" s="62"/>
      <c r="W591" s="63"/>
      <c r="X591" s="63"/>
      <c r="Z591" s="64"/>
      <c r="AA591" s="54"/>
      <c r="AB591" s="54"/>
      <c r="AC591" s="54"/>
    </row>
    <row r="592" spans="1:29" ht="60" hidden="1" customHeight="1" x14ac:dyDescent="0.2">
      <c r="A592" s="69" t="s">
        <v>914</v>
      </c>
      <c r="B592" s="74"/>
      <c r="C592" s="66" t="s">
        <v>142</v>
      </c>
      <c r="D592" s="57" t="s">
        <v>58</v>
      </c>
      <c r="E592" s="54" t="s">
        <v>34</v>
      </c>
      <c r="F592" s="67" t="s">
        <v>59</v>
      </c>
      <c r="G592" s="67" t="s">
        <v>50</v>
      </c>
      <c r="H592" s="57" t="s">
        <v>149</v>
      </c>
      <c r="I592" s="67" t="s">
        <v>51</v>
      </c>
      <c r="J592" s="57" t="e">
        <f>ROUND(#REF!*2.4,-1)</f>
        <v>#REF!</v>
      </c>
      <c r="K592" s="58"/>
      <c r="L592" s="59">
        <f>1-1</f>
        <v>0</v>
      </c>
      <c r="M592" s="60"/>
      <c r="N592" s="61"/>
      <c r="O592" s="61"/>
      <c r="P592" s="62">
        <f>1-1</f>
        <v>0</v>
      </c>
      <c r="Q592" s="62">
        <f>1-1</f>
        <v>0</v>
      </c>
      <c r="R592" s="62">
        <f>1-1</f>
        <v>0</v>
      </c>
      <c r="S592" s="62">
        <f>1-1+1-1</f>
        <v>0</v>
      </c>
      <c r="T592" s="62">
        <f>1-1</f>
        <v>0</v>
      </c>
      <c r="U592" s="62"/>
      <c r="V592" s="62"/>
      <c r="W592" s="63"/>
      <c r="X592" s="63"/>
      <c r="Z592" s="64"/>
      <c r="AA592" s="54"/>
      <c r="AB592" s="54"/>
      <c r="AC592" s="54"/>
    </row>
    <row r="593" spans="1:29" ht="60" customHeight="1" x14ac:dyDescent="0.2">
      <c r="A593" s="69" t="s">
        <v>915</v>
      </c>
      <c r="B593" s="74"/>
      <c r="C593" s="66" t="s">
        <v>127</v>
      </c>
      <c r="D593" s="57" t="s">
        <v>58</v>
      </c>
      <c r="E593" s="54" t="s">
        <v>34</v>
      </c>
      <c r="F593" s="67" t="s">
        <v>59</v>
      </c>
      <c r="G593" s="67" t="s">
        <v>50</v>
      </c>
      <c r="H593" s="57" t="s">
        <v>916</v>
      </c>
      <c r="I593" s="67" t="s">
        <v>51</v>
      </c>
      <c r="J593" s="57" t="e">
        <f>ROUND(#REF!*2.4,-1)</f>
        <v>#REF!</v>
      </c>
      <c r="K593" s="58"/>
      <c r="L593" s="59">
        <f>13-2</f>
        <v>11</v>
      </c>
      <c r="M593" s="60"/>
      <c r="N593" s="61"/>
      <c r="O593" s="61"/>
      <c r="P593" s="62">
        <f>5-1</f>
        <v>4</v>
      </c>
      <c r="Q593" s="62">
        <f>3-1</f>
        <v>2</v>
      </c>
      <c r="R593" s="62">
        <f>3-1</f>
        <v>2</v>
      </c>
      <c r="S593" s="62">
        <f>2-2+1</f>
        <v>1</v>
      </c>
      <c r="T593" s="62">
        <f>3-1</f>
        <v>2</v>
      </c>
      <c r="U593" s="62"/>
      <c r="V593" s="62"/>
      <c r="W593" s="63"/>
      <c r="X593" s="63"/>
      <c r="Z593" s="64"/>
      <c r="AA593" s="54"/>
      <c r="AB593" s="54"/>
      <c r="AC593" s="54"/>
    </row>
    <row r="594" spans="1:29" ht="60" customHeight="1" x14ac:dyDescent="0.2">
      <c r="A594" s="69" t="s">
        <v>917</v>
      </c>
      <c r="B594" s="74"/>
      <c r="C594" s="66" t="s">
        <v>680</v>
      </c>
      <c r="D594" s="57" t="s">
        <v>58</v>
      </c>
      <c r="E594" s="54" t="s">
        <v>34</v>
      </c>
      <c r="F594" s="67" t="s">
        <v>59</v>
      </c>
      <c r="G594" s="56" t="s">
        <v>36</v>
      </c>
      <c r="H594" s="57" t="s">
        <v>149</v>
      </c>
      <c r="I594" s="67" t="s">
        <v>51</v>
      </c>
      <c r="J594" s="57" t="e">
        <f>ROUND(#REF!*2.4,-1)</f>
        <v>#REF!</v>
      </c>
      <c r="K594" s="58"/>
      <c r="L594" s="59">
        <f>1-1+1</f>
        <v>1</v>
      </c>
      <c r="M594" s="60"/>
      <c r="N594" s="61"/>
      <c r="O594" s="61"/>
      <c r="P594" s="62">
        <f>2-2</f>
        <v>0</v>
      </c>
      <c r="Q594" s="62">
        <f>5-5</f>
        <v>0</v>
      </c>
      <c r="R594" s="62">
        <f>3-3</f>
        <v>0</v>
      </c>
      <c r="S594" s="62">
        <f>2-2</f>
        <v>0</v>
      </c>
      <c r="T594" s="62">
        <f>1-1+1</f>
        <v>1</v>
      </c>
      <c r="U594" s="62"/>
      <c r="V594" s="62"/>
      <c r="W594" s="63"/>
      <c r="X594" s="63"/>
      <c r="Z594" s="64"/>
      <c r="AA594" s="54"/>
      <c r="AB594" s="54"/>
      <c r="AC594" s="54"/>
    </row>
    <row r="595" spans="1:29" ht="60" hidden="1" customHeight="1" x14ac:dyDescent="0.2">
      <c r="A595" s="69" t="s">
        <v>918</v>
      </c>
      <c r="B595" s="74"/>
      <c r="C595" s="87" t="s">
        <v>827</v>
      </c>
      <c r="D595" s="57" t="s">
        <v>58</v>
      </c>
      <c r="E595" s="54" t="s">
        <v>34</v>
      </c>
      <c r="F595" s="67" t="s">
        <v>59</v>
      </c>
      <c r="G595" s="67" t="s">
        <v>50</v>
      </c>
      <c r="H595" s="57" t="s">
        <v>344</v>
      </c>
      <c r="I595" s="67" t="s">
        <v>51</v>
      </c>
      <c r="J595" s="57" t="e">
        <f>ROUND(#REF!*2.4,-1)</f>
        <v>#REF!</v>
      </c>
      <c r="K595" s="58"/>
      <c r="L595" s="59">
        <v>0</v>
      </c>
      <c r="M595" s="60"/>
      <c r="N595" s="61"/>
      <c r="O595" s="61"/>
      <c r="P595" s="62"/>
      <c r="Q595" s="62"/>
      <c r="R595" s="62"/>
      <c r="S595" s="62"/>
      <c r="T595" s="62"/>
      <c r="U595" s="62"/>
      <c r="V595" s="62"/>
      <c r="W595" s="63"/>
      <c r="X595" s="63"/>
      <c r="Z595" s="64"/>
      <c r="AA595" s="54"/>
      <c r="AB595" s="54"/>
      <c r="AC595" s="54"/>
    </row>
    <row r="596" spans="1:29" ht="60" hidden="1" customHeight="1" x14ac:dyDescent="0.2">
      <c r="A596" s="69" t="s">
        <v>919</v>
      </c>
      <c r="B596" s="74"/>
      <c r="C596" s="66" t="s">
        <v>838</v>
      </c>
      <c r="D596" s="57" t="s">
        <v>58</v>
      </c>
      <c r="E596" s="54" t="s">
        <v>34</v>
      </c>
      <c r="F596" s="67" t="s">
        <v>59</v>
      </c>
      <c r="G596" s="67" t="s">
        <v>50</v>
      </c>
      <c r="H596" s="57" t="s">
        <v>344</v>
      </c>
      <c r="I596" s="67" t="s">
        <v>51</v>
      </c>
      <c r="J596" s="57" t="e">
        <f>ROUND(#REF!*2.4,-1)</f>
        <v>#REF!</v>
      </c>
      <c r="K596" s="58"/>
      <c r="L596" s="59">
        <v>0</v>
      </c>
      <c r="M596" s="60"/>
      <c r="N596" s="61"/>
      <c r="O596" s="61"/>
      <c r="P596" s="62"/>
      <c r="Q596" s="62"/>
      <c r="R596" s="62">
        <f>1-1</f>
        <v>0</v>
      </c>
      <c r="S596" s="62">
        <v>0</v>
      </c>
      <c r="T596" s="62"/>
      <c r="U596" s="62"/>
      <c r="V596" s="62"/>
      <c r="W596" s="63"/>
      <c r="X596" s="63"/>
      <c r="Z596" s="64"/>
      <c r="AA596" s="54"/>
      <c r="AB596" s="54"/>
      <c r="AC596" s="54"/>
    </row>
    <row r="597" spans="1:29" ht="60" hidden="1" customHeight="1" x14ac:dyDescent="0.2">
      <c r="A597" s="69" t="s">
        <v>920</v>
      </c>
      <c r="B597" s="74"/>
      <c r="C597" s="66" t="s">
        <v>142</v>
      </c>
      <c r="D597" s="57" t="s">
        <v>58</v>
      </c>
      <c r="E597" s="54" t="s">
        <v>34</v>
      </c>
      <c r="F597" s="67" t="s">
        <v>59</v>
      </c>
      <c r="G597" s="67" t="s">
        <v>50</v>
      </c>
      <c r="H597" s="57" t="s">
        <v>103</v>
      </c>
      <c r="I597" s="67" t="s">
        <v>51</v>
      </c>
      <c r="J597" s="57" t="e">
        <f>ROUND(#REF!*2.4,-1)</f>
        <v>#REF!</v>
      </c>
      <c r="K597" s="58"/>
      <c r="L597" s="59">
        <f>1-1</f>
        <v>0</v>
      </c>
      <c r="M597" s="60"/>
      <c r="N597" s="61"/>
      <c r="O597" s="61"/>
      <c r="P597" s="62">
        <f>2-2</f>
        <v>0</v>
      </c>
      <c r="Q597" s="62">
        <f>1-1+1-1</f>
        <v>0</v>
      </c>
      <c r="R597" s="62">
        <f>1-1</f>
        <v>0</v>
      </c>
      <c r="S597" s="62">
        <f>2-2</f>
        <v>0</v>
      </c>
      <c r="T597" s="62">
        <f>1-1</f>
        <v>0</v>
      </c>
      <c r="U597" s="62"/>
      <c r="V597" s="62"/>
      <c r="W597" s="63"/>
      <c r="X597" s="63"/>
      <c r="Z597" s="64"/>
      <c r="AA597" s="54"/>
      <c r="AB597" s="54"/>
      <c r="AC597" s="54"/>
    </row>
    <row r="598" spans="1:29" ht="60" hidden="1" customHeight="1" x14ac:dyDescent="0.2">
      <c r="A598" s="69" t="s">
        <v>921</v>
      </c>
      <c r="B598" s="74"/>
      <c r="C598" s="66" t="s">
        <v>922</v>
      </c>
      <c r="D598" s="57" t="s">
        <v>58</v>
      </c>
      <c r="E598" s="54" t="s">
        <v>34</v>
      </c>
      <c r="F598" s="67" t="s">
        <v>59</v>
      </c>
      <c r="G598" s="67" t="s">
        <v>50</v>
      </c>
      <c r="H598" s="57" t="s">
        <v>103</v>
      </c>
      <c r="I598" s="67" t="s">
        <v>51</v>
      </c>
      <c r="J598" s="57" t="e">
        <f>ROUND(#REF!*2.4,-1)</f>
        <v>#REF!</v>
      </c>
      <c r="K598" s="58"/>
      <c r="L598" s="59">
        <f>1-1</f>
        <v>0</v>
      </c>
      <c r="M598" s="60"/>
      <c r="N598" s="61"/>
      <c r="O598" s="61"/>
      <c r="P598" s="62">
        <f>1-1</f>
        <v>0</v>
      </c>
      <c r="Q598" s="62">
        <f>1-1</f>
        <v>0</v>
      </c>
      <c r="R598" s="62">
        <f>1-1</f>
        <v>0</v>
      </c>
      <c r="S598" s="62">
        <f>2-2</f>
        <v>0</v>
      </c>
      <c r="T598" s="62">
        <f>2-2</f>
        <v>0</v>
      </c>
      <c r="U598" s="62"/>
      <c r="V598" s="62"/>
      <c r="W598" s="63"/>
      <c r="X598" s="63"/>
      <c r="Z598" s="64"/>
      <c r="AA598" s="54"/>
      <c r="AB598" s="54"/>
      <c r="AC598" s="54"/>
    </row>
    <row r="599" spans="1:29" ht="60" hidden="1" customHeight="1" x14ac:dyDescent="0.2">
      <c r="A599" s="69" t="s">
        <v>923</v>
      </c>
      <c r="B599" s="74"/>
      <c r="C599" s="66" t="s">
        <v>489</v>
      </c>
      <c r="D599" s="57" t="s">
        <v>58</v>
      </c>
      <c r="E599" s="54" t="s">
        <v>34</v>
      </c>
      <c r="F599" s="67" t="s">
        <v>59</v>
      </c>
      <c r="G599" s="67" t="s">
        <v>50</v>
      </c>
      <c r="H599" s="57" t="s">
        <v>378</v>
      </c>
      <c r="I599" s="67" t="s">
        <v>51</v>
      </c>
      <c r="J599" s="106">
        <v>1300</v>
      </c>
      <c r="K599" s="58"/>
      <c r="L599" s="59">
        <v>0</v>
      </c>
      <c r="M599" s="60"/>
      <c r="N599" s="61"/>
      <c r="O599" s="61"/>
      <c r="P599" s="62"/>
      <c r="Q599" s="62"/>
      <c r="R599" s="62"/>
      <c r="S599" s="62"/>
      <c r="T599" s="62"/>
      <c r="U599" s="62"/>
      <c r="V599" s="62"/>
      <c r="W599" s="63"/>
      <c r="X599" s="63"/>
      <c r="Z599" s="71"/>
      <c r="AA599" s="54"/>
      <c r="AB599" s="54"/>
      <c r="AC599" s="54"/>
    </row>
    <row r="600" spans="1:29" ht="60" customHeight="1" x14ac:dyDescent="0.2">
      <c r="A600" s="69" t="s">
        <v>924</v>
      </c>
      <c r="B600" s="74"/>
      <c r="C600" s="87" t="s">
        <v>692</v>
      </c>
      <c r="D600" s="57" t="s">
        <v>58</v>
      </c>
      <c r="E600" s="54" t="s">
        <v>34</v>
      </c>
      <c r="F600" s="67" t="s">
        <v>59</v>
      </c>
      <c r="G600" s="56" t="s">
        <v>36</v>
      </c>
      <c r="H600" s="57" t="s">
        <v>378</v>
      </c>
      <c r="I600" s="67" t="s">
        <v>51</v>
      </c>
      <c r="J600" s="57" t="e">
        <f>ROUND(#REF!*2.4,-1)</f>
        <v>#REF!</v>
      </c>
      <c r="K600" s="58"/>
      <c r="L600" s="59">
        <f>1-1+2</f>
        <v>2</v>
      </c>
      <c r="M600" s="60"/>
      <c r="N600" s="61"/>
      <c r="O600" s="61"/>
      <c r="P600" s="62">
        <f>1-1+1</f>
        <v>1</v>
      </c>
      <c r="Q600" s="62">
        <f t="shared" ref="P600:U601" si="57">1-1</f>
        <v>0</v>
      </c>
      <c r="R600" s="62">
        <f>1-1+1</f>
        <v>1</v>
      </c>
      <c r="S600" s="62">
        <f>1-1</f>
        <v>0</v>
      </c>
      <c r="T600" s="62">
        <f t="shared" si="57"/>
        <v>0</v>
      </c>
      <c r="U600" s="62"/>
      <c r="V600" s="62"/>
      <c r="W600" s="63"/>
      <c r="X600" s="63"/>
      <c r="Z600" s="64"/>
      <c r="AA600" s="54"/>
      <c r="AB600" s="54"/>
      <c r="AC600" s="54"/>
    </row>
    <row r="601" spans="1:29" ht="60" hidden="1" customHeight="1" x14ac:dyDescent="0.2">
      <c r="A601" s="69" t="s">
        <v>925</v>
      </c>
      <c r="B601" s="74"/>
      <c r="C601" s="87" t="s">
        <v>377</v>
      </c>
      <c r="D601" s="57" t="s">
        <v>58</v>
      </c>
      <c r="E601" s="54" t="s">
        <v>34</v>
      </c>
      <c r="F601" s="67" t="s">
        <v>59</v>
      </c>
      <c r="G601" s="67" t="s">
        <v>50</v>
      </c>
      <c r="H601" s="57" t="s">
        <v>378</v>
      </c>
      <c r="I601" s="67" t="s">
        <v>51</v>
      </c>
      <c r="J601" s="57" t="e">
        <f>ROUND(#REF!*2.4,-1)</f>
        <v>#REF!</v>
      </c>
      <c r="K601" s="58"/>
      <c r="L601" s="59">
        <f>1-1</f>
        <v>0</v>
      </c>
      <c r="M601" s="60"/>
      <c r="N601" s="61"/>
      <c r="O601" s="61"/>
      <c r="P601" s="62">
        <f t="shared" si="57"/>
        <v>0</v>
      </c>
      <c r="Q601" s="62">
        <f t="shared" si="57"/>
        <v>0</v>
      </c>
      <c r="R601" s="62">
        <f t="shared" si="57"/>
        <v>0</v>
      </c>
      <c r="S601" s="62">
        <f t="shared" si="57"/>
        <v>0</v>
      </c>
      <c r="T601" s="62">
        <f t="shared" si="57"/>
        <v>0</v>
      </c>
      <c r="U601" s="62"/>
      <c r="V601" s="62"/>
      <c r="W601" s="63"/>
      <c r="X601" s="63"/>
      <c r="Z601" s="64"/>
      <c r="AA601" s="54"/>
      <c r="AB601" s="54"/>
      <c r="AC601" s="54"/>
    </row>
    <row r="602" spans="1:29" ht="60" hidden="1" customHeight="1" x14ac:dyDescent="0.2">
      <c r="A602" s="69" t="s">
        <v>926</v>
      </c>
      <c r="B602" s="74"/>
      <c r="C602" s="66" t="s">
        <v>827</v>
      </c>
      <c r="D602" s="57" t="s">
        <v>58</v>
      </c>
      <c r="E602" s="54" t="s">
        <v>34</v>
      </c>
      <c r="F602" s="67" t="s">
        <v>59</v>
      </c>
      <c r="G602" s="67" t="s">
        <v>50</v>
      </c>
      <c r="H602" s="57" t="s">
        <v>378</v>
      </c>
      <c r="I602" s="67" t="s">
        <v>51</v>
      </c>
      <c r="J602" s="57" t="e">
        <f>ROUND(#REF!*2.4,-1)</f>
        <v>#REF!</v>
      </c>
      <c r="K602" s="58"/>
      <c r="L602" s="59">
        <v>0</v>
      </c>
      <c r="M602" s="60"/>
      <c r="N602" s="61"/>
      <c r="O602" s="61"/>
      <c r="P602" s="62"/>
      <c r="Q602" s="62"/>
      <c r="R602" s="62"/>
      <c r="S602" s="62"/>
      <c r="T602" s="62"/>
      <c r="U602" s="62"/>
      <c r="V602" s="62"/>
      <c r="W602" s="63"/>
      <c r="X602" s="63"/>
      <c r="Z602" s="64"/>
      <c r="AA602" s="54"/>
      <c r="AB602" s="54"/>
      <c r="AC602" s="54"/>
    </row>
    <row r="603" spans="1:29" ht="60" hidden="1" customHeight="1" x14ac:dyDescent="0.2">
      <c r="A603" s="69" t="s">
        <v>927</v>
      </c>
      <c r="B603" s="74"/>
      <c r="C603" s="87" t="s">
        <v>441</v>
      </c>
      <c r="D603" s="57" t="s">
        <v>58</v>
      </c>
      <c r="E603" s="54" t="s">
        <v>34</v>
      </c>
      <c r="F603" s="67" t="s">
        <v>59</v>
      </c>
      <c r="G603" s="56" t="s">
        <v>36</v>
      </c>
      <c r="H603" s="57" t="s">
        <v>378</v>
      </c>
      <c r="I603" s="67" t="s">
        <v>51</v>
      </c>
      <c r="J603" s="57" t="e">
        <f>ROUND(#REF!*2.4,-1)</f>
        <v>#REF!</v>
      </c>
      <c r="K603" s="58"/>
      <c r="L603" s="59">
        <f>3-3</f>
        <v>0</v>
      </c>
      <c r="M603" s="60"/>
      <c r="N603" s="61"/>
      <c r="O603" s="61"/>
      <c r="P603" s="62">
        <f t="shared" ref="P603:R607" si="58">1-1</f>
        <v>0</v>
      </c>
      <c r="Q603" s="62">
        <f t="shared" si="58"/>
        <v>0</v>
      </c>
      <c r="R603" s="62">
        <f>3-3</f>
        <v>0</v>
      </c>
      <c r="S603" s="62"/>
      <c r="T603" s="62"/>
      <c r="U603" s="62"/>
      <c r="V603" s="62"/>
      <c r="W603" s="63"/>
      <c r="X603" s="63"/>
      <c r="Z603" s="64"/>
      <c r="AA603" s="54"/>
      <c r="AB603" s="54"/>
      <c r="AC603" s="54"/>
    </row>
    <row r="604" spans="1:29" ht="60" hidden="1" customHeight="1" x14ac:dyDescent="0.2">
      <c r="A604" s="69" t="s">
        <v>928</v>
      </c>
      <c r="B604" s="74"/>
      <c r="C604" s="66" t="s">
        <v>372</v>
      </c>
      <c r="D604" s="57" t="s">
        <v>58</v>
      </c>
      <c r="E604" s="54" t="s">
        <v>34</v>
      </c>
      <c r="F604" s="67" t="s">
        <v>59</v>
      </c>
      <c r="G604" s="67" t="s">
        <v>50</v>
      </c>
      <c r="H604" s="57" t="s">
        <v>378</v>
      </c>
      <c r="I604" s="67" t="s">
        <v>51</v>
      </c>
      <c r="J604" s="57" t="e">
        <f>ROUND(#REF!*2.4,-1)</f>
        <v>#REF!</v>
      </c>
      <c r="K604" s="58"/>
      <c r="L604" s="59">
        <f>3-3</f>
        <v>0</v>
      </c>
      <c r="M604" s="60"/>
      <c r="N604" s="61"/>
      <c r="O604" s="61"/>
      <c r="P604" s="62">
        <f t="shared" si="58"/>
        <v>0</v>
      </c>
      <c r="Q604" s="62">
        <f t="shared" si="58"/>
        <v>0</v>
      </c>
      <c r="R604" s="62">
        <f>1-1</f>
        <v>0</v>
      </c>
      <c r="S604" s="62">
        <f>1-1</f>
        <v>0</v>
      </c>
      <c r="T604" s="62"/>
      <c r="U604" s="62"/>
      <c r="V604" s="62"/>
      <c r="W604" s="63"/>
      <c r="X604" s="63"/>
      <c r="Z604" s="64"/>
      <c r="AA604" s="54"/>
      <c r="AB604" s="54"/>
      <c r="AC604" s="54"/>
    </row>
    <row r="605" spans="1:29" ht="60" hidden="1" customHeight="1" x14ac:dyDescent="0.2">
      <c r="A605" s="69" t="s">
        <v>929</v>
      </c>
      <c r="B605" s="74"/>
      <c r="C605" s="66" t="s">
        <v>531</v>
      </c>
      <c r="D605" s="57" t="s">
        <v>58</v>
      </c>
      <c r="E605" s="54" t="s">
        <v>34</v>
      </c>
      <c r="F605" s="67" t="s">
        <v>59</v>
      </c>
      <c r="G605" s="56" t="s">
        <v>36</v>
      </c>
      <c r="H605" s="57" t="s">
        <v>378</v>
      </c>
      <c r="I605" s="67" t="s">
        <v>51</v>
      </c>
      <c r="J605" s="57" t="e">
        <f>ROUND(#REF!*2.4,-1)</f>
        <v>#REF!</v>
      </c>
      <c r="K605" s="58"/>
      <c r="L605" s="59">
        <f>2-2</f>
        <v>0</v>
      </c>
      <c r="M605" s="60"/>
      <c r="N605" s="61"/>
      <c r="O605" s="61"/>
      <c r="P605" s="62">
        <f t="shared" si="58"/>
        <v>0</v>
      </c>
      <c r="Q605" s="62">
        <f t="shared" si="58"/>
        <v>0</v>
      </c>
      <c r="R605" s="62">
        <f>1-1</f>
        <v>0</v>
      </c>
      <c r="S605" s="62">
        <f>1-1</f>
        <v>0</v>
      </c>
      <c r="T605" s="62"/>
      <c r="U605" s="62"/>
      <c r="V605" s="62"/>
      <c r="W605" s="63"/>
      <c r="X605" s="63"/>
      <c r="Z605" s="64"/>
      <c r="AA605" s="54"/>
      <c r="AB605" s="54"/>
      <c r="AC605" s="54"/>
    </row>
    <row r="606" spans="1:29" ht="60" hidden="1" customHeight="1" x14ac:dyDescent="0.2">
      <c r="A606" s="69" t="s">
        <v>930</v>
      </c>
      <c r="B606" s="74"/>
      <c r="C606" s="66" t="s">
        <v>142</v>
      </c>
      <c r="D606" s="57" t="s">
        <v>58</v>
      </c>
      <c r="E606" s="54" t="s">
        <v>34</v>
      </c>
      <c r="F606" s="67" t="s">
        <v>59</v>
      </c>
      <c r="G606" s="67" t="s">
        <v>50</v>
      </c>
      <c r="H606" s="57" t="s">
        <v>378</v>
      </c>
      <c r="I606" s="67" t="s">
        <v>51</v>
      </c>
      <c r="J606" s="57" t="e">
        <f>ROUND(#REF!*2.4,-1)</f>
        <v>#REF!</v>
      </c>
      <c r="K606" s="58"/>
      <c r="L606" s="59">
        <f>1-1</f>
        <v>0</v>
      </c>
      <c r="M606" s="60"/>
      <c r="N606" s="61"/>
      <c r="O606" s="61"/>
      <c r="P606" s="62">
        <f t="shared" si="58"/>
        <v>0</v>
      </c>
      <c r="Q606" s="62">
        <f>1-1</f>
        <v>0</v>
      </c>
      <c r="R606" s="62">
        <f>1-1</f>
        <v>0</v>
      </c>
      <c r="S606" s="62">
        <f>2-2</f>
        <v>0</v>
      </c>
      <c r="T606" s="62">
        <f>1-1</f>
        <v>0</v>
      </c>
      <c r="U606" s="62"/>
      <c r="V606" s="62"/>
      <c r="W606" s="63"/>
      <c r="X606" s="63"/>
      <c r="Z606" s="64"/>
      <c r="AA606" s="54"/>
      <c r="AB606" s="54"/>
      <c r="AC606" s="54"/>
    </row>
    <row r="607" spans="1:29" ht="60" hidden="1" customHeight="1" x14ac:dyDescent="0.2">
      <c r="A607" s="69" t="s">
        <v>931</v>
      </c>
      <c r="B607" s="74"/>
      <c r="C607" s="66" t="s">
        <v>127</v>
      </c>
      <c r="D607" s="57" t="s">
        <v>58</v>
      </c>
      <c r="E607" s="54" t="s">
        <v>34</v>
      </c>
      <c r="F607" s="67" t="s">
        <v>59</v>
      </c>
      <c r="G607" s="67" t="s">
        <v>50</v>
      </c>
      <c r="H607" s="57" t="s">
        <v>378</v>
      </c>
      <c r="I607" s="67" t="s">
        <v>51</v>
      </c>
      <c r="J607" s="57" t="e">
        <f>ROUND(#REF!*2.4,-1)</f>
        <v>#REF!</v>
      </c>
      <c r="K607" s="58"/>
      <c r="L607" s="59">
        <f>2-2</f>
        <v>0</v>
      </c>
      <c r="M607" s="60"/>
      <c r="N607" s="61"/>
      <c r="O607" s="61"/>
      <c r="P607" s="62">
        <f t="shared" si="58"/>
        <v>0</v>
      </c>
      <c r="Q607" s="62">
        <f t="shared" si="58"/>
        <v>0</v>
      </c>
      <c r="R607" s="62">
        <f t="shared" si="58"/>
        <v>0</v>
      </c>
      <c r="S607" s="62">
        <f>1-1</f>
        <v>0</v>
      </c>
      <c r="T607" s="62">
        <f>1-1</f>
        <v>0</v>
      </c>
      <c r="U607" s="62"/>
      <c r="V607" s="62"/>
      <c r="W607" s="63"/>
      <c r="X607" s="63"/>
      <c r="Z607" s="64"/>
      <c r="AA607" s="54"/>
      <c r="AB607" s="54"/>
      <c r="AC607" s="54"/>
    </row>
    <row r="608" spans="1:29" ht="60" hidden="1" customHeight="1" x14ac:dyDescent="0.2">
      <c r="A608" s="69" t="s">
        <v>932</v>
      </c>
      <c r="B608" s="74"/>
      <c r="C608" s="87" t="s">
        <v>256</v>
      </c>
      <c r="D608" s="57" t="s">
        <v>58</v>
      </c>
      <c r="E608" s="54" t="s">
        <v>34</v>
      </c>
      <c r="F608" s="67" t="s">
        <v>59</v>
      </c>
      <c r="G608" s="67" t="s">
        <v>50</v>
      </c>
      <c r="H608" s="57" t="s">
        <v>378</v>
      </c>
      <c r="I608" s="67" t="s">
        <v>51</v>
      </c>
      <c r="J608" s="57" t="e">
        <f>ROUND(#REF!*2.4,-1)</f>
        <v>#REF!</v>
      </c>
      <c r="K608" s="58"/>
      <c r="L608" s="59">
        <v>0</v>
      </c>
      <c r="M608" s="60"/>
      <c r="N608" s="61"/>
      <c r="O608" s="61"/>
      <c r="P608" s="62"/>
      <c r="Q608" s="62"/>
      <c r="R608" s="62"/>
      <c r="S608" s="62"/>
      <c r="T608" s="62"/>
      <c r="U608" s="62"/>
      <c r="V608" s="62"/>
      <c r="W608" s="63"/>
      <c r="X608" s="63"/>
      <c r="Z608" s="64"/>
      <c r="AA608" s="54"/>
      <c r="AB608" s="54"/>
      <c r="AC608" s="54"/>
    </row>
    <row r="609" spans="1:29" ht="60" customHeight="1" x14ac:dyDescent="0.2">
      <c r="A609" s="69" t="s">
        <v>933</v>
      </c>
      <c r="B609" s="51"/>
      <c r="C609" s="82" t="s">
        <v>388</v>
      </c>
      <c r="D609" s="57" t="s">
        <v>58</v>
      </c>
      <c r="E609" s="54" t="s">
        <v>34</v>
      </c>
      <c r="F609" s="67" t="s">
        <v>59</v>
      </c>
      <c r="G609" s="67" t="s">
        <v>50</v>
      </c>
      <c r="H609" s="57" t="s">
        <v>123</v>
      </c>
      <c r="I609" s="67" t="s">
        <v>51</v>
      </c>
      <c r="J609" s="57" t="e">
        <f>ROUND(#REF!*2.4,-1)</f>
        <v>#REF!</v>
      </c>
      <c r="K609" s="58"/>
      <c r="L609" s="59">
        <f>8-1</f>
        <v>7</v>
      </c>
      <c r="M609" s="60"/>
      <c r="N609" s="61"/>
      <c r="O609" s="61"/>
      <c r="P609" s="62">
        <f>4-1+1</f>
        <v>4</v>
      </c>
      <c r="Q609" s="62">
        <f>1-1</f>
        <v>0</v>
      </c>
      <c r="R609" s="62">
        <f>4-1</f>
        <v>3</v>
      </c>
      <c r="S609" s="62">
        <f>1-1</f>
        <v>0</v>
      </c>
      <c r="T609" s="62">
        <f>1-1</f>
        <v>0</v>
      </c>
      <c r="U609" s="62"/>
      <c r="V609" s="62"/>
      <c r="W609" s="63"/>
      <c r="X609" s="63"/>
      <c r="Z609" s="64"/>
      <c r="AA609" s="54"/>
      <c r="AB609" s="54"/>
      <c r="AC609" s="54"/>
    </row>
    <row r="610" spans="1:29" ht="60" customHeight="1" x14ac:dyDescent="0.2">
      <c r="A610" s="69" t="s">
        <v>934</v>
      </c>
      <c r="B610" s="74"/>
      <c r="C610" s="87" t="s">
        <v>386</v>
      </c>
      <c r="D610" s="57" t="s">
        <v>58</v>
      </c>
      <c r="E610" s="54" t="s">
        <v>34</v>
      </c>
      <c r="F610" s="67" t="s">
        <v>59</v>
      </c>
      <c r="G610" s="67" t="s">
        <v>50</v>
      </c>
      <c r="H610" s="57" t="s">
        <v>123</v>
      </c>
      <c r="I610" s="67" t="s">
        <v>51</v>
      </c>
      <c r="J610" s="57" t="e">
        <f>ROUND(#REF!*2.4,-1)</f>
        <v>#REF!</v>
      </c>
      <c r="K610" s="58"/>
      <c r="L610" s="59">
        <f>3-1</f>
        <v>2</v>
      </c>
      <c r="M610" s="60"/>
      <c r="N610" s="61"/>
      <c r="O610" s="61"/>
      <c r="P610" s="62">
        <f>1-1</f>
        <v>0</v>
      </c>
      <c r="Q610" s="62">
        <f>1-1</f>
        <v>0</v>
      </c>
      <c r="R610" s="62">
        <f>2-1+1</f>
        <v>2</v>
      </c>
      <c r="S610" s="62">
        <f>1-1</f>
        <v>0</v>
      </c>
      <c r="T610" s="62">
        <f>1-1</f>
        <v>0</v>
      </c>
      <c r="U610" s="62"/>
      <c r="V610" s="62"/>
      <c r="W610" s="63"/>
      <c r="X610" s="63"/>
      <c r="Z610" s="64"/>
      <c r="AA610" s="54"/>
      <c r="AB610" s="54"/>
      <c r="AC610" s="54"/>
    </row>
    <row r="611" spans="1:29" ht="60" hidden="1" customHeight="1" x14ac:dyDescent="0.2">
      <c r="A611" s="69" t="s">
        <v>935</v>
      </c>
      <c r="B611" s="74"/>
      <c r="C611" s="66" t="s">
        <v>893</v>
      </c>
      <c r="D611" s="57" t="s">
        <v>58</v>
      </c>
      <c r="E611" s="54" t="s">
        <v>34</v>
      </c>
      <c r="F611" s="67" t="s">
        <v>59</v>
      </c>
      <c r="G611" s="56" t="s">
        <v>36</v>
      </c>
      <c r="H611" s="57" t="s">
        <v>344</v>
      </c>
      <c r="I611" s="67" t="s">
        <v>51</v>
      </c>
      <c r="J611" s="57" t="e">
        <f>ROUND(#REF!*2.4,-1)</f>
        <v>#REF!</v>
      </c>
      <c r="K611" s="58"/>
      <c r="L611" s="59">
        <f>7-7</f>
        <v>0</v>
      </c>
      <c r="M611" s="60"/>
      <c r="N611" s="61"/>
      <c r="O611" s="61"/>
      <c r="P611" s="62">
        <f>3-3</f>
        <v>0</v>
      </c>
      <c r="Q611" s="62">
        <f>4-4</f>
        <v>0</v>
      </c>
      <c r="R611" s="62">
        <f>1-1</f>
        <v>0</v>
      </c>
      <c r="S611" s="62">
        <f>1-1</f>
        <v>0</v>
      </c>
      <c r="T611" s="62">
        <f>38-38</f>
        <v>0</v>
      </c>
      <c r="U611" s="62"/>
      <c r="V611" s="62"/>
      <c r="W611" s="63"/>
      <c r="X611" s="63"/>
      <c r="Z611" s="64"/>
      <c r="AA611" s="54"/>
      <c r="AB611" s="54"/>
      <c r="AC611" s="54"/>
    </row>
    <row r="612" spans="1:29" ht="60" hidden="1" customHeight="1" x14ac:dyDescent="0.2">
      <c r="A612" s="69" t="s">
        <v>936</v>
      </c>
      <c r="B612" s="74" t="s">
        <v>329</v>
      </c>
      <c r="C612" s="66" t="s">
        <v>435</v>
      </c>
      <c r="D612" s="57" t="s">
        <v>58</v>
      </c>
      <c r="E612" s="54" t="s">
        <v>34</v>
      </c>
      <c r="F612" s="67" t="s">
        <v>59</v>
      </c>
      <c r="G612" s="56" t="s">
        <v>36</v>
      </c>
      <c r="H612" s="57" t="s">
        <v>903</v>
      </c>
      <c r="I612" s="67" t="s">
        <v>51</v>
      </c>
      <c r="J612" s="57" t="e">
        <f>ROUND(#REF!*2.4,-1)</f>
        <v>#REF!</v>
      </c>
      <c r="K612" s="58"/>
      <c r="L612" s="59">
        <f>2-2</f>
        <v>0</v>
      </c>
      <c r="M612" s="60"/>
      <c r="N612" s="61"/>
      <c r="O612" s="61"/>
      <c r="P612" s="62">
        <f>1-1</f>
        <v>0</v>
      </c>
      <c r="Q612" s="62">
        <f>1-1</f>
        <v>0</v>
      </c>
      <c r="R612" s="62">
        <f>5-5</f>
        <v>0</v>
      </c>
      <c r="S612" s="62">
        <f>2-2</f>
        <v>0</v>
      </c>
      <c r="T612" s="62">
        <f>1-1</f>
        <v>0</v>
      </c>
      <c r="U612" s="62"/>
      <c r="V612" s="62"/>
      <c r="W612" s="63"/>
      <c r="X612" s="63"/>
      <c r="Z612" s="64"/>
      <c r="AA612" s="54"/>
      <c r="AB612" s="54"/>
      <c r="AC612" s="54"/>
    </row>
    <row r="613" spans="1:29" ht="60" hidden="1" customHeight="1" x14ac:dyDescent="0.2">
      <c r="A613" s="69" t="s">
        <v>937</v>
      </c>
      <c r="B613" s="74" t="s">
        <v>329</v>
      </c>
      <c r="C613" s="66" t="s">
        <v>893</v>
      </c>
      <c r="D613" s="57" t="s">
        <v>58</v>
      </c>
      <c r="E613" s="54" t="s">
        <v>34</v>
      </c>
      <c r="F613" s="67" t="s">
        <v>59</v>
      </c>
      <c r="G613" s="56" t="s">
        <v>36</v>
      </c>
      <c r="H613" s="89" t="s">
        <v>340</v>
      </c>
      <c r="I613" s="67" t="s">
        <v>51</v>
      </c>
      <c r="J613" s="57" t="e">
        <f>ROUND(#REF!*2.4,-1)</f>
        <v>#REF!</v>
      </c>
      <c r="K613" s="58"/>
      <c r="L613" s="59">
        <f>1-1</f>
        <v>0</v>
      </c>
      <c r="M613" s="60"/>
      <c r="N613" s="61"/>
      <c r="O613" s="61"/>
      <c r="P613" s="62">
        <f>1-1</f>
        <v>0</v>
      </c>
      <c r="Q613" s="62">
        <f>1-1</f>
        <v>0</v>
      </c>
      <c r="R613" s="62">
        <f>2-2</f>
        <v>0</v>
      </c>
      <c r="S613" s="62">
        <f>1-1</f>
        <v>0</v>
      </c>
      <c r="T613" s="62">
        <f>1-1</f>
        <v>0</v>
      </c>
      <c r="U613" s="62"/>
      <c r="V613" s="62"/>
      <c r="W613" s="63"/>
      <c r="X613" s="63"/>
      <c r="Z613" s="64"/>
      <c r="AA613" s="54"/>
      <c r="AB613" s="54"/>
      <c r="AC613" s="54"/>
    </row>
    <row r="614" spans="1:29" ht="25.5" x14ac:dyDescent="0.2">
      <c r="A614" s="69" t="s">
        <v>938</v>
      </c>
      <c r="B614" s="74"/>
      <c r="C614" s="87" t="s">
        <v>939</v>
      </c>
      <c r="D614" s="57" t="s">
        <v>58</v>
      </c>
      <c r="E614" s="54" t="s">
        <v>34</v>
      </c>
      <c r="F614" s="67" t="s">
        <v>59</v>
      </c>
      <c r="G614" s="56" t="s">
        <v>36</v>
      </c>
      <c r="H614" s="57" t="s">
        <v>378</v>
      </c>
      <c r="I614" s="67" t="s">
        <v>51</v>
      </c>
      <c r="J614" s="57" t="e">
        <f>ROUND(#REF!*2.4,-1)</f>
        <v>#REF!</v>
      </c>
      <c r="K614" s="58"/>
      <c r="L614" s="59">
        <f>0+2</f>
        <v>2</v>
      </c>
      <c r="M614" s="60"/>
      <c r="N614" s="61"/>
      <c r="O614" s="61"/>
      <c r="P614" s="62"/>
      <c r="Q614" s="62"/>
      <c r="R614" s="62"/>
      <c r="S614" s="62"/>
      <c r="T614" s="62">
        <f>2</f>
        <v>2</v>
      </c>
      <c r="U614" s="62"/>
      <c r="V614" s="62"/>
      <c r="W614" s="63"/>
      <c r="X614" s="63"/>
      <c r="Z614" s="64"/>
      <c r="AA614" s="54"/>
      <c r="AB614" s="54"/>
      <c r="AC614" s="54"/>
    </row>
    <row r="615" spans="1:29" ht="60" customHeight="1" x14ac:dyDescent="0.2">
      <c r="A615" s="69" t="s">
        <v>940</v>
      </c>
      <c r="B615" s="74"/>
      <c r="C615" s="66" t="s">
        <v>374</v>
      </c>
      <c r="D615" s="57" t="s">
        <v>48</v>
      </c>
      <c r="E615" s="54" t="s">
        <v>34</v>
      </c>
      <c r="F615" s="67" t="s">
        <v>49</v>
      </c>
      <c r="G615" s="56" t="s">
        <v>36</v>
      </c>
      <c r="H615" s="57" t="s">
        <v>378</v>
      </c>
      <c r="I615" s="67" t="s">
        <v>51</v>
      </c>
      <c r="J615" s="57" t="e">
        <f>ROUND(#REF!*2.4,-1)</f>
        <v>#REF!</v>
      </c>
      <c r="K615" s="58"/>
      <c r="L615" s="59">
        <f>2-2+4</f>
        <v>4</v>
      </c>
      <c r="M615" s="60"/>
      <c r="N615" s="61"/>
      <c r="O615" s="61"/>
      <c r="P615" s="62"/>
      <c r="Q615" s="62">
        <f>2-2+2</f>
        <v>2</v>
      </c>
      <c r="R615" s="62">
        <f>1-1</f>
        <v>0</v>
      </c>
      <c r="S615" s="62">
        <f>1-1</f>
        <v>0</v>
      </c>
      <c r="T615" s="62">
        <f>2-2+2</f>
        <v>2</v>
      </c>
      <c r="U615" s="62">
        <f>1-1</f>
        <v>0</v>
      </c>
      <c r="V615" s="62"/>
      <c r="W615" s="63"/>
      <c r="X615" s="63"/>
      <c r="Z615" s="64"/>
      <c r="AA615" s="54"/>
      <c r="AB615" s="54"/>
      <c r="AC615" s="54"/>
    </row>
    <row r="616" spans="1:29" ht="60" customHeight="1" x14ac:dyDescent="0.2">
      <c r="A616" s="69" t="s">
        <v>941</v>
      </c>
      <c r="B616" s="74"/>
      <c r="C616" s="66" t="s">
        <v>942</v>
      </c>
      <c r="D616" s="57" t="s">
        <v>48</v>
      </c>
      <c r="E616" s="54" t="s">
        <v>34</v>
      </c>
      <c r="F616" s="67" t="s">
        <v>49</v>
      </c>
      <c r="G616" s="67" t="s">
        <v>68</v>
      </c>
      <c r="H616" s="57" t="s">
        <v>378</v>
      </c>
      <c r="I616" s="67" t="s">
        <v>51</v>
      </c>
      <c r="J616" s="57" t="e">
        <f>ROUND(#REF!*2.4,-1)</f>
        <v>#REF!</v>
      </c>
      <c r="K616" s="58"/>
      <c r="L616" s="59">
        <f>10-1</f>
        <v>9</v>
      </c>
      <c r="M616" s="60"/>
      <c r="N616" s="61"/>
      <c r="O616" s="61"/>
      <c r="P616" s="62"/>
      <c r="Q616" s="62">
        <f>7-5+5</f>
        <v>7</v>
      </c>
      <c r="R616" s="62">
        <f>1-1+1</f>
        <v>1</v>
      </c>
      <c r="S616" s="62"/>
      <c r="T616" s="62">
        <f>2-1</f>
        <v>1</v>
      </c>
      <c r="U616" s="62"/>
      <c r="V616" s="62"/>
      <c r="W616" s="63"/>
      <c r="X616" s="63"/>
      <c r="Z616" s="64"/>
      <c r="AA616" s="54"/>
      <c r="AB616" s="54"/>
      <c r="AC616" s="54"/>
    </row>
    <row r="617" spans="1:29" ht="60" customHeight="1" x14ac:dyDescent="0.2">
      <c r="A617" s="85" t="s">
        <v>943</v>
      </c>
      <c r="B617" s="91"/>
      <c r="C617" s="87" t="s">
        <v>293</v>
      </c>
      <c r="D617" s="57" t="s">
        <v>48</v>
      </c>
      <c r="E617" s="54" t="s">
        <v>34</v>
      </c>
      <c r="F617" s="67" t="s">
        <v>49</v>
      </c>
      <c r="G617" s="67" t="s">
        <v>68</v>
      </c>
      <c r="H617" s="57" t="s">
        <v>37</v>
      </c>
      <c r="I617" s="67" t="s">
        <v>51</v>
      </c>
      <c r="J617" s="57" t="e">
        <f>ROUND(#REF!*2.4,-1)</f>
        <v>#REF!</v>
      </c>
      <c r="K617" s="58"/>
      <c r="L617" s="59">
        <f>3-1+1</f>
        <v>3</v>
      </c>
      <c r="M617" s="60"/>
      <c r="N617" s="61"/>
      <c r="O617" s="61"/>
      <c r="P617" s="62"/>
      <c r="Q617" s="62">
        <f>2-1</f>
        <v>1</v>
      </c>
      <c r="R617" s="62">
        <f>1-1</f>
        <v>0</v>
      </c>
      <c r="S617" s="62">
        <f>1-1</f>
        <v>0</v>
      </c>
      <c r="T617" s="62">
        <f>2-1</f>
        <v>1</v>
      </c>
      <c r="U617" s="62">
        <f>1-1+1</f>
        <v>1</v>
      </c>
      <c r="V617" s="62"/>
      <c r="W617" s="63"/>
      <c r="X617" s="63"/>
      <c r="Z617" s="64"/>
      <c r="AA617" s="54"/>
      <c r="AB617" s="54"/>
      <c r="AC617" s="54"/>
    </row>
    <row r="618" spans="1:29" ht="60" customHeight="1" x14ac:dyDescent="0.2">
      <c r="A618" s="83" t="s">
        <v>944</v>
      </c>
      <c r="B618" s="70"/>
      <c r="C618" s="66" t="s">
        <v>111</v>
      </c>
      <c r="D618" s="57" t="s">
        <v>48</v>
      </c>
      <c r="E618" s="54" t="s">
        <v>34</v>
      </c>
      <c r="F618" s="67" t="s">
        <v>49</v>
      </c>
      <c r="G618" s="67" t="s">
        <v>68</v>
      </c>
      <c r="H618" s="57" t="s">
        <v>60</v>
      </c>
      <c r="I618" s="67" t="s">
        <v>51</v>
      </c>
      <c r="J618" s="57" t="e">
        <f>ROUND(#REF!*2.4,-1)</f>
        <v>#REF!</v>
      </c>
      <c r="K618" s="58"/>
      <c r="L618" s="59">
        <f>10-1</f>
        <v>9</v>
      </c>
      <c r="M618" s="60"/>
      <c r="N618" s="61"/>
      <c r="O618" s="61"/>
      <c r="P618" s="62"/>
      <c r="Q618" s="62">
        <f>8-7+7</f>
        <v>8</v>
      </c>
      <c r="R618" s="62">
        <f>2-2</f>
        <v>0</v>
      </c>
      <c r="S618" s="62">
        <f>1-1</f>
        <v>0</v>
      </c>
      <c r="T618" s="62">
        <f>2-2</f>
        <v>0</v>
      </c>
      <c r="U618" s="62">
        <f>2-1</f>
        <v>1</v>
      </c>
      <c r="V618" s="62">
        <f>2-2</f>
        <v>0</v>
      </c>
      <c r="W618" s="63"/>
      <c r="X618" s="63"/>
      <c r="Z618" s="64"/>
      <c r="AA618" s="54">
        <v>3620289</v>
      </c>
      <c r="AB618" s="54">
        <v>391</v>
      </c>
      <c r="AC618" s="54"/>
    </row>
    <row r="619" spans="1:29" ht="60" customHeight="1" x14ac:dyDescent="0.2">
      <c r="A619" s="85" t="s">
        <v>945</v>
      </c>
      <c r="B619" s="74"/>
      <c r="C619" s="66" t="s">
        <v>946</v>
      </c>
      <c r="D619" s="57" t="s">
        <v>48</v>
      </c>
      <c r="E619" s="54" t="s">
        <v>34</v>
      </c>
      <c r="F619" s="67" t="s">
        <v>49</v>
      </c>
      <c r="G619" s="67" t="s">
        <v>68</v>
      </c>
      <c r="H619" s="57" t="s">
        <v>37</v>
      </c>
      <c r="I619" s="67" t="s">
        <v>51</v>
      </c>
      <c r="J619" s="57" t="e">
        <f>ROUND(#REF!*2.4,-1)</f>
        <v>#REF!</v>
      </c>
      <c r="K619" s="58"/>
      <c r="L619" s="59">
        <f>18-1</f>
        <v>17</v>
      </c>
      <c r="M619" s="60"/>
      <c r="N619" s="61"/>
      <c r="O619" s="61"/>
      <c r="P619" s="62"/>
      <c r="Q619" s="62">
        <f>12-10+10</f>
        <v>12</v>
      </c>
      <c r="R619" s="62">
        <f>1-1</f>
        <v>0</v>
      </c>
      <c r="S619" s="62">
        <f>1-1+1</f>
        <v>1</v>
      </c>
      <c r="T619" s="62">
        <f>1-1+1</f>
        <v>1</v>
      </c>
      <c r="U619" s="62">
        <f>3-3+3</f>
        <v>3</v>
      </c>
      <c r="V619" s="62"/>
      <c r="W619" s="63"/>
      <c r="X619" s="63"/>
      <c r="Z619" s="64"/>
      <c r="AA619" s="54"/>
      <c r="AB619" s="54"/>
      <c r="AC619" s="54"/>
    </row>
    <row r="620" spans="1:29" ht="60" customHeight="1" x14ac:dyDescent="0.2">
      <c r="A620" s="83" t="s">
        <v>947</v>
      </c>
      <c r="B620" s="74"/>
      <c r="C620" s="66" t="s">
        <v>948</v>
      </c>
      <c r="D620" s="57" t="s">
        <v>48</v>
      </c>
      <c r="E620" s="54" t="s">
        <v>34</v>
      </c>
      <c r="F620" s="67" t="s">
        <v>49</v>
      </c>
      <c r="G620" s="67" t="s">
        <v>68</v>
      </c>
      <c r="H620" s="57" t="s">
        <v>60</v>
      </c>
      <c r="I620" s="67" t="s">
        <v>51</v>
      </c>
      <c r="J620" s="57" t="e">
        <f>ROUND(#REF!*2.4,-1)</f>
        <v>#REF!</v>
      </c>
      <c r="K620" s="58"/>
      <c r="L620" s="59">
        <f>13-13+13</f>
        <v>13</v>
      </c>
      <c r="M620" s="60"/>
      <c r="N620" s="61"/>
      <c r="O620" s="61"/>
      <c r="P620" s="62"/>
      <c r="Q620" s="62">
        <f>10-10+10</f>
        <v>10</v>
      </c>
      <c r="R620" s="62">
        <f>1-1</f>
        <v>0</v>
      </c>
      <c r="S620" s="62">
        <f>1-1</f>
        <v>0</v>
      </c>
      <c r="T620" s="62">
        <f>2-2+2</f>
        <v>2</v>
      </c>
      <c r="U620" s="62">
        <f>1-1+1</f>
        <v>1</v>
      </c>
      <c r="V620" s="62"/>
      <c r="W620" s="63"/>
      <c r="X620" s="63"/>
      <c r="Z620" s="64"/>
      <c r="AA620" s="54"/>
      <c r="AB620" s="54"/>
      <c r="AC620" s="54"/>
    </row>
    <row r="621" spans="1:29" ht="60" customHeight="1" x14ac:dyDescent="0.2">
      <c r="A621" s="81" t="s">
        <v>949</v>
      </c>
      <c r="B621" s="70"/>
      <c r="C621" s="82" t="s">
        <v>142</v>
      </c>
      <c r="D621" s="57" t="s">
        <v>48</v>
      </c>
      <c r="E621" s="54" t="s">
        <v>34</v>
      </c>
      <c r="F621" s="67" t="s">
        <v>49</v>
      </c>
      <c r="G621" s="67" t="s">
        <v>68</v>
      </c>
      <c r="H621" s="57" t="s">
        <v>37</v>
      </c>
      <c r="I621" s="67" t="s">
        <v>51</v>
      </c>
      <c r="J621" s="57" t="e">
        <f>ROUND(#REF!*2.4,-1)</f>
        <v>#REF!</v>
      </c>
      <c r="K621" s="58"/>
      <c r="L621" s="59">
        <f>12-12+12</f>
        <v>12</v>
      </c>
      <c r="M621" s="60"/>
      <c r="N621" s="61"/>
      <c r="O621" s="61"/>
      <c r="P621" s="62"/>
      <c r="Q621" s="62">
        <f>5-5+5</f>
        <v>5</v>
      </c>
      <c r="R621" s="62">
        <f>1-1+1</f>
        <v>1</v>
      </c>
      <c r="S621" s="62">
        <f>2-2+2</f>
        <v>2</v>
      </c>
      <c r="T621" s="62">
        <f>4-4+4</f>
        <v>4</v>
      </c>
      <c r="U621" s="62">
        <f>1-1</f>
        <v>0</v>
      </c>
      <c r="V621" s="62"/>
      <c r="W621" s="63"/>
      <c r="X621" s="63"/>
      <c r="Z621" s="64"/>
      <c r="AA621" s="54"/>
      <c r="AB621" s="54"/>
      <c r="AC621" s="54"/>
    </row>
    <row r="622" spans="1:29" ht="60" customHeight="1" x14ac:dyDescent="0.2">
      <c r="A622" s="69" t="s">
        <v>950</v>
      </c>
      <c r="B622" s="74"/>
      <c r="C622" s="66" t="s">
        <v>951</v>
      </c>
      <c r="D622" s="57" t="s">
        <v>48</v>
      </c>
      <c r="E622" s="54" t="s">
        <v>34</v>
      </c>
      <c r="F622" s="67" t="s">
        <v>49</v>
      </c>
      <c r="G622" s="67" t="s">
        <v>68</v>
      </c>
      <c r="H622" s="57" t="s">
        <v>37</v>
      </c>
      <c r="I622" s="67" t="s">
        <v>51</v>
      </c>
      <c r="J622" s="57" t="e">
        <f>ROUND(#REF!*2.4,-1)</f>
        <v>#REF!</v>
      </c>
      <c r="K622" s="58"/>
      <c r="L622" s="59">
        <f>6-1+1</f>
        <v>6</v>
      </c>
      <c r="M622" s="60"/>
      <c r="N622" s="61"/>
      <c r="O622" s="61"/>
      <c r="P622" s="62"/>
      <c r="Q622" s="62">
        <f>6-1+1</f>
        <v>6</v>
      </c>
      <c r="R622" s="62">
        <f>1-1</f>
        <v>0</v>
      </c>
      <c r="S622" s="62">
        <f>1-1</f>
        <v>0</v>
      </c>
      <c r="T622" s="62">
        <f>1-1</f>
        <v>0</v>
      </c>
      <c r="U622" s="62">
        <f>1-1</f>
        <v>0</v>
      </c>
      <c r="V622" s="62">
        <f>5-5</f>
        <v>0</v>
      </c>
      <c r="W622" s="63"/>
      <c r="X622" s="63"/>
      <c r="Z622" s="64"/>
      <c r="AA622" s="54">
        <v>3610559</v>
      </c>
      <c r="AB622" s="54">
        <v>392</v>
      </c>
      <c r="AC622" s="54"/>
    </row>
    <row r="623" spans="1:29" ht="60" customHeight="1" x14ac:dyDescent="0.2">
      <c r="A623" s="81" t="s">
        <v>952</v>
      </c>
      <c r="B623" s="82"/>
      <c r="C623" s="82" t="s">
        <v>227</v>
      </c>
      <c r="D623" s="57" t="s">
        <v>48</v>
      </c>
      <c r="E623" s="54" t="s">
        <v>34</v>
      </c>
      <c r="F623" s="67" t="s">
        <v>49</v>
      </c>
      <c r="G623" s="67" t="s">
        <v>68</v>
      </c>
      <c r="H623" s="57" t="s">
        <v>37</v>
      </c>
      <c r="I623" s="67" t="s">
        <v>51</v>
      </c>
      <c r="J623" s="57" t="e">
        <f>ROUND(#REF!*2.4,-1)</f>
        <v>#REF!</v>
      </c>
      <c r="K623" s="58"/>
      <c r="L623" s="59">
        <f>17-16+16</f>
        <v>17</v>
      </c>
      <c r="M623" s="60"/>
      <c r="N623" s="61"/>
      <c r="O623" s="61"/>
      <c r="P623" s="62"/>
      <c r="Q623" s="62">
        <f>11-10+10</f>
        <v>11</v>
      </c>
      <c r="R623" s="62">
        <f>2-2+2</f>
        <v>2</v>
      </c>
      <c r="S623" s="62">
        <f>2-2</f>
        <v>0</v>
      </c>
      <c r="T623" s="62">
        <f>4-4+4</f>
        <v>4</v>
      </c>
      <c r="U623" s="62">
        <v>0</v>
      </c>
      <c r="V623" s="62">
        <f>1-1</f>
        <v>0</v>
      </c>
      <c r="W623" s="63"/>
      <c r="X623" s="63"/>
      <c r="Z623" s="64"/>
      <c r="AA623" s="54"/>
      <c r="AB623" s="54"/>
      <c r="AC623" s="54"/>
    </row>
    <row r="624" spans="1:29" ht="60" customHeight="1" x14ac:dyDescent="0.2">
      <c r="A624" s="69" t="s">
        <v>953</v>
      </c>
      <c r="B624" s="74"/>
      <c r="C624" s="66" t="s">
        <v>489</v>
      </c>
      <c r="D624" s="53" t="s">
        <v>48</v>
      </c>
      <c r="E624" s="54" t="s">
        <v>34</v>
      </c>
      <c r="F624" s="55" t="s">
        <v>49</v>
      </c>
      <c r="G624" s="67" t="s">
        <v>68</v>
      </c>
      <c r="H624" s="57" t="s">
        <v>37</v>
      </c>
      <c r="I624" s="55" t="s">
        <v>51</v>
      </c>
      <c r="J624" s="57" t="e">
        <f>ROUND(#REF!*2.4,-1)</f>
        <v>#REF!</v>
      </c>
      <c r="K624" s="58"/>
      <c r="L624" s="59">
        <f>3-2</f>
        <v>1</v>
      </c>
      <c r="M624" s="60"/>
      <c r="N624" s="61"/>
      <c r="O624" s="61"/>
      <c r="P624" s="62"/>
      <c r="Q624" s="62">
        <f>2-1</f>
        <v>1</v>
      </c>
      <c r="R624" s="62"/>
      <c r="S624" s="62"/>
      <c r="T624" s="62"/>
      <c r="U624" s="62">
        <f>1-1</f>
        <v>0</v>
      </c>
      <c r="V624" s="62"/>
      <c r="W624" s="63"/>
      <c r="X624" s="63"/>
      <c r="Z624" s="71"/>
      <c r="AA624" s="54"/>
      <c r="AB624" s="54"/>
      <c r="AC624" s="54"/>
    </row>
    <row r="625" spans="1:29" ht="60" customHeight="1" x14ac:dyDescent="0.2">
      <c r="A625" s="69" t="s">
        <v>954</v>
      </c>
      <c r="B625" s="74"/>
      <c r="C625" s="66" t="s">
        <v>493</v>
      </c>
      <c r="D625" s="53" t="s">
        <v>48</v>
      </c>
      <c r="E625" s="54" t="s">
        <v>34</v>
      </c>
      <c r="F625" s="55" t="s">
        <v>49</v>
      </c>
      <c r="G625" s="67" t="s">
        <v>68</v>
      </c>
      <c r="H625" s="57" t="s">
        <v>37</v>
      </c>
      <c r="I625" s="55" t="s">
        <v>51</v>
      </c>
      <c r="J625" s="57" t="e">
        <f>ROUND(#REF!*2.4,-1)</f>
        <v>#REF!</v>
      </c>
      <c r="K625" s="58"/>
      <c r="L625" s="59">
        <f>1-1+1</f>
        <v>1</v>
      </c>
      <c r="M625" s="60"/>
      <c r="N625" s="61"/>
      <c r="O625" s="61"/>
      <c r="P625" s="62"/>
      <c r="Q625" s="62">
        <f>0</f>
        <v>0</v>
      </c>
      <c r="R625" s="62"/>
      <c r="S625" s="62"/>
      <c r="T625" s="62"/>
      <c r="U625" s="62">
        <f>1</f>
        <v>1</v>
      </c>
      <c r="V625" s="62"/>
      <c r="W625" s="63"/>
      <c r="X625" s="63"/>
      <c r="Z625" s="71"/>
      <c r="AA625" s="54"/>
      <c r="AB625" s="54"/>
      <c r="AC625" s="54"/>
    </row>
    <row r="626" spans="1:29" ht="60" hidden="1" customHeight="1" x14ac:dyDescent="0.2">
      <c r="A626" s="69" t="s">
        <v>955</v>
      </c>
      <c r="B626" s="74"/>
      <c r="C626" s="66" t="s">
        <v>956</v>
      </c>
      <c r="D626" s="57" t="s">
        <v>48</v>
      </c>
      <c r="E626" s="54" t="s">
        <v>34</v>
      </c>
      <c r="F626" s="67" t="s">
        <v>49</v>
      </c>
      <c r="G626" s="67" t="s">
        <v>68</v>
      </c>
      <c r="H626" s="57" t="s">
        <v>37</v>
      </c>
      <c r="I626" s="67" t="s">
        <v>51</v>
      </c>
      <c r="J626" s="57" t="e">
        <f>ROUND(#REF!*2.4,-1)</f>
        <v>#REF!</v>
      </c>
      <c r="K626" s="58"/>
      <c r="L626" s="59">
        <v>0</v>
      </c>
      <c r="M626" s="60"/>
      <c r="N626" s="61"/>
      <c r="O626" s="61"/>
      <c r="P626" s="62"/>
      <c r="Q626" s="62"/>
      <c r="R626" s="62"/>
      <c r="S626" s="62"/>
      <c r="T626" s="62"/>
      <c r="U626" s="62"/>
      <c r="V626" s="62"/>
      <c r="W626" s="63"/>
      <c r="X626" s="63"/>
      <c r="Z626" s="64"/>
      <c r="AC626" s="54"/>
    </row>
    <row r="627" spans="1:29" ht="60" customHeight="1" x14ac:dyDescent="0.2">
      <c r="A627" s="69" t="s">
        <v>957</v>
      </c>
      <c r="B627" s="74"/>
      <c r="C627" s="66" t="s">
        <v>958</v>
      </c>
      <c r="D627" s="57" t="s">
        <v>48</v>
      </c>
      <c r="E627" s="54" t="s">
        <v>34</v>
      </c>
      <c r="F627" s="67" t="s">
        <v>49</v>
      </c>
      <c r="G627" s="67" t="s">
        <v>68</v>
      </c>
      <c r="H627" s="57" t="s">
        <v>37</v>
      </c>
      <c r="I627" s="67" t="s">
        <v>51</v>
      </c>
      <c r="J627" s="57" t="e">
        <f>ROUND(#REF!*2.4,-1)</f>
        <v>#REF!</v>
      </c>
      <c r="K627" s="58"/>
      <c r="L627" s="59">
        <f>13-10+10</f>
        <v>13</v>
      </c>
      <c r="M627" s="60"/>
      <c r="N627" s="61"/>
      <c r="O627" s="61"/>
      <c r="P627" s="62"/>
      <c r="Q627" s="62">
        <f>8-5+5</f>
        <v>8</v>
      </c>
      <c r="R627" s="62">
        <f>2-2+2</f>
        <v>2</v>
      </c>
      <c r="S627" s="62">
        <f>1-1+1</f>
        <v>1</v>
      </c>
      <c r="T627" s="62">
        <f>1-1+1</f>
        <v>1</v>
      </c>
      <c r="U627" s="62"/>
      <c r="V627" s="62">
        <f>1-1+1</f>
        <v>1</v>
      </c>
      <c r="W627" s="63"/>
      <c r="X627" s="63"/>
      <c r="Z627" s="64"/>
      <c r="AA627" s="54">
        <v>3610136</v>
      </c>
      <c r="AB627" s="54">
        <v>387</v>
      </c>
      <c r="AC627" s="54"/>
    </row>
    <row r="628" spans="1:29" ht="60" hidden="1" customHeight="1" x14ac:dyDescent="0.2">
      <c r="A628" s="69" t="s">
        <v>959</v>
      </c>
      <c r="B628" s="74"/>
      <c r="C628" s="66" t="s">
        <v>401</v>
      </c>
      <c r="D628" s="57" t="s">
        <v>48</v>
      </c>
      <c r="E628" s="54" t="s">
        <v>34</v>
      </c>
      <c r="F628" s="67" t="s">
        <v>49</v>
      </c>
      <c r="G628" s="67" t="s">
        <v>68</v>
      </c>
      <c r="H628" s="57" t="s">
        <v>37</v>
      </c>
      <c r="I628" s="67" t="s">
        <v>51</v>
      </c>
      <c r="J628" s="57" t="e">
        <f>ROUND(#REF!*2.4,-1)</f>
        <v>#REF!</v>
      </c>
      <c r="K628" s="58"/>
      <c r="L628" s="59">
        <v>0</v>
      </c>
      <c r="M628" s="60"/>
      <c r="N628" s="61"/>
      <c r="O628" s="61"/>
      <c r="P628" s="62"/>
      <c r="Q628" s="62"/>
      <c r="R628" s="62"/>
      <c r="S628" s="62"/>
      <c r="T628" s="62"/>
      <c r="U628" s="62"/>
      <c r="V628" s="62"/>
      <c r="W628" s="63"/>
      <c r="X628" s="63"/>
      <c r="Z628" s="64"/>
      <c r="AA628" s="54"/>
      <c r="AB628" s="54"/>
      <c r="AC628" s="54"/>
    </row>
    <row r="629" spans="1:29" ht="60" hidden="1" customHeight="1" x14ac:dyDescent="0.2">
      <c r="A629" s="69" t="s">
        <v>960</v>
      </c>
      <c r="B629" s="74"/>
      <c r="C629" s="66" t="s">
        <v>421</v>
      </c>
      <c r="D629" s="57" t="s">
        <v>48</v>
      </c>
      <c r="E629" s="54" t="s">
        <v>34</v>
      </c>
      <c r="F629" s="67" t="s">
        <v>49</v>
      </c>
      <c r="G629" s="56" t="s">
        <v>36</v>
      </c>
      <c r="H629" s="57" t="s">
        <v>37</v>
      </c>
      <c r="I629" s="67" t="s">
        <v>51</v>
      </c>
      <c r="J629" s="57" t="e">
        <f>ROUND(#REF!*2.4,-1)</f>
        <v>#REF!</v>
      </c>
      <c r="K629" s="58"/>
      <c r="L629" s="59">
        <f>1-1</f>
        <v>0</v>
      </c>
      <c r="M629" s="60"/>
      <c r="N629" s="61"/>
      <c r="O629" s="61"/>
      <c r="P629" s="62"/>
      <c r="Q629" s="62"/>
      <c r="R629" s="62">
        <f>1-1</f>
        <v>0</v>
      </c>
      <c r="S629" s="62"/>
      <c r="T629" s="62"/>
      <c r="U629" s="62"/>
      <c r="V629" s="62"/>
      <c r="W629" s="63"/>
      <c r="X629" s="63"/>
      <c r="Z629" s="64"/>
      <c r="AA629" s="54"/>
      <c r="AB629" s="54"/>
      <c r="AC629" s="54"/>
    </row>
    <row r="630" spans="1:29" ht="60" customHeight="1" x14ac:dyDescent="0.2">
      <c r="A630" s="69" t="s">
        <v>961</v>
      </c>
      <c r="B630" s="74"/>
      <c r="C630" s="66" t="s">
        <v>525</v>
      </c>
      <c r="D630" s="57" t="s">
        <v>48</v>
      </c>
      <c r="E630" s="54" t="s">
        <v>34</v>
      </c>
      <c r="F630" s="67" t="s">
        <v>49</v>
      </c>
      <c r="G630" s="56" t="s">
        <v>36</v>
      </c>
      <c r="H630" s="57" t="s">
        <v>37</v>
      </c>
      <c r="I630" s="67" t="s">
        <v>51</v>
      </c>
      <c r="J630" s="57" t="e">
        <f>ROUND(#REF!*2.4,-1)</f>
        <v>#REF!</v>
      </c>
      <c r="K630" s="58"/>
      <c r="L630" s="59">
        <f>3-1</f>
        <v>2</v>
      </c>
      <c r="M630" s="60"/>
      <c r="N630" s="61"/>
      <c r="O630" s="61"/>
      <c r="P630" s="62"/>
      <c r="Q630" s="62">
        <f>2-1</f>
        <v>1</v>
      </c>
      <c r="R630" s="62">
        <f>2-2</f>
        <v>0</v>
      </c>
      <c r="S630" s="62">
        <f>1-1+1</f>
        <v>1</v>
      </c>
      <c r="T630" s="62">
        <f>1-1</f>
        <v>0</v>
      </c>
      <c r="U630" s="62">
        <f>1-1</f>
        <v>0</v>
      </c>
      <c r="V630" s="62">
        <f>1-1</f>
        <v>0</v>
      </c>
      <c r="W630" s="63"/>
      <c r="X630" s="63"/>
      <c r="Z630" s="71"/>
      <c r="AA630" s="54"/>
      <c r="AB630" s="54"/>
      <c r="AC630" s="54"/>
    </row>
    <row r="631" spans="1:29" ht="60" hidden="1" customHeight="1" x14ac:dyDescent="0.2">
      <c r="A631" s="69" t="s">
        <v>962</v>
      </c>
      <c r="B631" s="74"/>
      <c r="C631" s="66" t="s">
        <v>963</v>
      </c>
      <c r="D631" s="57" t="s">
        <v>48</v>
      </c>
      <c r="E631" s="54" t="s">
        <v>34</v>
      </c>
      <c r="F631" s="67" t="s">
        <v>49</v>
      </c>
      <c r="G631" s="67" t="s">
        <v>68</v>
      </c>
      <c r="H631" s="57" t="s">
        <v>37</v>
      </c>
      <c r="I631" s="67" t="s">
        <v>51</v>
      </c>
      <c r="J631" s="57" t="e">
        <f>ROUND(#REF!*2.4,-1)</f>
        <v>#REF!</v>
      </c>
      <c r="K631" s="58"/>
      <c r="L631" s="59">
        <v>0</v>
      </c>
      <c r="M631" s="60"/>
      <c r="N631" s="61"/>
      <c r="O631" s="61"/>
      <c r="P631" s="62"/>
      <c r="Q631" s="62"/>
      <c r="R631" s="62"/>
      <c r="S631" s="62"/>
      <c r="T631" s="62"/>
      <c r="U631" s="62"/>
      <c r="V631" s="62"/>
      <c r="W631" s="63"/>
      <c r="X631" s="63"/>
      <c r="Z631" s="64"/>
      <c r="AC631" s="54"/>
    </row>
    <row r="632" spans="1:29" ht="60" customHeight="1" x14ac:dyDescent="0.2">
      <c r="A632" s="69" t="s">
        <v>964</v>
      </c>
      <c r="B632" s="74"/>
      <c r="C632" s="66" t="s">
        <v>529</v>
      </c>
      <c r="D632" s="57" t="s">
        <v>48</v>
      </c>
      <c r="E632" s="54" t="s">
        <v>34</v>
      </c>
      <c r="F632" s="67" t="s">
        <v>49</v>
      </c>
      <c r="G632" s="56" t="s">
        <v>36</v>
      </c>
      <c r="H632" s="57" t="s">
        <v>37</v>
      </c>
      <c r="I632" s="67" t="s">
        <v>51</v>
      </c>
      <c r="J632" s="57" t="e">
        <f>ROUND(#REF!*2.4,-1)</f>
        <v>#REF!</v>
      </c>
      <c r="K632" s="58"/>
      <c r="L632" s="59">
        <f>2-1</f>
        <v>1</v>
      </c>
      <c r="M632" s="60"/>
      <c r="N632" s="61"/>
      <c r="O632" s="61"/>
      <c r="P632" s="62"/>
      <c r="Q632" s="62">
        <f>1-1</f>
        <v>0</v>
      </c>
      <c r="R632" s="62">
        <f>1-1+1</f>
        <v>1</v>
      </c>
      <c r="S632" s="62">
        <f>1-1</f>
        <v>0</v>
      </c>
      <c r="T632" s="62">
        <f>1-1</f>
        <v>0</v>
      </c>
      <c r="U632" s="62">
        <f>1-1</f>
        <v>0</v>
      </c>
      <c r="V632" s="62">
        <f>15-15</f>
        <v>0</v>
      </c>
      <c r="W632" s="63"/>
      <c r="X632" s="63"/>
      <c r="Z632" s="64"/>
      <c r="AA632" s="54">
        <v>3610514</v>
      </c>
      <c r="AB632" s="54">
        <v>389</v>
      </c>
      <c r="AC632" s="54"/>
    </row>
    <row r="633" spans="1:29" ht="60" customHeight="1" x14ac:dyDescent="0.2">
      <c r="A633" s="69" t="s">
        <v>965</v>
      </c>
      <c r="B633" s="70"/>
      <c r="C633" s="66" t="s">
        <v>519</v>
      </c>
      <c r="D633" s="57" t="s">
        <v>48</v>
      </c>
      <c r="E633" s="54" t="s">
        <v>34</v>
      </c>
      <c r="F633" s="67" t="s">
        <v>49</v>
      </c>
      <c r="G633" s="56" t="s">
        <v>36</v>
      </c>
      <c r="H633" s="57" t="s">
        <v>37</v>
      </c>
      <c r="I633" s="67" t="s">
        <v>51</v>
      </c>
      <c r="J633" s="57" t="e">
        <f>ROUND(#REF!*2.4,-1)</f>
        <v>#REF!</v>
      </c>
      <c r="K633" s="58"/>
      <c r="L633" s="59">
        <f>3-3+3</f>
        <v>3</v>
      </c>
      <c r="M633" s="60"/>
      <c r="N633" s="61"/>
      <c r="O633" s="61"/>
      <c r="P633" s="62"/>
      <c r="Q633" s="62">
        <f>1-1</f>
        <v>0</v>
      </c>
      <c r="R633" s="62">
        <f>1-1</f>
        <v>0</v>
      </c>
      <c r="S633" s="62">
        <f>1-1</f>
        <v>0</v>
      </c>
      <c r="T633" s="62">
        <f>2-2</f>
        <v>0</v>
      </c>
      <c r="U633" s="62">
        <f>1-1</f>
        <v>0</v>
      </c>
      <c r="V633" s="62">
        <f>3-3+3</f>
        <v>3</v>
      </c>
      <c r="W633" s="63"/>
      <c r="X633" s="63"/>
      <c r="Z633" s="64"/>
      <c r="AA633" s="54"/>
      <c r="AB633" s="54"/>
      <c r="AC633" s="54"/>
    </row>
    <row r="634" spans="1:29" ht="60" hidden="1" customHeight="1" x14ac:dyDescent="0.2">
      <c r="A634" s="69" t="s">
        <v>966</v>
      </c>
      <c r="B634" s="74"/>
      <c r="C634" s="66" t="s">
        <v>967</v>
      </c>
      <c r="D634" s="57" t="s">
        <v>48</v>
      </c>
      <c r="E634" s="54" t="s">
        <v>34</v>
      </c>
      <c r="F634" s="67" t="s">
        <v>49</v>
      </c>
      <c r="G634" s="56" t="s">
        <v>36</v>
      </c>
      <c r="H634" s="57" t="s">
        <v>37</v>
      </c>
      <c r="I634" s="67" t="s">
        <v>51</v>
      </c>
      <c r="J634" s="57" t="e">
        <f>ROUND(#REF!*2.4,-1)</f>
        <v>#REF!</v>
      </c>
      <c r="K634" s="58"/>
      <c r="L634" s="59">
        <f>5-5</f>
        <v>0</v>
      </c>
      <c r="M634" s="60"/>
      <c r="N634" s="61"/>
      <c r="O634" s="61"/>
      <c r="P634" s="62"/>
      <c r="Q634" s="62">
        <f>3-3</f>
        <v>0</v>
      </c>
      <c r="R634" s="62">
        <f t="shared" ref="R634:S636" si="59">1-1</f>
        <v>0</v>
      </c>
      <c r="S634" s="62">
        <f>1-1</f>
        <v>0</v>
      </c>
      <c r="T634" s="62">
        <f>1-1</f>
        <v>0</v>
      </c>
      <c r="U634" s="62"/>
      <c r="V634" s="62"/>
      <c r="W634" s="63"/>
      <c r="X634" s="63"/>
      <c r="Z634" s="71"/>
    </row>
    <row r="635" spans="1:29" ht="60" hidden="1" customHeight="1" x14ac:dyDescent="0.2">
      <c r="A635" s="85" t="s">
        <v>968</v>
      </c>
      <c r="B635" s="74"/>
      <c r="C635" s="66" t="s">
        <v>535</v>
      </c>
      <c r="D635" s="57" t="s">
        <v>48</v>
      </c>
      <c r="E635" s="54" t="s">
        <v>34</v>
      </c>
      <c r="F635" s="67" t="s">
        <v>49</v>
      </c>
      <c r="G635" s="56" t="s">
        <v>36</v>
      </c>
      <c r="H635" s="57" t="s">
        <v>37</v>
      </c>
      <c r="I635" s="67" t="s">
        <v>51</v>
      </c>
      <c r="J635" s="57" t="e">
        <f>ROUND(#REF!*2.4,-1)</f>
        <v>#REF!</v>
      </c>
      <c r="K635" s="58"/>
      <c r="L635" s="59">
        <f>2-2</f>
        <v>0</v>
      </c>
      <c r="M635" s="60"/>
      <c r="N635" s="61"/>
      <c r="O635" s="61"/>
      <c r="P635" s="62"/>
      <c r="Q635" s="62">
        <f>2-2</f>
        <v>0</v>
      </c>
      <c r="R635" s="62">
        <f t="shared" si="59"/>
        <v>0</v>
      </c>
      <c r="S635" s="62">
        <f t="shared" si="59"/>
        <v>0</v>
      </c>
      <c r="T635" s="62"/>
      <c r="U635" s="62">
        <f>1-1</f>
        <v>0</v>
      </c>
      <c r="V635" s="62"/>
      <c r="W635" s="63"/>
      <c r="X635" s="63"/>
      <c r="Z635" s="64"/>
      <c r="AA635" s="54"/>
      <c r="AB635" s="54"/>
      <c r="AC635" s="54"/>
    </row>
    <row r="636" spans="1:29" ht="60" customHeight="1" x14ac:dyDescent="0.2">
      <c r="A636" s="69" t="s">
        <v>969</v>
      </c>
      <c r="B636" s="74"/>
      <c r="C636" s="66" t="s">
        <v>276</v>
      </c>
      <c r="D636" s="57" t="s">
        <v>48</v>
      </c>
      <c r="E636" s="54" t="s">
        <v>34</v>
      </c>
      <c r="F636" s="67" t="s">
        <v>49</v>
      </c>
      <c r="G636" s="67" t="s">
        <v>68</v>
      </c>
      <c r="H636" s="57" t="s">
        <v>37</v>
      </c>
      <c r="I636" s="67" t="s">
        <v>51</v>
      </c>
      <c r="J636" s="57" t="e">
        <f>ROUND(#REF!*2.4,-1)</f>
        <v>#REF!</v>
      </c>
      <c r="K636" s="58"/>
      <c r="L636" s="59">
        <f>2-1+1+1</f>
        <v>3</v>
      </c>
      <c r="M636" s="60"/>
      <c r="N636" s="61"/>
      <c r="O636" s="61"/>
      <c r="P636" s="62"/>
      <c r="Q636" s="62">
        <f>1-1+1+1+1</f>
        <v>3</v>
      </c>
      <c r="R636" s="62">
        <f t="shared" si="59"/>
        <v>0</v>
      </c>
      <c r="S636" s="62">
        <f t="shared" si="59"/>
        <v>0</v>
      </c>
      <c r="T636" s="62">
        <f>1-1</f>
        <v>0</v>
      </c>
      <c r="U636" s="62">
        <f>1-1</f>
        <v>0</v>
      </c>
      <c r="V636" s="62"/>
      <c r="W636" s="63"/>
      <c r="X636" s="63"/>
      <c r="Z636" s="64"/>
      <c r="AA636" s="54"/>
      <c r="AB636" s="54"/>
      <c r="AC636" s="54"/>
    </row>
    <row r="637" spans="1:29" ht="60" hidden="1" customHeight="1" x14ac:dyDescent="0.2">
      <c r="A637" s="69" t="s">
        <v>970</v>
      </c>
      <c r="B637" s="74"/>
      <c r="C637" s="66" t="s">
        <v>971</v>
      </c>
      <c r="D637" s="57" t="s">
        <v>48</v>
      </c>
      <c r="E637" s="54" t="s">
        <v>34</v>
      </c>
      <c r="F637" s="67" t="s">
        <v>49</v>
      </c>
      <c r="G637" s="56" t="s">
        <v>36</v>
      </c>
      <c r="H637" s="57" t="s">
        <v>37</v>
      </c>
      <c r="I637" s="67" t="s">
        <v>51</v>
      </c>
      <c r="J637" s="57" t="e">
        <f>ROUND(#REF!*2.4,-1)</f>
        <v>#REF!</v>
      </c>
      <c r="K637" s="58"/>
      <c r="L637" s="59">
        <f>1-1</f>
        <v>0</v>
      </c>
      <c r="M637" s="60"/>
      <c r="N637" s="61"/>
      <c r="O637" s="61"/>
      <c r="P637" s="62"/>
      <c r="Q637" s="62">
        <f>1-1</f>
        <v>0</v>
      </c>
      <c r="R637" s="62"/>
      <c r="S637" s="62"/>
      <c r="T637" s="62">
        <f>1-1</f>
        <v>0</v>
      </c>
      <c r="U637" s="62"/>
      <c r="V637" s="62"/>
      <c r="W637" s="63"/>
      <c r="X637" s="63"/>
      <c r="Z637" s="64"/>
      <c r="AC637" s="54"/>
    </row>
    <row r="638" spans="1:29" ht="60" customHeight="1" x14ac:dyDescent="0.2">
      <c r="A638" s="69" t="s">
        <v>972</v>
      </c>
      <c r="B638" s="74"/>
      <c r="C638" s="66" t="s">
        <v>973</v>
      </c>
      <c r="D638" s="57" t="s">
        <v>48</v>
      </c>
      <c r="E638" s="54" t="s">
        <v>34</v>
      </c>
      <c r="F638" s="67" t="s">
        <v>49</v>
      </c>
      <c r="G638" s="67" t="s">
        <v>68</v>
      </c>
      <c r="H638" s="57" t="s">
        <v>37</v>
      </c>
      <c r="I638" s="67" t="s">
        <v>51</v>
      </c>
      <c r="J638" s="57" t="e">
        <f>ROUND(#REF!*2.4,-1)</f>
        <v>#REF!</v>
      </c>
      <c r="K638" s="58"/>
      <c r="L638" s="59">
        <f>5-3</f>
        <v>2</v>
      </c>
      <c r="M638" s="60"/>
      <c r="N638" s="61"/>
      <c r="O638" s="61"/>
      <c r="P638" s="62"/>
      <c r="Q638" s="62">
        <f>2-1+1</f>
        <v>2</v>
      </c>
      <c r="R638" s="62">
        <f>1-1</f>
        <v>0</v>
      </c>
      <c r="S638" s="62">
        <f>1-1</f>
        <v>0</v>
      </c>
      <c r="T638" s="62">
        <f>1-1</f>
        <v>0</v>
      </c>
      <c r="U638" s="62">
        <f>1-1</f>
        <v>0</v>
      </c>
      <c r="V638" s="62"/>
      <c r="W638" s="63"/>
      <c r="X638" s="63"/>
      <c r="Z638" s="64"/>
      <c r="AA638" s="54">
        <v>3610543</v>
      </c>
      <c r="AB638" s="54">
        <v>405</v>
      </c>
      <c r="AC638" s="54"/>
    </row>
    <row r="639" spans="1:29" ht="60" customHeight="1" x14ac:dyDescent="0.2">
      <c r="A639" s="69" t="s">
        <v>974</v>
      </c>
      <c r="B639" s="74"/>
      <c r="C639" s="66" t="s">
        <v>975</v>
      </c>
      <c r="D639" s="57" t="s">
        <v>48</v>
      </c>
      <c r="E639" s="54" t="s">
        <v>34</v>
      </c>
      <c r="F639" s="67" t="s">
        <v>49</v>
      </c>
      <c r="G639" s="67" t="s">
        <v>68</v>
      </c>
      <c r="H639" s="57" t="s">
        <v>37</v>
      </c>
      <c r="I639" s="67" t="s">
        <v>51</v>
      </c>
      <c r="J639" s="57" t="e">
        <f>ROUND(#REF!*2.4,-1)</f>
        <v>#REF!</v>
      </c>
      <c r="K639" s="58"/>
      <c r="L639" s="59">
        <f>2-1</f>
        <v>1</v>
      </c>
      <c r="M639" s="60"/>
      <c r="N639" s="61"/>
      <c r="O639" s="61"/>
      <c r="P639" s="62"/>
      <c r="Q639" s="62">
        <f>1-1</f>
        <v>0</v>
      </c>
      <c r="R639" s="62">
        <f>1-1</f>
        <v>0</v>
      </c>
      <c r="S639" s="62">
        <f>1-1</f>
        <v>0</v>
      </c>
      <c r="T639" s="62">
        <f>1-1</f>
        <v>0</v>
      </c>
      <c r="U639" s="62">
        <f>1-1</f>
        <v>0</v>
      </c>
      <c r="V639" s="62">
        <f>2-1</f>
        <v>1</v>
      </c>
      <c r="W639" s="63"/>
      <c r="X639" s="63"/>
      <c r="Z639" s="64"/>
      <c r="AC639" s="54"/>
    </row>
    <row r="640" spans="1:29" ht="60" hidden="1" customHeight="1" x14ac:dyDescent="0.2">
      <c r="A640" s="69" t="s">
        <v>976</v>
      </c>
      <c r="B640" s="74"/>
      <c r="C640" s="66" t="s">
        <v>977</v>
      </c>
      <c r="D640" s="57" t="s">
        <v>48</v>
      </c>
      <c r="E640" s="54" t="s">
        <v>34</v>
      </c>
      <c r="F640" s="67" t="s">
        <v>49</v>
      </c>
      <c r="G640" s="67" t="s">
        <v>68</v>
      </c>
      <c r="H640" s="57" t="s">
        <v>37</v>
      </c>
      <c r="I640" s="67" t="s">
        <v>51</v>
      </c>
      <c r="J640" s="57" t="e">
        <f>ROUND(#REF!*2.4,-1)</f>
        <v>#REF!</v>
      </c>
      <c r="K640" s="58"/>
      <c r="L640" s="59">
        <f>1-1</f>
        <v>0</v>
      </c>
      <c r="M640" s="60"/>
      <c r="N640" s="61"/>
      <c r="O640" s="61"/>
      <c r="P640" s="62"/>
      <c r="Q640" s="62">
        <f>2-2</f>
        <v>0</v>
      </c>
      <c r="R640" s="62">
        <f>2-2</f>
        <v>0</v>
      </c>
      <c r="S640" s="62">
        <f>1-1</f>
        <v>0</v>
      </c>
      <c r="T640" s="62">
        <f>1-1</f>
        <v>0</v>
      </c>
      <c r="U640" s="62">
        <f>1-1</f>
        <v>0</v>
      </c>
      <c r="V640" s="62"/>
      <c r="W640" s="63"/>
      <c r="X640" s="63"/>
      <c r="Z640" s="64"/>
      <c r="AA640" s="54"/>
      <c r="AB640" s="54"/>
      <c r="AC640" s="54"/>
    </row>
    <row r="641" spans="1:29" ht="60" customHeight="1" x14ac:dyDescent="0.2">
      <c r="A641" s="69" t="s">
        <v>978</v>
      </c>
      <c r="B641" s="70"/>
      <c r="C641" s="66" t="s">
        <v>109</v>
      </c>
      <c r="D641" s="57" t="s">
        <v>48</v>
      </c>
      <c r="E641" s="54" t="s">
        <v>34</v>
      </c>
      <c r="F641" s="67" t="s">
        <v>49</v>
      </c>
      <c r="G641" s="67" t="s">
        <v>68</v>
      </c>
      <c r="H641" s="57" t="s">
        <v>37</v>
      </c>
      <c r="I641" s="67" t="s">
        <v>51</v>
      </c>
      <c r="J641" s="57" t="e">
        <f>ROUND(#REF!*2.4,-1)</f>
        <v>#REF!</v>
      </c>
      <c r="K641" s="58"/>
      <c r="L641" s="59">
        <f>2-1</f>
        <v>1</v>
      </c>
      <c r="M641" s="60"/>
      <c r="N641" s="61"/>
      <c r="O641" s="61"/>
      <c r="P641" s="62"/>
      <c r="Q641" s="62">
        <f>10-10</f>
        <v>0</v>
      </c>
      <c r="R641" s="62">
        <f>12-12</f>
        <v>0</v>
      </c>
      <c r="S641" s="62">
        <f>1-1</f>
        <v>0</v>
      </c>
      <c r="T641" s="62">
        <f>9-9</f>
        <v>0</v>
      </c>
      <c r="U641" s="62">
        <f>1-1</f>
        <v>0</v>
      </c>
      <c r="V641" s="62">
        <f>1-1+1</f>
        <v>1</v>
      </c>
      <c r="W641" s="63"/>
      <c r="X641" s="63"/>
      <c r="Z641" s="64"/>
      <c r="AA641" s="54"/>
      <c r="AB641" s="54"/>
      <c r="AC641" s="54">
        <v>395</v>
      </c>
    </row>
    <row r="642" spans="1:29" ht="60" customHeight="1" x14ac:dyDescent="0.2">
      <c r="A642" s="81" t="s">
        <v>979</v>
      </c>
      <c r="B642" s="70"/>
      <c r="C642" s="82" t="s">
        <v>113</v>
      </c>
      <c r="D642" s="57" t="s">
        <v>48</v>
      </c>
      <c r="E642" s="54" t="s">
        <v>34</v>
      </c>
      <c r="F642" s="67" t="s">
        <v>49</v>
      </c>
      <c r="G642" s="67" t="s">
        <v>68</v>
      </c>
      <c r="H642" s="57" t="s">
        <v>37</v>
      </c>
      <c r="I642" s="67" t="s">
        <v>51</v>
      </c>
      <c r="J642" s="57" t="e">
        <f>ROUND(#REF!*2.4,-1)</f>
        <v>#REF!</v>
      </c>
      <c r="K642" s="58"/>
      <c r="L642" s="59">
        <f>1-1+1</f>
        <v>1</v>
      </c>
      <c r="M642" s="60"/>
      <c r="N642" s="61"/>
      <c r="O642" s="61"/>
      <c r="P642" s="62"/>
      <c r="Q642" s="62">
        <f t="shared" ref="Q642:V642" si="60">1-1</f>
        <v>0</v>
      </c>
      <c r="R642" s="62">
        <f t="shared" si="60"/>
        <v>0</v>
      </c>
      <c r="S642" s="62">
        <f t="shared" si="60"/>
        <v>0</v>
      </c>
      <c r="T642" s="62">
        <f>1-1+1</f>
        <v>1</v>
      </c>
      <c r="U642" s="62">
        <f t="shared" si="60"/>
        <v>0</v>
      </c>
      <c r="V642" s="62">
        <f t="shared" si="60"/>
        <v>0</v>
      </c>
      <c r="W642" s="63"/>
      <c r="X642" s="63"/>
      <c r="Z642" s="64"/>
      <c r="AC642" s="54"/>
    </row>
    <row r="643" spans="1:29" ht="60" customHeight="1" x14ac:dyDescent="0.2">
      <c r="A643" s="81" t="s">
        <v>980</v>
      </c>
      <c r="B643" s="70"/>
      <c r="C643" s="66" t="s">
        <v>241</v>
      </c>
      <c r="D643" s="57" t="s">
        <v>48</v>
      </c>
      <c r="E643" s="54" t="s">
        <v>34</v>
      </c>
      <c r="F643" s="67" t="s">
        <v>49</v>
      </c>
      <c r="G643" s="67" t="s">
        <v>68</v>
      </c>
      <c r="H643" s="57" t="s">
        <v>37</v>
      </c>
      <c r="I643" s="67" t="s">
        <v>51</v>
      </c>
      <c r="J643" s="57" t="e">
        <f>ROUND(#REF!*2.4,-1)</f>
        <v>#REF!</v>
      </c>
      <c r="K643" s="58"/>
      <c r="L643" s="59">
        <f>3-1</f>
        <v>2</v>
      </c>
      <c r="M643" s="60"/>
      <c r="N643" s="61"/>
      <c r="O643" s="61"/>
      <c r="P643" s="62"/>
      <c r="Q643" s="62">
        <f>3-1</f>
        <v>2</v>
      </c>
      <c r="R643" s="62">
        <f>5-5</f>
        <v>0</v>
      </c>
      <c r="S643" s="62"/>
      <c r="T643" s="62"/>
      <c r="U643" s="62"/>
      <c r="V643" s="62"/>
      <c r="W643" s="63"/>
      <c r="X643" s="63"/>
      <c r="Z643" s="71"/>
      <c r="AA643" s="54"/>
      <c r="AB643" s="54"/>
      <c r="AC643" s="54"/>
    </row>
    <row r="644" spans="1:29" ht="60" customHeight="1" x14ac:dyDescent="0.2">
      <c r="A644" s="81" t="s">
        <v>981</v>
      </c>
      <c r="B644" s="70"/>
      <c r="C644" s="66" t="s">
        <v>249</v>
      </c>
      <c r="D644" s="57" t="s">
        <v>48</v>
      </c>
      <c r="E644" s="54" t="s">
        <v>34</v>
      </c>
      <c r="F644" s="67" t="s">
        <v>49</v>
      </c>
      <c r="G644" s="67" t="s">
        <v>68</v>
      </c>
      <c r="H644" s="57" t="s">
        <v>37</v>
      </c>
      <c r="I644" s="67" t="s">
        <v>51</v>
      </c>
      <c r="J644" s="57" t="e">
        <f>ROUND(#REF!*2.4,-1)</f>
        <v>#REF!</v>
      </c>
      <c r="K644" s="58"/>
      <c r="L644" s="59">
        <f>12-12+12</f>
        <v>12</v>
      </c>
      <c r="M644" s="60"/>
      <c r="N644" s="61"/>
      <c r="O644" s="61"/>
      <c r="P644" s="62"/>
      <c r="Q644" s="62">
        <f>1-1+1</f>
        <v>1</v>
      </c>
      <c r="R644" s="62">
        <f>1-1+1</f>
        <v>1</v>
      </c>
      <c r="S644" s="62">
        <f>4-4+4</f>
        <v>4</v>
      </c>
      <c r="T644" s="62">
        <f>3-3+3</f>
        <v>3</v>
      </c>
      <c r="U644" s="62">
        <f>1-1+1</f>
        <v>1</v>
      </c>
      <c r="V644" s="62">
        <f>2-2+2</f>
        <v>2</v>
      </c>
      <c r="W644" s="63"/>
      <c r="X644" s="63"/>
      <c r="Z644" s="64"/>
      <c r="AA644" s="54"/>
      <c r="AB644" s="54"/>
      <c r="AC644" s="54"/>
    </row>
    <row r="645" spans="1:29" ht="60" customHeight="1" x14ac:dyDescent="0.2">
      <c r="A645" s="81" t="s">
        <v>982</v>
      </c>
      <c r="B645" s="70"/>
      <c r="C645" s="66" t="s">
        <v>404</v>
      </c>
      <c r="D645" s="57" t="s">
        <v>48</v>
      </c>
      <c r="E645" s="54" t="s">
        <v>34</v>
      </c>
      <c r="F645" s="67" t="s">
        <v>49</v>
      </c>
      <c r="G645" s="67" t="s">
        <v>68</v>
      </c>
      <c r="H645" s="57" t="s">
        <v>37</v>
      </c>
      <c r="I645" s="67" t="s">
        <v>51</v>
      </c>
      <c r="J645" s="57" t="e">
        <f>ROUND(#REF!*2.4,-1)</f>
        <v>#REF!</v>
      </c>
      <c r="K645" s="58"/>
      <c r="L645" s="59">
        <f>2-1</f>
        <v>1</v>
      </c>
      <c r="M645" s="60"/>
      <c r="N645" s="61"/>
      <c r="O645" s="61"/>
      <c r="P645" s="62"/>
      <c r="Q645" s="62">
        <f>1-1</f>
        <v>0</v>
      </c>
      <c r="R645" s="62">
        <f>1-1</f>
        <v>0</v>
      </c>
      <c r="S645" s="62">
        <f>3-3</f>
        <v>0</v>
      </c>
      <c r="T645" s="62">
        <f t="shared" ref="T645:U648" si="61">1-1</f>
        <v>0</v>
      </c>
      <c r="U645" s="62">
        <f>1-1</f>
        <v>0</v>
      </c>
      <c r="V645" s="62">
        <f>1</f>
        <v>1</v>
      </c>
      <c r="W645" s="63"/>
      <c r="X645" s="63"/>
      <c r="Z645" s="64"/>
      <c r="AC645" s="54"/>
    </row>
    <row r="646" spans="1:29" ht="60" hidden="1" customHeight="1" x14ac:dyDescent="0.2">
      <c r="A646" s="81" t="s">
        <v>983</v>
      </c>
      <c r="B646" s="70"/>
      <c r="C646" s="66" t="s">
        <v>105</v>
      </c>
      <c r="D646" s="57" t="s">
        <v>48</v>
      </c>
      <c r="E646" s="54" t="s">
        <v>34</v>
      </c>
      <c r="F646" s="67" t="s">
        <v>49</v>
      </c>
      <c r="G646" s="67" t="s">
        <v>68</v>
      </c>
      <c r="H646" s="57" t="s">
        <v>37</v>
      </c>
      <c r="I646" s="67" t="s">
        <v>51</v>
      </c>
      <c r="J646" s="57" t="e">
        <f>ROUND(#REF!*2.4,-1)</f>
        <v>#REF!</v>
      </c>
      <c r="K646" s="58"/>
      <c r="L646" s="59">
        <f>2-2</f>
        <v>0</v>
      </c>
      <c r="M646" s="60"/>
      <c r="N646" s="61"/>
      <c r="O646" s="61"/>
      <c r="P646" s="62"/>
      <c r="Q646" s="62">
        <f>1-1</f>
        <v>0</v>
      </c>
      <c r="R646" s="62">
        <f>1-1</f>
        <v>0</v>
      </c>
      <c r="S646" s="62">
        <f>1-1</f>
        <v>0</v>
      </c>
      <c r="T646" s="62">
        <f t="shared" si="61"/>
        <v>0</v>
      </c>
      <c r="U646" s="62">
        <f t="shared" si="61"/>
        <v>0</v>
      </c>
      <c r="V646" s="62">
        <f>2-2</f>
        <v>0</v>
      </c>
      <c r="W646" s="63"/>
      <c r="X646" s="63"/>
      <c r="Z646" s="64"/>
      <c r="AA646" s="54"/>
      <c r="AB646" s="54"/>
      <c r="AC646" s="54"/>
    </row>
    <row r="647" spans="1:29" ht="60" customHeight="1" x14ac:dyDescent="0.2">
      <c r="A647" s="81" t="s">
        <v>984</v>
      </c>
      <c r="B647" s="74"/>
      <c r="C647" s="66" t="s">
        <v>243</v>
      </c>
      <c r="D647" s="57" t="s">
        <v>48</v>
      </c>
      <c r="E647" s="54" t="s">
        <v>34</v>
      </c>
      <c r="F647" s="67" t="s">
        <v>49</v>
      </c>
      <c r="G647" s="67" t="s">
        <v>68</v>
      </c>
      <c r="H647" s="57" t="s">
        <v>37</v>
      </c>
      <c r="I647" s="67" t="s">
        <v>51</v>
      </c>
      <c r="J647" s="57" t="e">
        <f>ROUND(#REF!*2.4,-1)</f>
        <v>#REF!</v>
      </c>
      <c r="K647" s="58"/>
      <c r="L647" s="59">
        <f>5-1</f>
        <v>4</v>
      </c>
      <c r="M647" s="60"/>
      <c r="N647" s="61"/>
      <c r="O647" s="61"/>
      <c r="P647" s="62"/>
      <c r="Q647" s="62">
        <f>5-1</f>
        <v>4</v>
      </c>
      <c r="R647" s="62">
        <f>1-1</f>
        <v>0</v>
      </c>
      <c r="S647" s="62">
        <f>1-1</f>
        <v>0</v>
      </c>
      <c r="T647" s="62">
        <f t="shared" si="61"/>
        <v>0</v>
      </c>
      <c r="U647" s="62">
        <f t="shared" si="61"/>
        <v>0</v>
      </c>
      <c r="V647" s="62">
        <f>1-1</f>
        <v>0</v>
      </c>
      <c r="W647" s="63"/>
      <c r="X647" s="63"/>
      <c r="Z647" s="71"/>
      <c r="AA647" s="54"/>
      <c r="AB647" s="54"/>
      <c r="AC647" s="54"/>
    </row>
    <row r="648" spans="1:29" ht="60" customHeight="1" x14ac:dyDescent="0.2">
      <c r="A648" s="81" t="s">
        <v>985</v>
      </c>
      <c r="B648" s="74"/>
      <c r="C648" s="66" t="s">
        <v>297</v>
      </c>
      <c r="D648" s="57" t="s">
        <v>48</v>
      </c>
      <c r="E648" s="54" t="s">
        <v>34</v>
      </c>
      <c r="F648" s="67" t="s">
        <v>49</v>
      </c>
      <c r="G648" s="56" t="s">
        <v>36</v>
      </c>
      <c r="H648" s="57" t="s">
        <v>37</v>
      </c>
      <c r="I648" s="67" t="s">
        <v>51</v>
      </c>
      <c r="J648" s="57" t="e">
        <f>ROUND(#REF!*2.4,-1)</f>
        <v>#REF!</v>
      </c>
      <c r="K648" s="58"/>
      <c r="L648" s="59">
        <f>1-1+1</f>
        <v>1</v>
      </c>
      <c r="M648" s="60"/>
      <c r="N648" s="61"/>
      <c r="O648" s="61"/>
      <c r="P648" s="62"/>
      <c r="Q648" s="62">
        <f>1-1</f>
        <v>0</v>
      </c>
      <c r="R648" s="62">
        <f>2-2</f>
        <v>0</v>
      </c>
      <c r="S648" s="62">
        <f>1-1</f>
        <v>0</v>
      </c>
      <c r="T648" s="62">
        <f t="shared" si="61"/>
        <v>0</v>
      </c>
      <c r="U648" s="62">
        <f t="shared" si="61"/>
        <v>0</v>
      </c>
      <c r="V648" s="62">
        <f>1-1+1</f>
        <v>1</v>
      </c>
      <c r="W648" s="63"/>
      <c r="X648" s="63"/>
      <c r="Z648" s="64"/>
      <c r="AA648" s="54"/>
      <c r="AB648" s="54"/>
      <c r="AC648" s="54"/>
    </row>
    <row r="649" spans="1:29" ht="60" customHeight="1" x14ac:dyDescent="0.2">
      <c r="A649" s="81" t="s">
        <v>986</v>
      </c>
      <c r="B649" s="74"/>
      <c r="C649" s="66" t="s">
        <v>229</v>
      </c>
      <c r="D649" s="57" t="s">
        <v>48</v>
      </c>
      <c r="E649" s="54" t="s">
        <v>34</v>
      </c>
      <c r="F649" s="67" t="s">
        <v>49</v>
      </c>
      <c r="G649" s="56" t="s">
        <v>36</v>
      </c>
      <c r="H649" s="57" t="s">
        <v>37</v>
      </c>
      <c r="I649" s="67" t="s">
        <v>51</v>
      </c>
      <c r="J649" s="57" t="e">
        <f>ROUND(#REF!*2.4,-1)</f>
        <v>#REF!</v>
      </c>
      <c r="K649" s="58"/>
      <c r="L649" s="59">
        <f>3-1</f>
        <v>2</v>
      </c>
      <c r="M649" s="60"/>
      <c r="N649" s="61"/>
      <c r="O649" s="61"/>
      <c r="P649" s="62"/>
      <c r="Q649" s="62">
        <f>1-1+1</f>
        <v>1</v>
      </c>
      <c r="R649" s="62">
        <f>1-1</f>
        <v>0</v>
      </c>
      <c r="S649" s="62">
        <f>1-1+1</f>
        <v>1</v>
      </c>
      <c r="T649" s="62">
        <f>1-1</f>
        <v>0</v>
      </c>
      <c r="U649" s="62">
        <f>1-1</f>
        <v>0</v>
      </c>
      <c r="V649" s="62">
        <f>1-1</f>
        <v>0</v>
      </c>
      <c r="W649" s="63"/>
      <c r="X649" s="63"/>
      <c r="Z649" s="64"/>
      <c r="AA649" s="54"/>
      <c r="AB649" s="54"/>
      <c r="AC649" s="54"/>
    </row>
    <row r="650" spans="1:29" ht="60" hidden="1" customHeight="1" x14ac:dyDescent="0.2">
      <c r="A650" s="69" t="s">
        <v>987</v>
      </c>
      <c r="B650" s="74"/>
      <c r="C650" s="66" t="s">
        <v>988</v>
      </c>
      <c r="D650" s="57" t="s">
        <v>48</v>
      </c>
      <c r="E650" s="54" t="s">
        <v>34</v>
      </c>
      <c r="F650" s="67" t="s">
        <v>49</v>
      </c>
      <c r="G650" s="67" t="s">
        <v>68</v>
      </c>
      <c r="H650" s="57" t="s">
        <v>37</v>
      </c>
      <c r="I650" s="67" t="s">
        <v>51</v>
      </c>
      <c r="J650" s="57" t="e">
        <f>ROUND(#REF!*2.4,-1)</f>
        <v>#REF!</v>
      </c>
      <c r="K650" s="58"/>
      <c r="L650" s="59">
        <v>0</v>
      </c>
      <c r="M650" s="60"/>
      <c r="N650" s="61"/>
      <c r="O650" s="61"/>
      <c r="P650" s="62"/>
      <c r="Q650" s="62"/>
      <c r="R650" s="62"/>
      <c r="S650" s="62"/>
      <c r="T650" s="62"/>
      <c r="U650" s="62"/>
      <c r="V650" s="62"/>
      <c r="W650" s="63"/>
      <c r="X650" s="63"/>
      <c r="Z650" s="64"/>
      <c r="AA650" s="54"/>
      <c r="AB650" s="54"/>
      <c r="AC650" s="54"/>
    </row>
    <row r="651" spans="1:29" ht="60" hidden="1" customHeight="1" x14ac:dyDescent="0.2">
      <c r="A651" s="83" t="s">
        <v>989</v>
      </c>
      <c r="B651" s="74"/>
      <c r="C651" s="66" t="s">
        <v>990</v>
      </c>
      <c r="D651" s="57" t="s">
        <v>48</v>
      </c>
      <c r="E651" s="54" t="s">
        <v>34</v>
      </c>
      <c r="F651" s="67" t="s">
        <v>49</v>
      </c>
      <c r="G651" s="67" t="s">
        <v>68</v>
      </c>
      <c r="H651" s="57" t="s">
        <v>60</v>
      </c>
      <c r="I651" s="67" t="s">
        <v>51</v>
      </c>
      <c r="J651" s="57" t="e">
        <f>ROUND(#REF!*2.4,-1)</f>
        <v>#REF!</v>
      </c>
      <c r="K651" s="58"/>
      <c r="L651" s="59">
        <v>0</v>
      </c>
      <c r="M651" s="60"/>
      <c r="N651" s="61"/>
      <c r="O651" s="61"/>
      <c r="P651" s="62"/>
      <c r="Q651" s="62"/>
      <c r="R651" s="62"/>
      <c r="S651" s="62"/>
      <c r="T651" s="62"/>
      <c r="U651" s="62"/>
      <c r="V651" s="62"/>
      <c r="W651" s="63"/>
      <c r="X651" s="63"/>
      <c r="Z651" s="64"/>
      <c r="AA651" s="54"/>
      <c r="AB651" s="54"/>
      <c r="AC651" s="54"/>
    </row>
    <row r="652" spans="1:29" ht="60" customHeight="1" x14ac:dyDescent="0.2">
      <c r="A652" s="83" t="s">
        <v>991</v>
      </c>
      <c r="B652" s="74"/>
      <c r="C652" s="66" t="s">
        <v>142</v>
      </c>
      <c r="D652" s="57" t="s">
        <v>48</v>
      </c>
      <c r="E652" s="54" t="s">
        <v>34</v>
      </c>
      <c r="F652" s="67" t="s">
        <v>49</v>
      </c>
      <c r="G652" s="67" t="s">
        <v>68</v>
      </c>
      <c r="H652" s="57" t="s">
        <v>60</v>
      </c>
      <c r="I652" s="67" t="s">
        <v>51</v>
      </c>
      <c r="J652" s="57" t="e">
        <f>ROUND(#REF!*2.4,-1)</f>
        <v>#REF!</v>
      </c>
      <c r="K652" s="58"/>
      <c r="L652" s="59">
        <f>5-2</f>
        <v>3</v>
      </c>
      <c r="M652" s="60"/>
      <c r="N652" s="61"/>
      <c r="O652" s="61"/>
      <c r="P652" s="62"/>
      <c r="Q652" s="62">
        <f>1-1</f>
        <v>0</v>
      </c>
      <c r="R652" s="62">
        <f>1-1</f>
        <v>0</v>
      </c>
      <c r="S652" s="62">
        <f>2-1</f>
        <v>1</v>
      </c>
      <c r="T652" s="62">
        <f>1-1+1</f>
        <v>1</v>
      </c>
      <c r="U652" s="62">
        <f>1</f>
        <v>1</v>
      </c>
      <c r="V652" s="62"/>
      <c r="W652" s="63"/>
      <c r="X652" s="63"/>
      <c r="Z652" s="64"/>
      <c r="AC652" s="54"/>
    </row>
    <row r="653" spans="1:29" ht="60" customHeight="1" x14ac:dyDescent="0.2">
      <c r="A653" s="83" t="s">
        <v>992</v>
      </c>
      <c r="B653" s="74"/>
      <c r="C653" s="66" t="s">
        <v>205</v>
      </c>
      <c r="D653" s="57" t="s">
        <v>48</v>
      </c>
      <c r="E653" s="54" t="s">
        <v>34</v>
      </c>
      <c r="F653" s="67" t="s">
        <v>49</v>
      </c>
      <c r="G653" s="67" t="s">
        <v>68</v>
      </c>
      <c r="H653" s="57" t="s">
        <v>84</v>
      </c>
      <c r="I653" s="67" t="s">
        <v>51</v>
      </c>
      <c r="J653" s="57" t="e">
        <f>ROUND(#REF!*2.4,-1)</f>
        <v>#REF!</v>
      </c>
      <c r="K653" s="58"/>
      <c r="L653" s="59">
        <f>2-1</f>
        <v>1</v>
      </c>
      <c r="M653" s="60"/>
      <c r="N653" s="61"/>
      <c r="O653" s="61"/>
      <c r="P653" s="62"/>
      <c r="Q653" s="62">
        <f>2-2</f>
        <v>0</v>
      </c>
      <c r="R653" s="62">
        <f>1-1</f>
        <v>0</v>
      </c>
      <c r="S653" s="62">
        <f>2-2</f>
        <v>0</v>
      </c>
      <c r="T653" s="62">
        <f>2-2</f>
        <v>0</v>
      </c>
      <c r="U653" s="62">
        <f>2-1</f>
        <v>1</v>
      </c>
      <c r="V653" s="62"/>
      <c r="W653" s="63"/>
      <c r="X653" s="63"/>
      <c r="Z653" s="64"/>
      <c r="AA653" s="54">
        <v>3651019</v>
      </c>
      <c r="AB653" s="54">
        <v>366</v>
      </c>
      <c r="AC653" s="54"/>
    </row>
    <row r="654" spans="1:29" ht="60" hidden="1" customHeight="1" x14ac:dyDescent="0.2">
      <c r="A654" s="83" t="s">
        <v>993</v>
      </c>
      <c r="B654" s="74"/>
      <c r="C654" s="66" t="s">
        <v>441</v>
      </c>
      <c r="D654" s="57" t="s">
        <v>48</v>
      </c>
      <c r="E654" s="54" t="s">
        <v>34</v>
      </c>
      <c r="F654" s="67" t="s">
        <v>49</v>
      </c>
      <c r="G654" s="56" t="s">
        <v>36</v>
      </c>
      <c r="H654" s="57" t="s">
        <v>219</v>
      </c>
      <c r="I654" s="67" t="s">
        <v>51</v>
      </c>
      <c r="J654" s="57" t="e">
        <f>ROUND(#REF!*2.4,-1)</f>
        <v>#REF!</v>
      </c>
      <c r="K654" s="58"/>
      <c r="L654" s="59">
        <f>1-1</f>
        <v>0</v>
      </c>
      <c r="M654" s="60"/>
      <c r="N654" s="61"/>
      <c r="O654" s="61"/>
      <c r="P654" s="62"/>
      <c r="Q654" s="62">
        <f>1-1</f>
        <v>0</v>
      </c>
      <c r="R654" s="62">
        <f>1-1</f>
        <v>0</v>
      </c>
      <c r="S654" s="62">
        <f>1-1</f>
        <v>0</v>
      </c>
      <c r="T654" s="62">
        <f>2-2</f>
        <v>0</v>
      </c>
      <c r="U654" s="62">
        <f>1-1</f>
        <v>0</v>
      </c>
      <c r="V654" s="62"/>
      <c r="W654" s="63"/>
      <c r="X654" s="63"/>
      <c r="Z654" s="64"/>
      <c r="AA654" s="54"/>
      <c r="AB654" s="54"/>
      <c r="AC654" s="54"/>
    </row>
    <row r="655" spans="1:29" ht="60" hidden="1" customHeight="1" x14ac:dyDescent="0.2">
      <c r="A655" s="83" t="s">
        <v>994</v>
      </c>
      <c r="B655" s="74"/>
      <c r="C655" s="87" t="s">
        <v>594</v>
      </c>
      <c r="D655" s="57" t="s">
        <v>48</v>
      </c>
      <c r="E655" s="54" t="s">
        <v>34</v>
      </c>
      <c r="F655" s="67" t="s">
        <v>49</v>
      </c>
      <c r="G655" s="67" t="s">
        <v>68</v>
      </c>
      <c r="H655" s="57" t="s">
        <v>103</v>
      </c>
      <c r="I655" s="67" t="s">
        <v>51</v>
      </c>
      <c r="J655" s="57" t="e">
        <f>ROUND(#REF!*2.4,-1)</f>
        <v>#REF!</v>
      </c>
      <c r="K655" s="58"/>
      <c r="L655" s="59">
        <f>1-1</f>
        <v>0</v>
      </c>
      <c r="M655" s="60"/>
      <c r="N655" s="61"/>
      <c r="O655" s="61"/>
      <c r="P655" s="62"/>
      <c r="Q655" s="62">
        <f>1-1</f>
        <v>0</v>
      </c>
      <c r="R655" s="62">
        <v>0</v>
      </c>
      <c r="S655" s="62">
        <f>5-5</f>
        <v>0</v>
      </c>
      <c r="T655" s="62">
        <f>5-5</f>
        <v>0</v>
      </c>
      <c r="U655" s="62">
        <v>0</v>
      </c>
      <c r="V655" s="62"/>
      <c r="W655" s="63"/>
      <c r="X655" s="63"/>
      <c r="Z655" s="64"/>
      <c r="AA655" s="54">
        <v>3681027</v>
      </c>
      <c r="AB655" s="54">
        <v>393</v>
      </c>
      <c r="AC655" s="54"/>
    </row>
    <row r="656" spans="1:29" ht="60" hidden="1" customHeight="1" x14ac:dyDescent="0.2">
      <c r="A656" s="69" t="s">
        <v>995</v>
      </c>
      <c r="B656" s="74"/>
      <c r="C656" s="66" t="s">
        <v>170</v>
      </c>
      <c r="D656" s="57" t="s">
        <v>48</v>
      </c>
      <c r="E656" s="54" t="s">
        <v>34</v>
      </c>
      <c r="F656" s="67" t="s">
        <v>49</v>
      </c>
      <c r="G656" s="67" t="s">
        <v>68</v>
      </c>
      <c r="H656" s="57" t="s">
        <v>37</v>
      </c>
      <c r="I656" s="67" t="s">
        <v>51</v>
      </c>
      <c r="J656" s="57" t="e">
        <f>ROUND(#REF!*2.4,-1)</f>
        <v>#REF!</v>
      </c>
      <c r="K656" s="58"/>
      <c r="L656" s="59">
        <v>0</v>
      </c>
      <c r="M656" s="60"/>
      <c r="N656" s="61"/>
      <c r="O656" s="61"/>
      <c r="P656" s="62"/>
      <c r="Q656" s="62"/>
      <c r="R656" s="62"/>
      <c r="S656" s="62"/>
      <c r="T656" s="62"/>
      <c r="U656" s="62"/>
      <c r="V656" s="62"/>
      <c r="W656" s="63"/>
      <c r="X656" s="63"/>
      <c r="Z656" s="64"/>
      <c r="AA656" s="54"/>
      <c r="AB656" s="54"/>
      <c r="AC656" s="54"/>
    </row>
    <row r="657" spans="1:29" ht="60" hidden="1" customHeight="1" x14ac:dyDescent="0.2">
      <c r="A657" s="69" t="s">
        <v>996</v>
      </c>
      <c r="B657" s="74"/>
      <c r="C657" s="66" t="s">
        <v>997</v>
      </c>
      <c r="D657" s="57" t="s">
        <v>48</v>
      </c>
      <c r="E657" s="54" t="s">
        <v>34</v>
      </c>
      <c r="F657" s="67" t="s">
        <v>49</v>
      </c>
      <c r="G657" s="67" t="s">
        <v>68</v>
      </c>
      <c r="H657" s="57" t="s">
        <v>37</v>
      </c>
      <c r="I657" s="67" t="s">
        <v>51</v>
      </c>
      <c r="J657" s="57" t="e">
        <f>ROUND(#REF!*2.4,-1)</f>
        <v>#REF!</v>
      </c>
      <c r="K657" s="58"/>
      <c r="L657" s="59">
        <v>0</v>
      </c>
      <c r="M657" s="60"/>
      <c r="N657" s="61"/>
      <c r="O657" s="61"/>
      <c r="P657" s="62"/>
      <c r="Q657" s="62"/>
      <c r="R657" s="62"/>
      <c r="S657" s="62"/>
      <c r="T657" s="62"/>
      <c r="U657" s="62"/>
      <c r="V657" s="62"/>
      <c r="W657" s="63"/>
      <c r="X657" s="63"/>
      <c r="Z657" s="64"/>
      <c r="AA657" s="54"/>
      <c r="AB657" s="54"/>
      <c r="AC657" s="54"/>
    </row>
    <row r="658" spans="1:29" ht="60" hidden="1" customHeight="1" x14ac:dyDescent="0.2">
      <c r="A658" s="69" t="s">
        <v>998</v>
      </c>
      <c r="B658" s="74"/>
      <c r="C658" s="66" t="s">
        <v>999</v>
      </c>
      <c r="D658" s="57" t="s">
        <v>48</v>
      </c>
      <c r="E658" s="54" t="s">
        <v>34</v>
      </c>
      <c r="F658" s="67" t="s">
        <v>49</v>
      </c>
      <c r="G658" s="67" t="s">
        <v>68</v>
      </c>
      <c r="H658" s="57" t="s">
        <v>378</v>
      </c>
      <c r="I658" s="67" t="s">
        <v>51</v>
      </c>
      <c r="J658" s="57" t="e">
        <f>ROUND(#REF!*2.4,-1)</f>
        <v>#REF!</v>
      </c>
      <c r="K658" s="58"/>
      <c r="L658" s="59">
        <v>0</v>
      </c>
      <c r="M658" s="60"/>
      <c r="N658" s="61"/>
      <c r="O658" s="61"/>
      <c r="P658" s="62"/>
      <c r="Q658" s="62"/>
      <c r="R658" s="62"/>
      <c r="S658" s="62"/>
      <c r="T658" s="62"/>
      <c r="U658" s="62"/>
      <c r="V658" s="62"/>
      <c r="W658" s="63"/>
      <c r="X658" s="63"/>
      <c r="Z658" s="64"/>
      <c r="AA658" s="54"/>
      <c r="AB658" s="54"/>
      <c r="AC658" s="54"/>
    </row>
    <row r="659" spans="1:29" ht="60" hidden="1" customHeight="1" x14ac:dyDescent="0.2">
      <c r="A659" s="69" t="s">
        <v>1000</v>
      </c>
      <c r="B659" s="74"/>
      <c r="C659" s="66" t="s">
        <v>527</v>
      </c>
      <c r="D659" s="57" t="s">
        <v>48</v>
      </c>
      <c r="E659" s="54" t="s">
        <v>34</v>
      </c>
      <c r="F659" s="67" t="s">
        <v>49</v>
      </c>
      <c r="G659" s="56" t="s">
        <v>36</v>
      </c>
      <c r="H659" s="57" t="s">
        <v>344</v>
      </c>
      <c r="I659" s="67" t="s">
        <v>51</v>
      </c>
      <c r="J659" s="57" t="e">
        <f>ROUND(#REF!*2.4,-1)</f>
        <v>#REF!</v>
      </c>
      <c r="K659" s="58"/>
      <c r="L659" s="59">
        <f>1-1</f>
        <v>0</v>
      </c>
      <c r="M659" s="60"/>
      <c r="N659" s="61"/>
      <c r="O659" s="61"/>
      <c r="P659" s="62"/>
      <c r="Q659" s="62">
        <f>1-1</f>
        <v>0</v>
      </c>
      <c r="R659" s="62"/>
      <c r="S659" s="62"/>
      <c r="T659" s="62"/>
      <c r="U659" s="62"/>
      <c r="V659" s="62"/>
      <c r="W659" s="63"/>
      <c r="X659" s="63"/>
      <c r="Z659" s="64"/>
      <c r="AA659" s="54"/>
      <c r="AB659" s="54"/>
      <c r="AC659" s="54"/>
    </row>
    <row r="660" spans="1:29" ht="60" customHeight="1" x14ac:dyDescent="0.2">
      <c r="A660" s="69" t="s">
        <v>1001</v>
      </c>
      <c r="B660" s="74"/>
      <c r="C660" s="66" t="s">
        <v>384</v>
      </c>
      <c r="D660" s="53" t="s">
        <v>58</v>
      </c>
      <c r="E660" s="54" t="s">
        <v>34</v>
      </c>
      <c r="F660" s="55" t="s">
        <v>382</v>
      </c>
      <c r="G660" s="56" t="s">
        <v>36</v>
      </c>
      <c r="H660" s="57" t="s">
        <v>123</v>
      </c>
      <c r="I660" s="55" t="s">
        <v>51</v>
      </c>
      <c r="J660" s="57">
        <v>480</v>
      </c>
      <c r="K660" s="58"/>
      <c r="L660" s="59">
        <f>2-2+2</f>
        <v>2</v>
      </c>
      <c r="M660" s="60"/>
      <c r="N660" s="61"/>
      <c r="O660" s="61"/>
      <c r="P660" s="62">
        <f>1-1+1</f>
        <v>1</v>
      </c>
      <c r="Q660" s="62">
        <f>1-1</f>
        <v>0</v>
      </c>
      <c r="R660" s="62">
        <f>1-1+1</f>
        <v>1</v>
      </c>
      <c r="S660" s="62">
        <f>2-2</f>
        <v>0</v>
      </c>
      <c r="T660" s="62">
        <f t="shared" ref="T660:T665" si="62">1-1</f>
        <v>0</v>
      </c>
      <c r="U660" s="62"/>
      <c r="V660" s="62"/>
      <c r="W660" s="63"/>
      <c r="X660" s="63"/>
      <c r="Z660" s="64"/>
      <c r="AA660" s="54"/>
      <c r="AB660" s="54"/>
      <c r="AC660" s="54"/>
    </row>
    <row r="661" spans="1:29" ht="60" customHeight="1" x14ac:dyDescent="0.2">
      <c r="A661" s="69" t="s">
        <v>1002</v>
      </c>
      <c r="B661" s="74"/>
      <c r="C661" s="54" t="s">
        <v>390</v>
      </c>
      <c r="D661" s="53" t="s">
        <v>58</v>
      </c>
      <c r="E661" s="54" t="s">
        <v>34</v>
      </c>
      <c r="F661" s="55" t="s">
        <v>382</v>
      </c>
      <c r="G661" s="56" t="s">
        <v>36</v>
      </c>
      <c r="H661" s="57" t="s">
        <v>123</v>
      </c>
      <c r="I661" s="55" t="s">
        <v>51</v>
      </c>
      <c r="J661" s="57">
        <v>480</v>
      </c>
      <c r="K661" s="58"/>
      <c r="L661" s="59">
        <f>1-1+1</f>
        <v>1</v>
      </c>
      <c r="M661" s="60"/>
      <c r="N661" s="61"/>
      <c r="O661" s="61"/>
      <c r="P661" s="62">
        <f>1-1</f>
        <v>0</v>
      </c>
      <c r="Q661" s="62">
        <f>1-1+1</f>
        <v>1</v>
      </c>
      <c r="R661" s="62">
        <f t="shared" ref="R661:T662" si="63">1-1</f>
        <v>0</v>
      </c>
      <c r="S661" s="62">
        <f t="shared" si="63"/>
        <v>0</v>
      </c>
      <c r="T661" s="62">
        <f t="shared" si="63"/>
        <v>0</v>
      </c>
      <c r="U661" s="62"/>
      <c r="V661" s="62"/>
      <c r="W661" s="63"/>
      <c r="X661" s="63"/>
      <c r="Z661" s="64"/>
      <c r="AA661" s="54"/>
      <c r="AB661" s="54"/>
      <c r="AC661" s="54"/>
    </row>
    <row r="662" spans="1:29" ht="60" customHeight="1" x14ac:dyDescent="0.2">
      <c r="A662" s="69" t="s">
        <v>1003</v>
      </c>
      <c r="B662" s="74"/>
      <c r="C662" s="66" t="s">
        <v>601</v>
      </c>
      <c r="D662" s="53" t="s">
        <v>58</v>
      </c>
      <c r="E662" s="54" t="s">
        <v>34</v>
      </c>
      <c r="F662" s="55" t="s">
        <v>382</v>
      </c>
      <c r="G662" s="56" t="s">
        <v>36</v>
      </c>
      <c r="H662" s="57" t="s">
        <v>123</v>
      </c>
      <c r="I662" s="55" t="s">
        <v>51</v>
      </c>
      <c r="J662" s="57">
        <v>480</v>
      </c>
      <c r="K662" s="58"/>
      <c r="L662" s="59">
        <f>12-2</f>
        <v>10</v>
      </c>
      <c r="M662" s="60"/>
      <c r="N662" s="61"/>
      <c r="O662" s="61"/>
      <c r="P662" s="62">
        <f>9-1</f>
        <v>8</v>
      </c>
      <c r="Q662" s="62">
        <f>3-1</f>
        <v>2</v>
      </c>
      <c r="R662" s="62">
        <f t="shared" si="63"/>
        <v>0</v>
      </c>
      <c r="S662" s="62">
        <f t="shared" si="63"/>
        <v>0</v>
      </c>
      <c r="T662" s="62">
        <f t="shared" si="63"/>
        <v>0</v>
      </c>
      <c r="U662" s="62"/>
      <c r="V662" s="62"/>
      <c r="W662" s="63"/>
      <c r="X662" s="63"/>
      <c r="Z662" s="64"/>
      <c r="AA662" s="54"/>
      <c r="AB662" s="54"/>
      <c r="AC662" s="54"/>
    </row>
    <row r="663" spans="1:29" ht="60" hidden="1" customHeight="1" x14ac:dyDescent="0.2">
      <c r="A663" s="69" t="s">
        <v>1004</v>
      </c>
      <c r="B663" s="74"/>
      <c r="C663" s="66" t="s">
        <v>142</v>
      </c>
      <c r="D663" s="53" t="s">
        <v>58</v>
      </c>
      <c r="E663" s="54" t="s">
        <v>34</v>
      </c>
      <c r="F663" s="55" t="s">
        <v>382</v>
      </c>
      <c r="G663" s="67" t="s">
        <v>50</v>
      </c>
      <c r="H663" s="57" t="s">
        <v>123</v>
      </c>
      <c r="I663" s="55" t="s">
        <v>51</v>
      </c>
      <c r="J663" s="57" t="e">
        <f>ROUND(#REF!*2.4,-1)</f>
        <v>#REF!</v>
      </c>
      <c r="K663" s="58"/>
      <c r="L663" s="59">
        <f>1-1</f>
        <v>0</v>
      </c>
      <c r="M663" s="60"/>
      <c r="N663" s="61"/>
      <c r="O663" s="61"/>
      <c r="P663" s="62">
        <f>1-1</f>
        <v>0</v>
      </c>
      <c r="Q663" s="62">
        <f>1-1</f>
        <v>0</v>
      </c>
      <c r="R663" s="62">
        <f>1-1</f>
        <v>0</v>
      </c>
      <c r="S663" s="62">
        <f>2-2</f>
        <v>0</v>
      </c>
      <c r="T663" s="62">
        <f t="shared" si="62"/>
        <v>0</v>
      </c>
      <c r="U663" s="62"/>
      <c r="V663" s="62"/>
      <c r="W663" s="63"/>
      <c r="X663" s="63"/>
      <c r="Z663" s="64"/>
      <c r="AA663" s="54"/>
      <c r="AB663" s="54"/>
      <c r="AC663" s="54"/>
    </row>
    <row r="664" spans="1:29" ht="60" hidden="1" customHeight="1" x14ac:dyDescent="0.2">
      <c r="A664" s="50" t="s">
        <v>1005</v>
      </c>
      <c r="B664" s="74"/>
      <c r="C664" s="66" t="s">
        <v>120</v>
      </c>
      <c r="D664" s="53" t="s">
        <v>58</v>
      </c>
      <c r="E664" s="54" t="s">
        <v>34</v>
      </c>
      <c r="F664" s="55" t="s">
        <v>382</v>
      </c>
      <c r="G664" s="67" t="s">
        <v>50</v>
      </c>
      <c r="H664" s="57" t="s">
        <v>123</v>
      </c>
      <c r="I664" s="55" t="s">
        <v>51</v>
      </c>
      <c r="J664" s="57" t="e">
        <f>ROUND(#REF!*2.4,-1)</f>
        <v>#REF!</v>
      </c>
      <c r="K664" s="58"/>
      <c r="L664" s="59">
        <f>1-1</f>
        <v>0</v>
      </c>
      <c r="M664" s="80"/>
      <c r="N664" s="61"/>
      <c r="O664" s="61"/>
      <c r="P664" s="63">
        <f>1-1</f>
        <v>0</v>
      </c>
      <c r="Q664" s="63">
        <f>1-1</f>
        <v>0</v>
      </c>
      <c r="R664" s="63">
        <f>4-4</f>
        <v>0</v>
      </c>
      <c r="S664" s="63">
        <f>5-5</f>
        <v>0</v>
      </c>
      <c r="T664" s="63">
        <f t="shared" si="62"/>
        <v>0</v>
      </c>
      <c r="U664" s="63"/>
      <c r="V664" s="63"/>
      <c r="W664" s="63"/>
      <c r="X664" s="63"/>
      <c r="Z664" s="64"/>
      <c r="AA664" s="54"/>
      <c r="AB664" s="54"/>
      <c r="AC664" s="54"/>
    </row>
    <row r="665" spans="1:29" ht="60" hidden="1" customHeight="1" x14ac:dyDescent="0.2">
      <c r="A665" s="69" t="s">
        <v>1006</v>
      </c>
      <c r="B665" s="74"/>
      <c r="C665" s="66" t="s">
        <v>456</v>
      </c>
      <c r="D665" s="53" t="s">
        <v>58</v>
      </c>
      <c r="E665" s="54" t="s">
        <v>34</v>
      </c>
      <c r="F665" s="55" t="s">
        <v>382</v>
      </c>
      <c r="G665" s="56" t="s">
        <v>36</v>
      </c>
      <c r="H665" s="57" t="s">
        <v>84</v>
      </c>
      <c r="I665" s="55" t="s">
        <v>51</v>
      </c>
      <c r="J665" s="57" t="e">
        <f>ROUND(#REF!*2.4,-1)</f>
        <v>#REF!</v>
      </c>
      <c r="K665" s="58"/>
      <c r="L665" s="59">
        <f>9-9</f>
        <v>0</v>
      </c>
      <c r="M665" s="60"/>
      <c r="N665" s="61"/>
      <c r="O665" s="61"/>
      <c r="P665" s="62">
        <f>1-1</f>
        <v>0</v>
      </c>
      <c r="Q665" s="62">
        <f>2-2</f>
        <v>0</v>
      </c>
      <c r="R665" s="62">
        <f>2-2</f>
        <v>0</v>
      </c>
      <c r="S665" s="62">
        <f>5-5</f>
        <v>0</v>
      </c>
      <c r="T665" s="62">
        <f t="shared" si="62"/>
        <v>0</v>
      </c>
      <c r="U665" s="62"/>
      <c r="V665" s="62"/>
      <c r="W665" s="63"/>
      <c r="X665" s="63"/>
      <c r="Z665" s="64"/>
      <c r="AA665" s="54"/>
      <c r="AB665" s="54"/>
      <c r="AC665" s="54"/>
    </row>
    <row r="666" spans="1:29" ht="60" hidden="1" customHeight="1" x14ac:dyDescent="0.2">
      <c r="A666" s="69" t="s">
        <v>1007</v>
      </c>
      <c r="B666" s="74"/>
      <c r="C666" s="87" t="s">
        <v>594</v>
      </c>
      <c r="D666" s="53" t="s">
        <v>58</v>
      </c>
      <c r="E666" s="54" t="s">
        <v>34</v>
      </c>
      <c r="F666" s="55" t="s">
        <v>382</v>
      </c>
      <c r="G666" s="56" t="s">
        <v>36</v>
      </c>
      <c r="H666" s="57" t="s">
        <v>84</v>
      </c>
      <c r="I666" s="55" t="s">
        <v>51</v>
      </c>
      <c r="J666" s="57" t="e">
        <f>ROUND(#REF!*2.4,-1)</f>
        <v>#REF!</v>
      </c>
      <c r="K666" s="58"/>
      <c r="L666" s="59">
        <f>2-2</f>
        <v>0</v>
      </c>
      <c r="M666" s="60"/>
      <c r="N666" s="61"/>
      <c r="O666" s="61"/>
      <c r="P666" s="62"/>
      <c r="Q666" s="62"/>
      <c r="R666" s="62">
        <f>1-1</f>
        <v>0</v>
      </c>
      <c r="S666" s="62">
        <f>1-1</f>
        <v>0</v>
      </c>
      <c r="T666" s="62"/>
      <c r="U666" s="62"/>
      <c r="V666" s="62"/>
      <c r="W666" s="63"/>
      <c r="X666" s="63"/>
      <c r="Z666" s="64"/>
      <c r="AA666" s="54"/>
      <c r="AB666" s="54"/>
      <c r="AC666" s="54"/>
    </row>
    <row r="667" spans="1:29" ht="60" customHeight="1" x14ac:dyDescent="0.2">
      <c r="A667" s="69" t="s">
        <v>1008</v>
      </c>
      <c r="B667" s="74"/>
      <c r="C667" s="87" t="s">
        <v>451</v>
      </c>
      <c r="D667" s="53" t="s">
        <v>58</v>
      </c>
      <c r="E667" s="54" t="s">
        <v>34</v>
      </c>
      <c r="F667" s="55" t="s">
        <v>382</v>
      </c>
      <c r="G667" s="56" t="s">
        <v>36</v>
      </c>
      <c r="H667" s="57" t="s">
        <v>84</v>
      </c>
      <c r="I667" s="55" t="s">
        <v>51</v>
      </c>
      <c r="J667" s="57" t="e">
        <f>ROUND(#REF!*2.4,-1)</f>
        <v>#REF!</v>
      </c>
      <c r="K667" s="58"/>
      <c r="L667" s="59">
        <f>3-2</f>
        <v>1</v>
      </c>
      <c r="M667" s="60"/>
      <c r="N667" s="61"/>
      <c r="O667" s="61"/>
      <c r="P667" s="62">
        <f>2-1</f>
        <v>1</v>
      </c>
      <c r="Q667" s="62">
        <f>1-1</f>
        <v>0</v>
      </c>
      <c r="R667" s="62">
        <f>1-1</f>
        <v>0</v>
      </c>
      <c r="S667" s="62">
        <f>1-1</f>
        <v>0</v>
      </c>
      <c r="T667" s="62">
        <f>2-2</f>
        <v>0</v>
      </c>
      <c r="U667" s="62"/>
      <c r="V667" s="62"/>
      <c r="W667" s="63"/>
      <c r="X667" s="63"/>
      <c r="Z667" s="64"/>
      <c r="AA667" s="54">
        <v>3840249</v>
      </c>
      <c r="AB667" s="54">
        <v>438</v>
      </c>
      <c r="AC667" s="54"/>
    </row>
    <row r="668" spans="1:29" ht="60" hidden="1" customHeight="1" x14ac:dyDescent="0.2">
      <c r="A668" s="69" t="s">
        <v>1009</v>
      </c>
      <c r="B668" s="74"/>
      <c r="C668" s="66" t="s">
        <v>441</v>
      </c>
      <c r="D668" s="53" t="s">
        <v>58</v>
      </c>
      <c r="E668" s="54" t="s">
        <v>34</v>
      </c>
      <c r="F668" s="55" t="s">
        <v>382</v>
      </c>
      <c r="G668" s="67" t="s">
        <v>50</v>
      </c>
      <c r="H668" s="57" t="s">
        <v>661</v>
      </c>
      <c r="I668" s="55" t="s">
        <v>51</v>
      </c>
      <c r="J668" s="57" t="e">
        <f>ROUND(#REF!*2.4,-1)</f>
        <v>#REF!</v>
      </c>
      <c r="K668" s="58"/>
      <c r="L668" s="59">
        <f>1-1</f>
        <v>0</v>
      </c>
      <c r="M668" s="60"/>
      <c r="N668" s="61"/>
      <c r="O668" s="61"/>
      <c r="P668" s="62">
        <f>1-1</f>
        <v>0</v>
      </c>
      <c r="Q668" s="62">
        <f>1-1</f>
        <v>0</v>
      </c>
      <c r="R668" s="62"/>
      <c r="S668" s="62"/>
      <c r="T668" s="62"/>
      <c r="U668" s="62"/>
      <c r="V668" s="62"/>
      <c r="W668" s="63"/>
      <c r="X668" s="63"/>
      <c r="Z668" s="64"/>
      <c r="AC668" s="54"/>
    </row>
    <row r="669" spans="1:29" ht="60" customHeight="1" x14ac:dyDescent="0.2">
      <c r="A669" s="69" t="s">
        <v>1010</v>
      </c>
      <c r="B669" s="74"/>
      <c r="C669" s="66" t="s">
        <v>449</v>
      </c>
      <c r="D669" s="53" t="s">
        <v>58</v>
      </c>
      <c r="E669" s="54" t="s">
        <v>34</v>
      </c>
      <c r="F669" s="55" t="s">
        <v>382</v>
      </c>
      <c r="G669" s="56" t="s">
        <v>36</v>
      </c>
      <c r="H669" s="57" t="s">
        <v>84</v>
      </c>
      <c r="I669" s="55" t="s">
        <v>51</v>
      </c>
      <c r="J669" s="57" t="e">
        <f>ROUND(#REF!*2.4,-1)</f>
        <v>#REF!</v>
      </c>
      <c r="K669" s="58"/>
      <c r="L669" s="59">
        <f>5-4</f>
        <v>1</v>
      </c>
      <c r="M669" s="60"/>
      <c r="N669" s="61"/>
      <c r="O669" s="61"/>
      <c r="P669" s="62">
        <f>1-1</f>
        <v>0</v>
      </c>
      <c r="Q669" s="62">
        <f>2-1</f>
        <v>1</v>
      </c>
      <c r="R669" s="62">
        <f>1-1</f>
        <v>0</v>
      </c>
      <c r="S669" s="62">
        <f>1-1</f>
        <v>0</v>
      </c>
      <c r="T669" s="62"/>
      <c r="U669" s="62"/>
      <c r="V669" s="62"/>
      <c r="W669" s="63"/>
      <c r="X669" s="63"/>
      <c r="Z669" s="64"/>
      <c r="AA669" s="54"/>
      <c r="AB669" s="54"/>
      <c r="AC669" s="54"/>
    </row>
    <row r="670" spans="1:29" ht="60" hidden="1" customHeight="1" x14ac:dyDescent="0.2">
      <c r="A670" s="69" t="s">
        <v>1011</v>
      </c>
      <c r="B670" s="74"/>
      <c r="C670" s="66" t="s">
        <v>1012</v>
      </c>
      <c r="D670" s="53" t="s">
        <v>58</v>
      </c>
      <c r="E670" s="54" t="s">
        <v>34</v>
      </c>
      <c r="F670" s="55" t="s">
        <v>382</v>
      </c>
      <c r="G670" s="56" t="s">
        <v>36</v>
      </c>
      <c r="H670" s="57" t="s">
        <v>128</v>
      </c>
      <c r="I670" s="55" t="s">
        <v>51</v>
      </c>
      <c r="J670" s="57" t="e">
        <f>ROUND(#REF!*2.4,-1)</f>
        <v>#REF!</v>
      </c>
      <c r="K670" s="58"/>
      <c r="L670" s="59">
        <f>1-1</f>
        <v>0</v>
      </c>
      <c r="M670" s="60"/>
      <c r="N670" s="61"/>
      <c r="O670" s="61"/>
      <c r="P670" s="62">
        <f>1-1</f>
        <v>0</v>
      </c>
      <c r="Q670" s="62">
        <f t="shared" ref="Q670:S672" si="64">1-1</f>
        <v>0</v>
      </c>
      <c r="R670" s="62">
        <f>1-1</f>
        <v>0</v>
      </c>
      <c r="S670" s="62">
        <f>1-1</f>
        <v>0</v>
      </c>
      <c r="T670" s="62"/>
      <c r="U670" s="62"/>
      <c r="V670" s="62"/>
      <c r="W670" s="63"/>
      <c r="X670" s="63"/>
      <c r="Z670" s="64"/>
      <c r="AA670" s="54"/>
      <c r="AB670" s="54"/>
      <c r="AC670" s="54"/>
    </row>
    <row r="671" spans="1:29" ht="60" hidden="1" customHeight="1" x14ac:dyDescent="0.2">
      <c r="A671" s="69" t="s">
        <v>1013</v>
      </c>
      <c r="B671" s="74"/>
      <c r="C671" s="66" t="s">
        <v>384</v>
      </c>
      <c r="D671" s="53" t="s">
        <v>58</v>
      </c>
      <c r="E671" s="54" t="s">
        <v>34</v>
      </c>
      <c r="F671" s="55" t="s">
        <v>382</v>
      </c>
      <c r="G671" s="56" t="s">
        <v>36</v>
      </c>
      <c r="H671" s="57" t="s">
        <v>661</v>
      </c>
      <c r="I671" s="55" t="s">
        <v>51</v>
      </c>
      <c r="J671" s="57" t="e">
        <f>ROUND(#REF!*2.4,-1)</f>
        <v>#REF!</v>
      </c>
      <c r="K671" s="58"/>
      <c r="L671" s="59">
        <f>1-1</f>
        <v>0</v>
      </c>
      <c r="M671" s="60"/>
      <c r="N671" s="61"/>
      <c r="O671" s="61"/>
      <c r="P671" s="62">
        <f>1-1</f>
        <v>0</v>
      </c>
      <c r="Q671" s="62">
        <f>1-1</f>
        <v>0</v>
      </c>
      <c r="R671" s="62">
        <f>1-1+1-1</f>
        <v>0</v>
      </c>
      <c r="S671" s="62">
        <f>1-1</f>
        <v>0</v>
      </c>
      <c r="T671" s="62">
        <f>1-1</f>
        <v>0</v>
      </c>
      <c r="U671" s="62"/>
      <c r="V671" s="62"/>
      <c r="W671" s="63"/>
      <c r="X671" s="63"/>
      <c r="Z671" s="64"/>
      <c r="AA671" s="54"/>
      <c r="AB671" s="54"/>
      <c r="AC671" s="54"/>
    </row>
    <row r="672" spans="1:29" ht="60" hidden="1" customHeight="1" x14ac:dyDescent="0.2">
      <c r="A672" s="69" t="s">
        <v>1014</v>
      </c>
      <c r="B672" s="74"/>
      <c r="C672" s="66" t="s">
        <v>142</v>
      </c>
      <c r="D672" s="53" t="s">
        <v>58</v>
      </c>
      <c r="E672" s="54" t="s">
        <v>34</v>
      </c>
      <c r="F672" s="55" t="s">
        <v>382</v>
      </c>
      <c r="G672" s="67" t="s">
        <v>50</v>
      </c>
      <c r="H672" s="57" t="s">
        <v>661</v>
      </c>
      <c r="I672" s="55" t="s">
        <v>51</v>
      </c>
      <c r="J672" s="57" t="e">
        <f>ROUND(#REF!*2.4,-1)</f>
        <v>#REF!</v>
      </c>
      <c r="K672" s="58"/>
      <c r="L672" s="59">
        <f>3-3</f>
        <v>0</v>
      </c>
      <c r="M672" s="60"/>
      <c r="N672" s="61"/>
      <c r="O672" s="61"/>
      <c r="P672" s="62">
        <f>1-1</f>
        <v>0</v>
      </c>
      <c r="Q672" s="62">
        <f t="shared" si="64"/>
        <v>0</v>
      </c>
      <c r="R672" s="62">
        <f t="shared" si="64"/>
        <v>0</v>
      </c>
      <c r="S672" s="62">
        <f t="shared" si="64"/>
        <v>0</v>
      </c>
      <c r="T672" s="62"/>
      <c r="U672" s="62"/>
      <c r="V672" s="62"/>
      <c r="W672" s="63"/>
      <c r="X672" s="63"/>
      <c r="Z672" s="64"/>
      <c r="AA672" s="54"/>
      <c r="AB672" s="54"/>
      <c r="AC672" s="54"/>
    </row>
    <row r="673" spans="1:29" ht="60" hidden="1" customHeight="1" x14ac:dyDescent="0.2">
      <c r="A673" s="69" t="s">
        <v>1015</v>
      </c>
      <c r="B673" s="74"/>
      <c r="C673" s="66" t="s">
        <v>358</v>
      </c>
      <c r="D673" s="53" t="s">
        <v>58</v>
      </c>
      <c r="E673" s="54" t="s">
        <v>34</v>
      </c>
      <c r="F673" s="55" t="s">
        <v>382</v>
      </c>
      <c r="G673" s="67" t="s">
        <v>50</v>
      </c>
      <c r="H673" s="57" t="s">
        <v>378</v>
      </c>
      <c r="I673" s="55" t="s">
        <v>51</v>
      </c>
      <c r="J673" s="57" t="e">
        <f>ROUND(#REF!*2.4,-1)</f>
        <v>#REF!</v>
      </c>
      <c r="K673" s="58"/>
      <c r="L673" s="59">
        <v>0</v>
      </c>
      <c r="M673" s="60"/>
      <c r="N673" s="61"/>
      <c r="O673" s="61"/>
      <c r="P673" s="62"/>
      <c r="Q673" s="62"/>
      <c r="R673" s="62"/>
      <c r="S673" s="62"/>
      <c r="T673" s="62"/>
      <c r="U673" s="62"/>
      <c r="V673" s="62"/>
      <c r="W673" s="63"/>
      <c r="X673" s="63"/>
      <c r="Z673" s="64"/>
      <c r="AA673" s="54"/>
      <c r="AB673" s="54"/>
      <c r="AC673" s="54"/>
    </row>
    <row r="674" spans="1:29" ht="60" hidden="1" customHeight="1" x14ac:dyDescent="0.2">
      <c r="A674" s="69" t="s">
        <v>1016</v>
      </c>
      <c r="B674" s="74"/>
      <c r="C674" s="66" t="s">
        <v>531</v>
      </c>
      <c r="D674" s="53" t="s">
        <v>58</v>
      </c>
      <c r="E674" s="54" t="s">
        <v>34</v>
      </c>
      <c r="F674" s="55" t="s">
        <v>382</v>
      </c>
      <c r="G674" s="67" t="s">
        <v>50</v>
      </c>
      <c r="H674" s="57" t="s">
        <v>378</v>
      </c>
      <c r="I674" s="55" t="s">
        <v>51</v>
      </c>
      <c r="J674" s="57" t="e">
        <f>ROUND(#REF!*2.4,-1)</f>
        <v>#REF!</v>
      </c>
      <c r="K674" s="58"/>
      <c r="L674" s="59">
        <v>0</v>
      </c>
      <c r="M674" s="60"/>
      <c r="N674" s="61"/>
      <c r="O674" s="61"/>
      <c r="P674" s="62"/>
      <c r="Q674" s="62"/>
      <c r="R674" s="62"/>
      <c r="S674" s="62"/>
      <c r="T674" s="62"/>
      <c r="U674" s="62"/>
      <c r="V674" s="62"/>
      <c r="W674" s="63"/>
      <c r="X674" s="63"/>
      <c r="Z674" s="64"/>
      <c r="AA674" s="54"/>
      <c r="AB674" s="54"/>
      <c r="AC674" s="54"/>
    </row>
    <row r="675" spans="1:29" ht="60" customHeight="1" x14ac:dyDescent="0.2">
      <c r="A675" s="69" t="s">
        <v>1017</v>
      </c>
      <c r="B675" s="70"/>
      <c r="C675" s="66" t="s">
        <v>40</v>
      </c>
      <c r="D675" s="53" t="s">
        <v>33</v>
      </c>
      <c r="E675" s="54" t="s">
        <v>34</v>
      </c>
      <c r="F675" s="55" t="s">
        <v>785</v>
      </c>
      <c r="G675" s="56" t="s">
        <v>36</v>
      </c>
      <c r="H675" s="57" t="s">
        <v>37</v>
      </c>
      <c r="I675" s="86" t="s">
        <v>288</v>
      </c>
      <c r="J675" s="57" t="e">
        <f>ROUND(#REF!*2.4,-1)</f>
        <v>#REF!</v>
      </c>
      <c r="K675" s="58"/>
      <c r="L675" s="59">
        <f>2-1</f>
        <v>1</v>
      </c>
      <c r="M675" s="60"/>
      <c r="N675" s="61"/>
      <c r="O675" s="61"/>
      <c r="P675" s="62">
        <f>2-1</f>
        <v>1</v>
      </c>
      <c r="Q675" s="62">
        <f>1-1</f>
        <v>0</v>
      </c>
      <c r="R675" s="62">
        <f>2-1-1</f>
        <v>0</v>
      </c>
      <c r="S675" s="62">
        <f>1-1</f>
        <v>0</v>
      </c>
      <c r="T675" s="62"/>
      <c r="U675" s="62"/>
      <c r="V675" s="62"/>
      <c r="W675" s="63"/>
      <c r="X675" s="63"/>
      <c r="Z675" s="64"/>
      <c r="AA675" s="54"/>
      <c r="AB675" s="54"/>
      <c r="AC675" s="54"/>
    </row>
    <row r="676" spans="1:29" ht="60" hidden="1" customHeight="1" x14ac:dyDescent="0.2">
      <c r="A676" s="69" t="s">
        <v>1018</v>
      </c>
      <c r="B676" s="74"/>
      <c r="C676" s="66" t="s">
        <v>115</v>
      </c>
      <c r="D676" s="53" t="s">
        <v>33</v>
      </c>
      <c r="E676" s="54" t="s">
        <v>34</v>
      </c>
      <c r="F676" s="55" t="s">
        <v>785</v>
      </c>
      <c r="G676" s="67" t="s">
        <v>715</v>
      </c>
      <c r="H676" s="57" t="s">
        <v>37</v>
      </c>
      <c r="I676" s="86" t="s">
        <v>288</v>
      </c>
      <c r="J676" s="57" t="e">
        <f>ROUND(#REF!*2.4,-1)</f>
        <v>#REF!</v>
      </c>
      <c r="K676" s="58"/>
      <c r="L676" s="59">
        <f>2-2</f>
        <v>0</v>
      </c>
      <c r="M676" s="60"/>
      <c r="N676" s="61"/>
      <c r="O676" s="61"/>
      <c r="P676" s="62">
        <f>1-1</f>
        <v>0</v>
      </c>
      <c r="Q676" s="62">
        <f>1-1</f>
        <v>0</v>
      </c>
      <c r="R676" s="62">
        <f>1-1</f>
        <v>0</v>
      </c>
      <c r="S676" s="62">
        <f>1-1+1-1</f>
        <v>0</v>
      </c>
      <c r="T676" s="62">
        <f>1-1</f>
        <v>0</v>
      </c>
      <c r="U676" s="62"/>
      <c r="V676" s="62"/>
      <c r="W676" s="63"/>
      <c r="X676" s="63"/>
      <c r="Z676" s="64"/>
      <c r="AA676" s="54"/>
      <c r="AB676" s="54"/>
      <c r="AC676" s="54"/>
    </row>
    <row r="677" spans="1:29" ht="60" customHeight="1" x14ac:dyDescent="0.2">
      <c r="A677" s="69" t="s">
        <v>1019</v>
      </c>
      <c r="B677" s="74"/>
      <c r="C677" s="66" t="s">
        <v>374</v>
      </c>
      <c r="D677" s="53" t="s">
        <v>33</v>
      </c>
      <c r="E677" s="54" t="s">
        <v>34</v>
      </c>
      <c r="F677" s="55" t="s">
        <v>785</v>
      </c>
      <c r="G677" s="56" t="s">
        <v>36</v>
      </c>
      <c r="H677" s="57" t="s">
        <v>378</v>
      </c>
      <c r="I677" s="86" t="s">
        <v>288</v>
      </c>
      <c r="J677" s="57" t="e">
        <f>ROUND(#REF!*2.4,-1)</f>
        <v>#REF!</v>
      </c>
      <c r="K677" s="58"/>
      <c r="L677" s="59">
        <f>8-3+3</f>
        <v>8</v>
      </c>
      <c r="M677" s="60"/>
      <c r="N677" s="61"/>
      <c r="O677" s="61"/>
      <c r="P677" s="62">
        <f>2-1</f>
        <v>1</v>
      </c>
      <c r="Q677" s="62">
        <f>2-1+1</f>
        <v>2</v>
      </c>
      <c r="R677" s="62">
        <f>2-1+1</f>
        <v>2</v>
      </c>
      <c r="S677" s="62">
        <f>1-1+1</f>
        <v>1</v>
      </c>
      <c r="T677" s="62">
        <f>1-1+1</f>
        <v>1</v>
      </c>
      <c r="U677" s="62">
        <f>1-1+1</f>
        <v>1</v>
      </c>
      <c r="V677" s="62"/>
      <c r="W677" s="63"/>
      <c r="X677" s="63"/>
      <c r="Z677" s="64"/>
      <c r="AA677" s="54"/>
      <c r="AB677" s="54"/>
      <c r="AC677" s="54"/>
    </row>
    <row r="678" spans="1:29" ht="60" hidden="1" customHeight="1" x14ac:dyDescent="0.2">
      <c r="A678" s="69" t="s">
        <v>1020</v>
      </c>
      <c r="B678" s="74"/>
      <c r="C678" s="66" t="s">
        <v>1021</v>
      </c>
      <c r="D678" s="53" t="s">
        <v>48</v>
      </c>
      <c r="E678" s="54" t="s">
        <v>34</v>
      </c>
      <c r="F678" s="55" t="s">
        <v>121</v>
      </c>
      <c r="G678" s="67" t="s">
        <v>50</v>
      </c>
      <c r="H678" s="57" t="s">
        <v>123</v>
      </c>
      <c r="I678" s="55" t="s">
        <v>51</v>
      </c>
      <c r="J678" s="57" t="e">
        <f>ROUND(#REF!*2.4,-1)</f>
        <v>#REF!</v>
      </c>
      <c r="K678" s="58"/>
      <c r="L678" s="59">
        <v>0</v>
      </c>
      <c r="M678" s="60"/>
      <c r="N678" s="61"/>
      <c r="O678" s="61"/>
      <c r="P678" s="62"/>
      <c r="Q678" s="62"/>
      <c r="R678" s="62"/>
      <c r="S678" s="62"/>
      <c r="T678" s="62"/>
      <c r="U678" s="62"/>
      <c r="V678" s="62"/>
      <c r="W678" s="63"/>
      <c r="X678" s="63"/>
      <c r="Z678" s="64"/>
      <c r="AA678" s="54"/>
      <c r="AB678" s="54"/>
      <c r="AC678" s="54"/>
    </row>
    <row r="679" spans="1:29" ht="60" hidden="1" customHeight="1" x14ac:dyDescent="0.2">
      <c r="A679" s="69" t="s">
        <v>1022</v>
      </c>
      <c r="B679" s="74"/>
      <c r="C679" s="66" t="s">
        <v>168</v>
      </c>
      <c r="D679" s="53" t="s">
        <v>48</v>
      </c>
      <c r="E679" s="54" t="s">
        <v>34</v>
      </c>
      <c r="F679" s="55" t="s">
        <v>121</v>
      </c>
      <c r="G679" s="67" t="s">
        <v>50</v>
      </c>
      <c r="H679" s="57" t="s">
        <v>123</v>
      </c>
      <c r="I679" s="55" t="s">
        <v>51</v>
      </c>
      <c r="J679" s="57" t="e">
        <f>ROUND(#REF!*2.4,-1)</f>
        <v>#REF!</v>
      </c>
      <c r="K679" s="58"/>
      <c r="L679" s="59">
        <f>1-1</f>
        <v>0</v>
      </c>
      <c r="M679" s="60"/>
      <c r="N679" s="61"/>
      <c r="O679" s="61"/>
      <c r="P679" s="62"/>
      <c r="Q679" s="62"/>
      <c r="R679" s="62">
        <f>2-2</f>
        <v>0</v>
      </c>
      <c r="S679" s="62"/>
      <c r="T679" s="62">
        <f>1-1</f>
        <v>0</v>
      </c>
      <c r="U679" s="62"/>
      <c r="V679" s="62"/>
      <c r="W679" s="63"/>
      <c r="X679" s="63"/>
      <c r="Z679" s="64"/>
      <c r="AA679" s="54"/>
      <c r="AB679" s="54"/>
      <c r="AC679" s="54"/>
    </row>
    <row r="680" spans="1:29" ht="60" customHeight="1" x14ac:dyDescent="0.2">
      <c r="A680" s="69" t="s">
        <v>1023</v>
      </c>
      <c r="B680" s="74"/>
      <c r="C680" s="66" t="s">
        <v>348</v>
      </c>
      <c r="D680" s="53" t="s">
        <v>48</v>
      </c>
      <c r="E680" s="54" t="s">
        <v>34</v>
      </c>
      <c r="F680" s="55" t="s">
        <v>121</v>
      </c>
      <c r="G680" s="67" t="s">
        <v>50</v>
      </c>
      <c r="H680" s="57" t="s">
        <v>123</v>
      </c>
      <c r="I680" s="55" t="s">
        <v>51</v>
      </c>
      <c r="J680" s="57" t="e">
        <f>ROUND(#REF!*2.4,-1)</f>
        <v>#REF!</v>
      </c>
      <c r="K680" s="58"/>
      <c r="L680" s="59">
        <f>61-5</f>
        <v>56</v>
      </c>
      <c r="M680" s="60"/>
      <c r="N680" s="61"/>
      <c r="O680" s="61"/>
      <c r="P680" s="62"/>
      <c r="Q680" s="62">
        <f>13-1</f>
        <v>12</v>
      </c>
      <c r="R680" s="62">
        <f>16-1</f>
        <v>15</v>
      </c>
      <c r="S680" s="62">
        <f>10-1</f>
        <v>9</v>
      </c>
      <c r="T680" s="62">
        <f>10-1</f>
        <v>9</v>
      </c>
      <c r="U680" s="62">
        <f>12-1</f>
        <v>11</v>
      </c>
      <c r="V680" s="62"/>
      <c r="W680" s="63"/>
      <c r="X680" s="63"/>
      <c r="Z680" s="64"/>
      <c r="AA680" s="54"/>
      <c r="AB680" s="54"/>
      <c r="AC680" s="54"/>
    </row>
    <row r="681" spans="1:29" ht="60" hidden="1" customHeight="1" x14ac:dyDescent="0.2">
      <c r="A681" s="69" t="s">
        <v>1024</v>
      </c>
      <c r="B681" s="74"/>
      <c r="C681" s="87" t="s">
        <v>441</v>
      </c>
      <c r="D681" s="53" t="s">
        <v>48</v>
      </c>
      <c r="E681" s="54" t="s">
        <v>34</v>
      </c>
      <c r="F681" s="55" t="s">
        <v>121</v>
      </c>
      <c r="G681" s="67" t="s">
        <v>50</v>
      </c>
      <c r="H681" s="57" t="s">
        <v>84</v>
      </c>
      <c r="I681" s="55" t="s">
        <v>51</v>
      </c>
      <c r="J681" s="57" t="e">
        <f>ROUND(#REF!*2.4,-1)</f>
        <v>#REF!</v>
      </c>
      <c r="K681" s="58"/>
      <c r="L681" s="59">
        <v>0</v>
      </c>
      <c r="M681" s="60"/>
      <c r="N681" s="61"/>
      <c r="O681" s="61"/>
      <c r="P681" s="62"/>
      <c r="Q681" s="62"/>
      <c r="R681" s="62"/>
      <c r="S681" s="62"/>
      <c r="T681" s="62"/>
      <c r="U681" s="62"/>
      <c r="V681" s="62"/>
      <c r="W681" s="63"/>
      <c r="X681" s="63"/>
      <c r="Z681" s="64"/>
      <c r="AA681" s="54"/>
      <c r="AB681" s="54"/>
      <c r="AC681" s="54"/>
    </row>
    <row r="682" spans="1:29" ht="60" hidden="1" customHeight="1" x14ac:dyDescent="0.2">
      <c r="A682" s="69" t="s">
        <v>1025</v>
      </c>
      <c r="B682" s="74"/>
      <c r="C682" s="66" t="s">
        <v>1026</v>
      </c>
      <c r="D682" s="53" t="s">
        <v>48</v>
      </c>
      <c r="E682" s="54" t="s">
        <v>34</v>
      </c>
      <c r="F682" s="55" t="s">
        <v>121</v>
      </c>
      <c r="G682" s="67" t="s">
        <v>50</v>
      </c>
      <c r="H682" s="57" t="s">
        <v>84</v>
      </c>
      <c r="I682" s="55" t="s">
        <v>51</v>
      </c>
      <c r="J682" s="57" t="e">
        <f>ROUND(#REF!*2.4,-1)</f>
        <v>#REF!</v>
      </c>
      <c r="K682" s="58"/>
      <c r="L682" s="59">
        <v>0</v>
      </c>
      <c r="M682" s="60"/>
      <c r="N682" s="61"/>
      <c r="O682" s="61"/>
      <c r="P682" s="62"/>
      <c r="Q682" s="62"/>
      <c r="R682" s="62"/>
      <c r="S682" s="62"/>
      <c r="T682" s="62"/>
      <c r="U682" s="62"/>
      <c r="V682" s="62"/>
      <c r="W682" s="63"/>
      <c r="X682" s="63"/>
      <c r="Z682" s="64"/>
      <c r="AA682" s="54"/>
      <c r="AB682" s="54"/>
      <c r="AC682" s="54"/>
    </row>
    <row r="683" spans="1:29" ht="60" hidden="1" customHeight="1" x14ac:dyDescent="0.2">
      <c r="A683" s="69" t="s">
        <v>1027</v>
      </c>
      <c r="B683" s="74"/>
      <c r="C683" s="66" t="s">
        <v>101</v>
      </c>
      <c r="D683" s="53" t="s">
        <v>48</v>
      </c>
      <c r="E683" s="54" t="s">
        <v>34</v>
      </c>
      <c r="F683" s="55" t="s">
        <v>121</v>
      </c>
      <c r="G683" s="67" t="s">
        <v>50</v>
      </c>
      <c r="H683" s="57" t="s">
        <v>84</v>
      </c>
      <c r="I683" s="55" t="s">
        <v>51</v>
      </c>
      <c r="J683" s="57" t="e">
        <f>ROUND(#REF!*2.4,-1)</f>
        <v>#REF!</v>
      </c>
      <c r="K683" s="58"/>
      <c r="L683" s="59">
        <f>1-1</f>
        <v>0</v>
      </c>
      <c r="M683" s="60"/>
      <c r="N683" s="61"/>
      <c r="O683" s="61"/>
      <c r="P683" s="62"/>
      <c r="Q683" s="62">
        <f t="shared" ref="Q683:R685" si="65">1-1</f>
        <v>0</v>
      </c>
      <c r="R683" s="62">
        <f t="shared" si="65"/>
        <v>0</v>
      </c>
      <c r="S683" s="62">
        <f>2-2</f>
        <v>0</v>
      </c>
      <c r="T683" s="62">
        <f>1-1</f>
        <v>0</v>
      </c>
      <c r="U683" s="62">
        <f>1-1</f>
        <v>0</v>
      </c>
      <c r="V683" s="62"/>
      <c r="W683" s="63"/>
      <c r="X683" s="63"/>
      <c r="Z683" s="64"/>
      <c r="AA683" s="54"/>
      <c r="AB683" s="54"/>
      <c r="AC683" s="54"/>
    </row>
    <row r="684" spans="1:29" ht="60" hidden="1" customHeight="1" x14ac:dyDescent="0.2">
      <c r="A684" s="69" t="s">
        <v>1028</v>
      </c>
      <c r="B684" s="74"/>
      <c r="C684" s="87" t="s">
        <v>348</v>
      </c>
      <c r="D684" s="53" t="s">
        <v>48</v>
      </c>
      <c r="E684" s="54" t="s">
        <v>34</v>
      </c>
      <c r="F684" s="55" t="s">
        <v>121</v>
      </c>
      <c r="G684" s="67" t="s">
        <v>50</v>
      </c>
      <c r="H684" s="57" t="s">
        <v>84</v>
      </c>
      <c r="I684" s="55" t="s">
        <v>51</v>
      </c>
      <c r="J684" s="57" t="e">
        <f>ROUND(#REF!*2.4,-1)</f>
        <v>#REF!</v>
      </c>
      <c r="K684" s="58"/>
      <c r="L684" s="59">
        <f>1-1</f>
        <v>0</v>
      </c>
      <c r="M684" s="60"/>
      <c r="N684" s="61"/>
      <c r="O684" s="61"/>
      <c r="P684" s="62"/>
      <c r="Q684" s="62">
        <f t="shared" si="65"/>
        <v>0</v>
      </c>
      <c r="R684" s="62">
        <f t="shared" si="65"/>
        <v>0</v>
      </c>
      <c r="S684" s="62">
        <f>1-1</f>
        <v>0</v>
      </c>
      <c r="T684" s="62">
        <f>1-1</f>
        <v>0</v>
      </c>
      <c r="U684" s="62">
        <f>1-1</f>
        <v>0</v>
      </c>
      <c r="V684" s="62"/>
      <c r="W684" s="63"/>
      <c r="X684" s="63"/>
      <c r="Z684" s="64"/>
      <c r="AA684" s="54"/>
      <c r="AB684" s="54"/>
      <c r="AC684" s="54"/>
    </row>
    <row r="685" spans="1:29" ht="60" hidden="1" customHeight="1" x14ac:dyDescent="0.2">
      <c r="A685" s="69" t="s">
        <v>1029</v>
      </c>
      <c r="B685" s="74"/>
      <c r="C685" s="87" t="s">
        <v>348</v>
      </c>
      <c r="D685" s="53" t="s">
        <v>48</v>
      </c>
      <c r="E685" s="54" t="s">
        <v>34</v>
      </c>
      <c r="F685" s="55" t="s">
        <v>121</v>
      </c>
      <c r="G685" s="67" t="s">
        <v>50</v>
      </c>
      <c r="H685" s="57" t="s">
        <v>132</v>
      </c>
      <c r="I685" s="55" t="s">
        <v>51</v>
      </c>
      <c r="J685" s="57" t="e">
        <f>ROUND(#REF!*2.4,-1)</f>
        <v>#REF!</v>
      </c>
      <c r="K685" s="58"/>
      <c r="L685" s="59">
        <f>2-2</f>
        <v>0</v>
      </c>
      <c r="M685" s="60"/>
      <c r="N685" s="61"/>
      <c r="O685" s="61"/>
      <c r="P685" s="62"/>
      <c r="Q685" s="62">
        <f t="shared" si="65"/>
        <v>0</v>
      </c>
      <c r="R685" s="62">
        <f t="shared" si="65"/>
        <v>0</v>
      </c>
      <c r="S685" s="62">
        <f>1-1</f>
        <v>0</v>
      </c>
      <c r="T685" s="62">
        <f>1-1</f>
        <v>0</v>
      </c>
      <c r="U685" s="62">
        <f>3-3</f>
        <v>0</v>
      </c>
      <c r="V685" s="62"/>
      <c r="W685" s="63"/>
      <c r="X685" s="63"/>
      <c r="Z685" s="64"/>
      <c r="AA685" s="54"/>
      <c r="AB685" s="54"/>
      <c r="AC685" s="54"/>
    </row>
    <row r="686" spans="1:29" ht="38.25" hidden="1" x14ac:dyDescent="0.2">
      <c r="A686" s="50" t="s">
        <v>1030</v>
      </c>
      <c r="B686" s="74"/>
      <c r="C686" s="87" t="s">
        <v>182</v>
      </c>
      <c r="D686" s="53" t="s">
        <v>33</v>
      </c>
      <c r="E686" s="54" t="s">
        <v>34</v>
      </c>
      <c r="F686" s="55" t="s">
        <v>1031</v>
      </c>
      <c r="G686" s="67" t="s">
        <v>715</v>
      </c>
      <c r="H686" s="57" t="s">
        <v>37</v>
      </c>
      <c r="I686" s="55" t="s">
        <v>38</v>
      </c>
      <c r="J686" s="57" t="e">
        <f>ROUND(#REF!*2.4,-1)</f>
        <v>#REF!</v>
      </c>
      <c r="K686" s="58"/>
      <c r="L686" s="59">
        <v>0</v>
      </c>
      <c r="M686" s="60"/>
      <c r="N686" s="61"/>
      <c r="O686" s="61"/>
      <c r="P686" s="62"/>
      <c r="Q686" s="62"/>
      <c r="R686" s="62"/>
      <c r="S686" s="62"/>
      <c r="T686" s="62"/>
      <c r="U686" s="62"/>
      <c r="V686" s="62"/>
      <c r="W686" s="63"/>
      <c r="X686" s="63"/>
      <c r="Z686" s="64"/>
      <c r="AA686" s="54"/>
      <c r="AB686" s="54"/>
      <c r="AC686" s="54"/>
    </row>
    <row r="687" spans="1:29" ht="60" customHeight="1" x14ac:dyDescent="0.2">
      <c r="A687" s="50" t="s">
        <v>1032</v>
      </c>
      <c r="B687" s="74"/>
      <c r="C687" s="66" t="s">
        <v>1033</v>
      </c>
      <c r="D687" s="53" t="s">
        <v>33</v>
      </c>
      <c r="E687" s="54" t="s">
        <v>34</v>
      </c>
      <c r="F687" s="55" t="s">
        <v>1031</v>
      </c>
      <c r="G687" s="56" t="s">
        <v>36</v>
      </c>
      <c r="H687" s="57" t="s">
        <v>37</v>
      </c>
      <c r="I687" s="55" t="s">
        <v>38</v>
      </c>
      <c r="J687" s="57" t="e">
        <f>ROUND(#REF!*2.4,-1)</f>
        <v>#REF!</v>
      </c>
      <c r="K687" s="58"/>
      <c r="L687" s="59">
        <f>10-5</f>
        <v>5</v>
      </c>
      <c r="M687" s="60"/>
      <c r="N687" s="61"/>
      <c r="O687" s="61"/>
      <c r="P687" s="62">
        <f>1-1</f>
        <v>0</v>
      </c>
      <c r="Q687" s="62">
        <f>3-1</f>
        <v>2</v>
      </c>
      <c r="R687" s="62">
        <f>2-1</f>
        <v>1</v>
      </c>
      <c r="S687" s="62">
        <f>3-1</f>
        <v>2</v>
      </c>
      <c r="T687" s="62">
        <f>1-1</f>
        <v>0</v>
      </c>
      <c r="U687" s="62"/>
      <c r="V687" s="62"/>
      <c r="W687" s="63"/>
      <c r="X687" s="63"/>
      <c r="Z687" s="64"/>
      <c r="AC687" s="54"/>
    </row>
    <row r="688" spans="1:29" ht="60" customHeight="1" x14ac:dyDescent="0.2">
      <c r="A688" s="50" t="s">
        <v>1034</v>
      </c>
      <c r="B688" s="74"/>
      <c r="C688" s="87" t="s">
        <v>827</v>
      </c>
      <c r="D688" s="53" t="s">
        <v>33</v>
      </c>
      <c r="E688" s="54" t="s">
        <v>34</v>
      </c>
      <c r="F688" s="55" t="s">
        <v>1031</v>
      </c>
      <c r="G688" s="56" t="s">
        <v>36</v>
      </c>
      <c r="H688" s="57" t="s">
        <v>37</v>
      </c>
      <c r="I688" s="55" t="s">
        <v>38</v>
      </c>
      <c r="J688" s="57" t="e">
        <f>ROUND(#REF!*2.4,-1)</f>
        <v>#REF!</v>
      </c>
      <c r="K688" s="58"/>
      <c r="L688" s="59">
        <f>6-2</f>
        <v>4</v>
      </c>
      <c r="M688" s="60"/>
      <c r="N688" s="61"/>
      <c r="O688" s="61"/>
      <c r="P688" s="62">
        <f>1-1</f>
        <v>0</v>
      </c>
      <c r="Q688" s="62">
        <f>1-1+1</f>
        <v>1</v>
      </c>
      <c r="R688" s="62">
        <f>4-1</f>
        <v>3</v>
      </c>
      <c r="S688" s="62">
        <f>1-1</f>
        <v>0</v>
      </c>
      <c r="T688" s="62"/>
      <c r="U688" s="62"/>
      <c r="V688" s="62"/>
      <c r="W688" s="63"/>
      <c r="X688" s="63"/>
      <c r="Z688" s="64"/>
      <c r="AA688" s="54">
        <v>4210143</v>
      </c>
      <c r="AB688" s="54">
        <v>369</v>
      </c>
      <c r="AC688" s="54"/>
    </row>
    <row r="689" spans="1:29" ht="60" customHeight="1" x14ac:dyDescent="0.2">
      <c r="A689" s="50" t="s">
        <v>1035</v>
      </c>
      <c r="B689" s="74"/>
      <c r="C689" s="66" t="s">
        <v>203</v>
      </c>
      <c r="D689" s="53" t="s">
        <v>33</v>
      </c>
      <c r="E689" s="54" t="s">
        <v>34</v>
      </c>
      <c r="F689" s="55" t="s">
        <v>1031</v>
      </c>
      <c r="G689" s="56" t="s">
        <v>36</v>
      </c>
      <c r="H689" s="57" t="s">
        <v>37</v>
      </c>
      <c r="I689" s="55" t="s">
        <v>38</v>
      </c>
      <c r="J689" s="57" t="e">
        <f>ROUND(#REF!*2.4,-1)</f>
        <v>#REF!</v>
      </c>
      <c r="K689" s="58"/>
      <c r="L689" s="59">
        <f>3-2</f>
        <v>1</v>
      </c>
      <c r="M689" s="60"/>
      <c r="N689" s="61"/>
      <c r="O689" s="61"/>
      <c r="P689" s="62">
        <f>1-1</f>
        <v>0</v>
      </c>
      <c r="Q689" s="62">
        <f>2-1</f>
        <v>1</v>
      </c>
      <c r="R689" s="62">
        <f>1-1</f>
        <v>0</v>
      </c>
      <c r="S689" s="62">
        <f>1-1</f>
        <v>0</v>
      </c>
      <c r="T689" s="62">
        <f>1-1</f>
        <v>0</v>
      </c>
      <c r="U689" s="62"/>
      <c r="V689" s="62"/>
      <c r="W689" s="63"/>
      <c r="X689" s="63"/>
      <c r="Z689" s="64"/>
      <c r="AA689" s="54"/>
      <c r="AB689" s="54"/>
      <c r="AC689" s="54"/>
    </row>
    <row r="690" spans="1:29" ht="38.25" hidden="1" x14ac:dyDescent="0.2">
      <c r="A690" s="50" t="s">
        <v>1036</v>
      </c>
      <c r="B690" s="74"/>
      <c r="C690" s="87" t="s">
        <v>1037</v>
      </c>
      <c r="D690" s="53" t="s">
        <v>33</v>
      </c>
      <c r="E690" s="54" t="s">
        <v>34</v>
      </c>
      <c r="F690" s="55" t="s">
        <v>1031</v>
      </c>
      <c r="G690" s="67" t="s">
        <v>715</v>
      </c>
      <c r="H690" s="57" t="s">
        <v>37</v>
      </c>
      <c r="I690" s="55" t="s">
        <v>38</v>
      </c>
      <c r="J690" s="57" t="e">
        <f>ROUND(#REF!*2.4,-1)</f>
        <v>#REF!</v>
      </c>
      <c r="K690" s="58"/>
      <c r="L690" s="59">
        <v>0</v>
      </c>
      <c r="M690" s="60"/>
      <c r="N690" s="61"/>
      <c r="O690" s="61"/>
      <c r="P690" s="62"/>
      <c r="Q690" s="62"/>
      <c r="R690" s="62"/>
      <c r="S690" s="62"/>
      <c r="T690" s="62"/>
      <c r="U690" s="62"/>
      <c r="V690" s="62"/>
      <c r="W690" s="63"/>
      <c r="X690" s="63"/>
      <c r="Z690" s="64"/>
      <c r="AA690" s="54"/>
      <c r="AB690" s="54"/>
      <c r="AC690" s="54"/>
    </row>
    <row r="691" spans="1:29" ht="60" customHeight="1" x14ac:dyDescent="0.2">
      <c r="A691" s="50" t="s">
        <v>1038</v>
      </c>
      <c r="B691" s="74"/>
      <c r="C691" s="66" t="s">
        <v>1039</v>
      </c>
      <c r="D691" s="53" t="s">
        <v>33</v>
      </c>
      <c r="E691" s="54" t="s">
        <v>34</v>
      </c>
      <c r="F691" s="55" t="s">
        <v>1031</v>
      </c>
      <c r="G691" s="56" t="s">
        <v>36</v>
      </c>
      <c r="H691" s="57" t="s">
        <v>37</v>
      </c>
      <c r="I691" s="55" t="s">
        <v>38</v>
      </c>
      <c r="J691" s="57" t="e">
        <f>ROUND(#REF!*2.4,-1)</f>
        <v>#REF!</v>
      </c>
      <c r="K691" s="58"/>
      <c r="L691" s="59">
        <f>8-1</f>
        <v>7</v>
      </c>
      <c r="M691" s="60"/>
      <c r="N691" s="61"/>
      <c r="O691" s="61"/>
      <c r="P691" s="62">
        <f>1-1+1</f>
        <v>1</v>
      </c>
      <c r="Q691" s="62">
        <f>2-1</f>
        <v>1</v>
      </c>
      <c r="R691" s="62">
        <f>3-1+1</f>
        <v>3</v>
      </c>
      <c r="S691" s="62">
        <f>3-1</f>
        <v>2</v>
      </c>
      <c r="T691" s="62">
        <f>1-1</f>
        <v>0</v>
      </c>
      <c r="U691" s="62"/>
      <c r="V691" s="62"/>
      <c r="W691" s="63"/>
      <c r="X691" s="63"/>
      <c r="Z691" s="64"/>
      <c r="AA691" s="54"/>
      <c r="AB691" s="54"/>
      <c r="AC691" s="54"/>
    </row>
    <row r="692" spans="1:29" ht="60" hidden="1" customHeight="1" x14ac:dyDescent="0.2">
      <c r="A692" s="50" t="s">
        <v>1040</v>
      </c>
      <c r="B692" s="74"/>
      <c r="C692" s="66" t="s">
        <v>1041</v>
      </c>
      <c r="D692" s="53" t="s">
        <v>33</v>
      </c>
      <c r="E692" s="54" t="s">
        <v>34</v>
      </c>
      <c r="F692" s="55" t="s">
        <v>1031</v>
      </c>
      <c r="G692" s="67" t="s">
        <v>715</v>
      </c>
      <c r="H692" s="57" t="s">
        <v>128</v>
      </c>
      <c r="I692" s="55" t="s">
        <v>38</v>
      </c>
      <c r="J692" s="57" t="e">
        <f>ROUND(#REF!*2.4,-1)</f>
        <v>#REF!</v>
      </c>
      <c r="K692" s="58"/>
      <c r="L692" s="59">
        <v>0</v>
      </c>
      <c r="M692" s="60"/>
      <c r="N692" s="61"/>
      <c r="O692" s="61"/>
      <c r="P692" s="62"/>
      <c r="Q692" s="62"/>
      <c r="R692" s="62"/>
      <c r="S692" s="62"/>
      <c r="T692" s="62"/>
      <c r="U692" s="62"/>
      <c r="V692" s="62"/>
      <c r="W692" s="63"/>
      <c r="X692" s="63"/>
      <c r="Z692" s="64"/>
      <c r="AA692" s="54"/>
      <c r="AB692" s="54"/>
      <c r="AC692" s="54"/>
    </row>
    <row r="693" spans="1:29" ht="60" customHeight="1" x14ac:dyDescent="0.2">
      <c r="A693" s="50" t="s">
        <v>1042</v>
      </c>
      <c r="B693" s="74"/>
      <c r="C693" s="66" t="s">
        <v>1043</v>
      </c>
      <c r="D693" s="53" t="s">
        <v>33</v>
      </c>
      <c r="E693" s="54" t="s">
        <v>34</v>
      </c>
      <c r="F693" s="55" t="s">
        <v>1031</v>
      </c>
      <c r="G693" s="56" t="s">
        <v>36</v>
      </c>
      <c r="H693" s="57" t="s">
        <v>128</v>
      </c>
      <c r="I693" s="55" t="s">
        <v>38</v>
      </c>
      <c r="J693" s="57" t="e">
        <f>ROUND(#REF!*2.4,-1)</f>
        <v>#REF!</v>
      </c>
      <c r="K693" s="58"/>
      <c r="L693" s="59">
        <f>6-1+1</f>
        <v>6</v>
      </c>
      <c r="M693" s="60"/>
      <c r="N693" s="61"/>
      <c r="O693" s="61"/>
      <c r="P693" s="62">
        <f>1-1+1</f>
        <v>1</v>
      </c>
      <c r="Q693" s="62">
        <f>3-1+1</f>
        <v>3</v>
      </c>
      <c r="R693" s="62">
        <f>1-1+1</f>
        <v>1</v>
      </c>
      <c r="S693" s="62">
        <f>1</f>
        <v>1</v>
      </c>
      <c r="T693" s="62">
        <f>1-1</f>
        <v>0</v>
      </c>
      <c r="U693" s="62"/>
      <c r="V693" s="62"/>
      <c r="W693" s="63"/>
      <c r="X693" s="63"/>
      <c r="Z693" s="64"/>
      <c r="AA693" s="54"/>
      <c r="AB693" s="54"/>
      <c r="AC693" s="54"/>
    </row>
    <row r="694" spans="1:29" ht="60" customHeight="1" x14ac:dyDescent="0.2">
      <c r="A694" s="50" t="s">
        <v>1044</v>
      </c>
      <c r="B694" s="74"/>
      <c r="C694" s="66" t="s">
        <v>1026</v>
      </c>
      <c r="D694" s="53" t="s">
        <v>33</v>
      </c>
      <c r="E694" s="54" t="s">
        <v>34</v>
      </c>
      <c r="F694" s="55" t="s">
        <v>287</v>
      </c>
      <c r="G694" s="56" t="s">
        <v>36</v>
      </c>
      <c r="H694" s="57" t="s">
        <v>128</v>
      </c>
      <c r="I694" s="55" t="s">
        <v>38</v>
      </c>
      <c r="J694" s="57" t="e">
        <f>ROUND(#REF!*2.4,-1)</f>
        <v>#REF!</v>
      </c>
      <c r="K694" s="58"/>
      <c r="L694" s="59">
        <f>3-3+3</f>
        <v>3</v>
      </c>
      <c r="M694" s="60"/>
      <c r="N694" s="61"/>
      <c r="O694" s="61"/>
      <c r="P694" s="62"/>
      <c r="Q694" s="62">
        <f>1-1+1</f>
        <v>1</v>
      </c>
      <c r="R694" s="62">
        <f>1-1+1</f>
        <v>1</v>
      </c>
      <c r="S694" s="62">
        <f>1-1+1</f>
        <v>1</v>
      </c>
      <c r="T694" s="62"/>
      <c r="U694" s="62"/>
      <c r="V694" s="62"/>
      <c r="W694" s="63"/>
      <c r="X694" s="63"/>
      <c r="Z694" s="64"/>
      <c r="AA694" s="54"/>
      <c r="AB694" s="54"/>
      <c r="AC694" s="54"/>
    </row>
    <row r="695" spans="1:29" ht="60" hidden="1" customHeight="1" x14ac:dyDescent="0.2">
      <c r="A695" s="50" t="s">
        <v>1045</v>
      </c>
      <c r="B695" s="74"/>
      <c r="C695" s="66" t="s">
        <v>745</v>
      </c>
      <c r="D695" s="53" t="s">
        <v>33</v>
      </c>
      <c r="E695" s="54" t="s">
        <v>34</v>
      </c>
      <c r="F695" s="55" t="s">
        <v>1031</v>
      </c>
      <c r="G695" s="67" t="s">
        <v>715</v>
      </c>
      <c r="H695" s="57" t="s">
        <v>378</v>
      </c>
      <c r="I695" s="55" t="s">
        <v>38</v>
      </c>
      <c r="J695" s="57" t="e">
        <f>ROUND(#REF!*2.4,-1)</f>
        <v>#REF!</v>
      </c>
      <c r="K695" s="58"/>
      <c r="L695" s="59">
        <v>0</v>
      </c>
      <c r="M695" s="60"/>
      <c r="N695" s="61"/>
      <c r="O695" s="61"/>
      <c r="P695" s="62"/>
      <c r="Q695" s="62"/>
      <c r="R695" s="62"/>
      <c r="S695" s="62"/>
      <c r="T695" s="62"/>
      <c r="U695" s="62"/>
      <c r="V695" s="62"/>
      <c r="W695" s="63"/>
      <c r="X695" s="63"/>
      <c r="Z695" s="64"/>
      <c r="AA695" s="54"/>
      <c r="AB695" s="54"/>
      <c r="AC695" s="54"/>
    </row>
    <row r="696" spans="1:29" ht="60" customHeight="1" x14ac:dyDescent="0.2">
      <c r="A696" s="50" t="s">
        <v>1046</v>
      </c>
      <c r="B696" s="74"/>
      <c r="C696" s="66" t="s">
        <v>182</v>
      </c>
      <c r="D696" s="53" t="s">
        <v>33</v>
      </c>
      <c r="E696" s="54" t="s">
        <v>34</v>
      </c>
      <c r="F696" s="55" t="s">
        <v>287</v>
      </c>
      <c r="G696" s="56" t="s">
        <v>36</v>
      </c>
      <c r="H696" s="57" t="s">
        <v>378</v>
      </c>
      <c r="I696" s="55" t="s">
        <v>38</v>
      </c>
      <c r="J696" s="57" t="e">
        <f>ROUND(#REF!*2.4,-1)</f>
        <v>#REF!</v>
      </c>
      <c r="K696" s="58"/>
      <c r="L696" s="59">
        <f>16-1</f>
        <v>15</v>
      </c>
      <c r="M696" s="60"/>
      <c r="N696" s="61"/>
      <c r="O696" s="61"/>
      <c r="P696" s="62">
        <f>1-1+1</f>
        <v>1</v>
      </c>
      <c r="Q696" s="62">
        <f>6-1</f>
        <v>5</v>
      </c>
      <c r="R696" s="62">
        <f>5-5+5</f>
        <v>5</v>
      </c>
      <c r="S696" s="62">
        <f>4-4+4</f>
        <v>4</v>
      </c>
      <c r="T696" s="62"/>
      <c r="U696" s="62"/>
      <c r="V696" s="62"/>
      <c r="W696" s="63"/>
      <c r="X696" s="63"/>
      <c r="Z696" s="64"/>
      <c r="AA696" s="54"/>
      <c r="AB696" s="54"/>
      <c r="AC696" s="54"/>
    </row>
    <row r="697" spans="1:29" ht="60" hidden="1" customHeight="1" x14ac:dyDescent="0.2">
      <c r="A697" s="50" t="s">
        <v>1047</v>
      </c>
      <c r="B697" s="51"/>
      <c r="C697" s="87" t="s">
        <v>594</v>
      </c>
      <c r="D697" s="53" t="s">
        <v>33</v>
      </c>
      <c r="E697" s="54" t="s">
        <v>34</v>
      </c>
      <c r="F697" s="55" t="s">
        <v>287</v>
      </c>
      <c r="G697" s="67" t="s">
        <v>715</v>
      </c>
      <c r="H697" s="57" t="s">
        <v>378</v>
      </c>
      <c r="I697" s="55" t="s">
        <v>38</v>
      </c>
      <c r="J697" s="57" t="e">
        <f>ROUND(#REF!*2.4,-1)</f>
        <v>#REF!</v>
      </c>
      <c r="K697" s="58"/>
      <c r="L697" s="59">
        <v>0</v>
      </c>
      <c r="M697" s="60"/>
      <c r="N697" s="61"/>
      <c r="O697" s="61"/>
      <c r="P697" s="62"/>
      <c r="Q697" s="62"/>
      <c r="R697" s="62"/>
      <c r="S697" s="62"/>
      <c r="T697" s="62"/>
      <c r="U697" s="62"/>
      <c r="V697" s="62"/>
      <c r="W697" s="63"/>
      <c r="X697" s="63"/>
      <c r="Z697" s="64"/>
      <c r="AC697" s="54"/>
    </row>
    <row r="698" spans="1:29" ht="60" customHeight="1" x14ac:dyDescent="0.2">
      <c r="A698" s="50" t="s">
        <v>1048</v>
      </c>
      <c r="B698" s="51"/>
      <c r="C698" s="66" t="s">
        <v>377</v>
      </c>
      <c r="D698" s="53" t="s">
        <v>33</v>
      </c>
      <c r="E698" s="54" t="s">
        <v>34</v>
      </c>
      <c r="F698" s="55" t="s">
        <v>287</v>
      </c>
      <c r="G698" s="56" t="s">
        <v>36</v>
      </c>
      <c r="H698" s="57" t="s">
        <v>378</v>
      </c>
      <c r="I698" s="55" t="s">
        <v>38</v>
      </c>
      <c r="J698" s="57" t="e">
        <f>ROUND(#REF!*2.4,-1)</f>
        <v>#REF!</v>
      </c>
      <c r="K698" s="58"/>
      <c r="L698" s="59">
        <f>9-1</f>
        <v>8</v>
      </c>
      <c r="M698" s="60"/>
      <c r="N698" s="61"/>
      <c r="O698" s="61"/>
      <c r="P698" s="62">
        <f>1-1+1</f>
        <v>1</v>
      </c>
      <c r="Q698" s="62">
        <f>3-1</f>
        <v>2</v>
      </c>
      <c r="R698" s="62">
        <f>5-1+1</f>
        <v>5</v>
      </c>
      <c r="S698" s="62">
        <f>1-1</f>
        <v>0</v>
      </c>
      <c r="T698" s="62">
        <f>3-3</f>
        <v>0</v>
      </c>
      <c r="U698" s="62"/>
      <c r="V698" s="62"/>
      <c r="W698" s="63"/>
      <c r="X698" s="63"/>
      <c r="Z698" s="64"/>
      <c r="AA698" s="54">
        <v>4290938</v>
      </c>
      <c r="AB698" s="54">
        <v>370</v>
      </c>
      <c r="AC698" s="54"/>
    </row>
    <row r="699" spans="1:29" ht="60" hidden="1" customHeight="1" x14ac:dyDescent="0.2">
      <c r="A699" s="50" t="s">
        <v>1049</v>
      </c>
      <c r="B699" s="51"/>
      <c r="C699" s="66" t="s">
        <v>827</v>
      </c>
      <c r="D699" s="53" t="s">
        <v>33</v>
      </c>
      <c r="E699" s="54" t="s">
        <v>34</v>
      </c>
      <c r="F699" s="55" t="s">
        <v>1031</v>
      </c>
      <c r="G699" s="67" t="s">
        <v>715</v>
      </c>
      <c r="H699" s="57" t="s">
        <v>378</v>
      </c>
      <c r="I699" s="55" t="s">
        <v>38</v>
      </c>
      <c r="J699" s="57" t="e">
        <f>ROUND(#REF!*2.4,-1)</f>
        <v>#REF!</v>
      </c>
      <c r="K699" s="58"/>
      <c r="L699" s="59">
        <v>0</v>
      </c>
      <c r="M699" s="60"/>
      <c r="N699" s="61"/>
      <c r="O699" s="61"/>
      <c r="P699" s="62"/>
      <c r="Q699" s="62"/>
      <c r="R699" s="62"/>
      <c r="S699" s="62"/>
      <c r="T699" s="62"/>
      <c r="U699" s="62"/>
      <c r="V699" s="62"/>
      <c r="W699" s="63"/>
      <c r="X699" s="63"/>
      <c r="Z699" s="64"/>
      <c r="AA699" s="54"/>
      <c r="AB699" s="54"/>
      <c r="AC699" s="54"/>
    </row>
    <row r="700" spans="1:29" ht="60" hidden="1" customHeight="1" x14ac:dyDescent="0.2">
      <c r="A700" s="50" t="s">
        <v>1050</v>
      </c>
      <c r="B700" s="51"/>
      <c r="C700" s="66" t="s">
        <v>1051</v>
      </c>
      <c r="D700" s="53" t="s">
        <v>33</v>
      </c>
      <c r="E700" s="54" t="s">
        <v>34</v>
      </c>
      <c r="F700" s="55" t="s">
        <v>287</v>
      </c>
      <c r="G700" s="67" t="s">
        <v>715</v>
      </c>
      <c r="H700" s="57" t="s">
        <v>128</v>
      </c>
      <c r="I700" s="55" t="s">
        <v>38</v>
      </c>
      <c r="J700" s="57" t="e">
        <f>ROUND(#REF!*2.4,-1)</f>
        <v>#REF!</v>
      </c>
      <c r="K700" s="58"/>
      <c r="L700" s="59">
        <f>1-1</f>
        <v>0</v>
      </c>
      <c r="M700" s="60"/>
      <c r="N700" s="61"/>
      <c r="O700" s="61"/>
      <c r="P700" s="62">
        <f>1-1</f>
        <v>0</v>
      </c>
      <c r="Q700" s="62">
        <f>1-1</f>
        <v>0</v>
      </c>
      <c r="R700" s="62">
        <f>1-1</f>
        <v>0</v>
      </c>
      <c r="S700" s="62">
        <f>1-1</f>
        <v>0</v>
      </c>
      <c r="T700" s="62"/>
      <c r="U700" s="62"/>
      <c r="V700" s="62"/>
      <c r="W700" s="63"/>
      <c r="X700" s="63"/>
      <c r="Z700" s="64"/>
      <c r="AA700" s="54"/>
      <c r="AB700" s="54"/>
      <c r="AC700" s="54"/>
    </row>
    <row r="701" spans="1:29" ht="38.25" x14ac:dyDescent="0.2">
      <c r="A701" s="50" t="s">
        <v>1052</v>
      </c>
      <c r="B701" s="74" t="s">
        <v>329</v>
      </c>
      <c r="C701" s="87" t="s">
        <v>1053</v>
      </c>
      <c r="D701" s="57" t="s">
        <v>48</v>
      </c>
      <c r="E701" s="54" t="s">
        <v>34</v>
      </c>
      <c r="F701" s="67" t="s">
        <v>1054</v>
      </c>
      <c r="G701" s="56" t="s">
        <v>36</v>
      </c>
      <c r="H701" s="57" t="s">
        <v>37</v>
      </c>
      <c r="I701" s="67" t="s">
        <v>51</v>
      </c>
      <c r="J701" s="57" t="e">
        <f>ROUND(#REF!*2.4,-1)</f>
        <v>#REF!</v>
      </c>
      <c r="K701" s="58"/>
      <c r="L701" s="59">
        <f>1-1+1</f>
        <v>1</v>
      </c>
      <c r="M701" s="60"/>
      <c r="N701" s="61"/>
      <c r="O701" s="61"/>
      <c r="P701" s="62"/>
      <c r="Q701" s="62"/>
      <c r="R701" s="62"/>
      <c r="S701" s="62"/>
      <c r="T701" s="62"/>
      <c r="U701" s="62">
        <f>1-1+1</f>
        <v>1</v>
      </c>
      <c r="V701" s="62"/>
      <c r="W701" s="63"/>
      <c r="X701" s="63"/>
      <c r="Z701" s="71"/>
      <c r="AA701" s="54"/>
      <c r="AB701" s="54"/>
      <c r="AC701" s="54"/>
    </row>
    <row r="702" spans="1:29" ht="25.5" x14ac:dyDescent="0.2">
      <c r="A702" s="50" t="s">
        <v>1055</v>
      </c>
      <c r="B702" s="74" t="s">
        <v>329</v>
      </c>
      <c r="C702" s="54" t="s">
        <v>1056</v>
      </c>
      <c r="D702" s="57" t="s">
        <v>48</v>
      </c>
      <c r="E702" s="54" t="s">
        <v>34</v>
      </c>
      <c r="F702" s="67" t="s">
        <v>1054</v>
      </c>
      <c r="G702" s="56" t="s">
        <v>36</v>
      </c>
      <c r="H702" s="57" t="s">
        <v>84</v>
      </c>
      <c r="I702" s="67" t="s">
        <v>51</v>
      </c>
      <c r="J702" s="57" t="e">
        <f>ROUND(#REF!*2.4,-1)</f>
        <v>#REF!</v>
      </c>
      <c r="K702" s="58"/>
      <c r="L702" s="59">
        <f>1-1+1</f>
        <v>1</v>
      </c>
      <c r="M702" s="60"/>
      <c r="N702" s="61"/>
      <c r="O702" s="61"/>
      <c r="P702" s="62"/>
      <c r="Q702" s="62"/>
      <c r="R702" s="62"/>
      <c r="S702" s="62"/>
      <c r="T702" s="62"/>
      <c r="U702" s="62">
        <f>1-1+1</f>
        <v>1</v>
      </c>
      <c r="V702" s="62"/>
      <c r="W702" s="63"/>
      <c r="X702" s="63"/>
      <c r="Z702" s="71"/>
      <c r="AA702" s="54"/>
      <c r="AB702" s="54"/>
      <c r="AC702" s="54"/>
    </row>
    <row r="703" spans="1:29" ht="25.5" x14ac:dyDescent="0.2">
      <c r="A703" s="50" t="s">
        <v>1057</v>
      </c>
      <c r="B703" s="74" t="s">
        <v>329</v>
      </c>
      <c r="C703" s="54" t="s">
        <v>1058</v>
      </c>
      <c r="D703" s="57" t="s">
        <v>48</v>
      </c>
      <c r="E703" s="54" t="s">
        <v>34</v>
      </c>
      <c r="F703" s="67" t="s">
        <v>1054</v>
      </c>
      <c r="G703" s="56" t="s">
        <v>36</v>
      </c>
      <c r="H703" s="57" t="s">
        <v>128</v>
      </c>
      <c r="I703" s="67" t="s">
        <v>51</v>
      </c>
      <c r="J703" s="57" t="e">
        <f>ROUND(#REF!*2.4,-1)</f>
        <v>#REF!</v>
      </c>
      <c r="K703" s="58"/>
      <c r="L703" s="59">
        <f>9-1+1</f>
        <v>9</v>
      </c>
      <c r="M703" s="60"/>
      <c r="N703" s="61"/>
      <c r="O703" s="61"/>
      <c r="P703" s="62"/>
      <c r="Q703" s="62"/>
      <c r="R703" s="62"/>
      <c r="S703" s="62"/>
      <c r="T703" s="62"/>
      <c r="U703" s="62">
        <f>9-1+1</f>
        <v>9</v>
      </c>
      <c r="V703" s="62"/>
      <c r="W703" s="63"/>
      <c r="X703" s="63"/>
      <c r="Z703" s="71"/>
      <c r="AA703" s="54"/>
      <c r="AB703" s="54"/>
      <c r="AC703" s="54"/>
    </row>
    <row r="704" spans="1:29" ht="25.5" x14ac:dyDescent="0.2">
      <c r="A704" s="50" t="s">
        <v>1059</v>
      </c>
      <c r="B704" s="74" t="s">
        <v>329</v>
      </c>
      <c r="C704" s="54" t="s">
        <v>1060</v>
      </c>
      <c r="D704" s="57" t="s">
        <v>48</v>
      </c>
      <c r="E704" s="54" t="s">
        <v>34</v>
      </c>
      <c r="F704" s="67" t="s">
        <v>1054</v>
      </c>
      <c r="G704" s="56" t="s">
        <v>36</v>
      </c>
      <c r="H704" s="57" t="s">
        <v>128</v>
      </c>
      <c r="I704" s="67" t="s">
        <v>51</v>
      </c>
      <c r="J704" s="57" t="e">
        <f>ROUND(#REF!*2.4,-1)</f>
        <v>#REF!</v>
      </c>
      <c r="K704" s="58"/>
      <c r="L704" s="59">
        <f>4-4+4</f>
        <v>4</v>
      </c>
      <c r="M704" s="60"/>
      <c r="N704" s="61"/>
      <c r="O704" s="61"/>
      <c r="P704" s="62"/>
      <c r="Q704" s="62"/>
      <c r="R704" s="62"/>
      <c r="S704" s="62"/>
      <c r="T704" s="62"/>
      <c r="U704" s="62">
        <f>4-4+4</f>
        <v>4</v>
      </c>
      <c r="V704" s="62"/>
      <c r="W704" s="63"/>
      <c r="X704" s="63"/>
      <c r="Z704" s="71"/>
      <c r="AA704" s="54"/>
      <c r="AB704" s="54"/>
      <c r="AC704" s="54"/>
    </row>
    <row r="705" spans="1:29" hidden="1" x14ac:dyDescent="0.2">
      <c r="A705" s="107" t="s">
        <v>1061</v>
      </c>
      <c r="B705" s="74"/>
      <c r="C705" s="54"/>
      <c r="D705" s="57"/>
      <c r="E705" s="54"/>
      <c r="F705" s="67"/>
      <c r="G705" s="67"/>
      <c r="H705" s="57"/>
      <c r="I705" s="67"/>
      <c r="J705" s="57"/>
      <c r="K705" s="58"/>
      <c r="L705" s="59"/>
      <c r="M705" s="60"/>
      <c r="N705" s="61"/>
      <c r="O705" s="61"/>
      <c r="P705" s="62"/>
      <c r="Q705" s="62"/>
      <c r="R705" s="62"/>
      <c r="S705" s="62"/>
      <c r="T705" s="62"/>
      <c r="U705" s="62"/>
      <c r="V705" s="62"/>
      <c r="W705" s="63"/>
      <c r="X705" s="63"/>
      <c r="Z705" s="71"/>
      <c r="AA705" s="54"/>
      <c r="AB705" s="54"/>
      <c r="AC705" s="54"/>
    </row>
    <row r="706" spans="1:29" x14ac:dyDescent="0.2">
      <c r="A706" s="107" t="s">
        <v>1062</v>
      </c>
      <c r="B706" s="74"/>
      <c r="C706" s="54"/>
      <c r="D706" s="57"/>
      <c r="E706" s="54"/>
      <c r="F706" s="67"/>
      <c r="G706" s="56" t="s">
        <v>36</v>
      </c>
      <c r="H706" s="57"/>
      <c r="I706" s="67"/>
      <c r="J706" s="57"/>
      <c r="K706" s="58"/>
      <c r="L706" s="59">
        <f>1</f>
        <v>1</v>
      </c>
      <c r="M706" s="60"/>
      <c r="N706" s="61"/>
      <c r="O706" s="61"/>
      <c r="P706" s="62"/>
      <c r="Q706" s="62">
        <f>1</f>
        <v>1</v>
      </c>
      <c r="R706" s="62"/>
      <c r="S706" s="62"/>
      <c r="T706" s="62"/>
      <c r="U706" s="62"/>
      <c r="V706" s="62"/>
      <c r="W706" s="63"/>
      <c r="X706" s="63"/>
      <c r="Z706" s="71"/>
      <c r="AA706" s="54"/>
      <c r="AB706" s="54"/>
      <c r="AC706" s="54"/>
    </row>
    <row r="707" spans="1:29" x14ac:dyDescent="0.2">
      <c r="A707" s="107" t="s">
        <v>1063</v>
      </c>
      <c r="B707" s="74"/>
      <c r="C707" s="54"/>
      <c r="D707" s="57"/>
      <c r="E707" s="54"/>
      <c r="F707" s="67"/>
      <c r="G707" s="56" t="s">
        <v>36</v>
      </c>
      <c r="H707" s="57"/>
      <c r="I707" s="67"/>
      <c r="J707" s="57"/>
      <c r="K707" s="58"/>
      <c r="L707" s="59">
        <f>1</f>
        <v>1</v>
      </c>
      <c r="M707" s="60"/>
      <c r="N707" s="61"/>
      <c r="O707" s="61"/>
      <c r="P707" s="62"/>
      <c r="Q707" s="62"/>
      <c r="R707" s="62"/>
      <c r="S707" s="62">
        <f>1</f>
        <v>1</v>
      </c>
      <c r="T707" s="62"/>
      <c r="U707" s="62"/>
      <c r="V707" s="62"/>
      <c r="W707" s="63"/>
      <c r="X707" s="63"/>
      <c r="Z707" s="71"/>
      <c r="AA707" s="54"/>
      <c r="AB707" s="54"/>
      <c r="AC707" s="54"/>
    </row>
    <row r="708" spans="1:29" hidden="1" x14ac:dyDescent="0.2">
      <c r="A708" s="107" t="s">
        <v>1064</v>
      </c>
      <c r="B708" s="74"/>
      <c r="C708" s="54"/>
      <c r="D708" s="57"/>
      <c r="E708" s="54"/>
      <c r="F708" s="67"/>
      <c r="G708" s="67"/>
      <c r="H708" s="57"/>
      <c r="I708" s="67"/>
      <c r="J708" s="57"/>
      <c r="K708" s="58"/>
      <c r="L708" s="59"/>
      <c r="M708" s="60"/>
      <c r="N708" s="61"/>
      <c r="O708" s="61"/>
      <c r="P708" s="62"/>
      <c r="Q708" s="62"/>
      <c r="R708" s="62"/>
      <c r="S708" s="62"/>
      <c r="T708" s="62"/>
      <c r="U708" s="62"/>
      <c r="V708" s="62"/>
      <c r="W708" s="63"/>
      <c r="X708" s="63"/>
      <c r="Z708" s="71"/>
      <c r="AA708" s="54"/>
      <c r="AB708" s="54"/>
      <c r="AC708" s="54"/>
    </row>
    <row r="709" spans="1:29" ht="60" hidden="1" customHeight="1" x14ac:dyDescent="0.2">
      <c r="A709" s="50" t="s">
        <v>1065</v>
      </c>
      <c r="B709" s="74"/>
      <c r="C709" s="66" t="s">
        <v>830</v>
      </c>
      <c r="D709" s="57" t="s">
        <v>134</v>
      </c>
      <c r="E709" s="54" t="s">
        <v>34</v>
      </c>
      <c r="F709" s="67" t="s">
        <v>135</v>
      </c>
      <c r="G709" s="67" t="s">
        <v>136</v>
      </c>
      <c r="H709" s="57" t="s">
        <v>37</v>
      </c>
      <c r="I709" s="67" t="s">
        <v>51</v>
      </c>
      <c r="J709" s="57" t="e">
        <f>ROUND(#REF!*2.4,-1)</f>
        <v>#REF!</v>
      </c>
      <c r="K709" s="58"/>
      <c r="L709" s="59">
        <v>0</v>
      </c>
      <c r="M709" s="60"/>
      <c r="N709" s="61"/>
      <c r="O709" s="61"/>
      <c r="P709" s="62"/>
      <c r="Q709" s="62"/>
      <c r="R709" s="62"/>
      <c r="S709" s="62"/>
      <c r="T709" s="62"/>
      <c r="U709" s="62"/>
      <c r="V709" s="62"/>
      <c r="W709" s="63"/>
      <c r="X709" s="63"/>
      <c r="Z709" s="64"/>
      <c r="AA709" s="54"/>
      <c r="AB709" s="54"/>
      <c r="AC709" s="54"/>
    </row>
    <row r="710" spans="1:29" ht="60" hidden="1" customHeight="1" x14ac:dyDescent="0.2">
      <c r="A710" s="50" t="s">
        <v>1066</v>
      </c>
      <c r="B710" s="74"/>
      <c r="C710" s="66" t="s">
        <v>313</v>
      </c>
      <c r="D710" s="57" t="s">
        <v>134</v>
      </c>
      <c r="E710" s="54" t="s">
        <v>34</v>
      </c>
      <c r="F710" s="67" t="s">
        <v>135</v>
      </c>
      <c r="G710" s="67" t="s">
        <v>136</v>
      </c>
      <c r="H710" s="57" t="s">
        <v>37</v>
      </c>
      <c r="I710" s="67" t="s">
        <v>51</v>
      </c>
      <c r="J710" s="57" t="e">
        <f>ROUND(#REF!*2.4,-1)</f>
        <v>#REF!</v>
      </c>
      <c r="K710" s="58"/>
      <c r="L710" s="59">
        <f>1-1</f>
        <v>0</v>
      </c>
      <c r="M710" s="60"/>
      <c r="N710" s="61"/>
      <c r="O710" s="61"/>
      <c r="P710" s="62">
        <f>2-2</f>
        <v>0</v>
      </c>
      <c r="Q710" s="62">
        <f>1-1</f>
        <v>0</v>
      </c>
      <c r="R710" s="62">
        <f>1-1</f>
        <v>0</v>
      </c>
      <c r="S710" s="62">
        <f>2-2</f>
        <v>0</v>
      </c>
      <c r="T710" s="62">
        <f>1-1</f>
        <v>0</v>
      </c>
      <c r="U710" s="62"/>
      <c r="V710" s="62"/>
      <c r="W710" s="63"/>
      <c r="X710" s="63"/>
      <c r="Z710" s="64"/>
      <c r="AA710" s="54"/>
      <c r="AB710" s="54"/>
      <c r="AC710" s="54"/>
    </row>
    <row r="711" spans="1:29" ht="60" hidden="1" customHeight="1" x14ac:dyDescent="0.2">
      <c r="A711" s="50" t="s">
        <v>1067</v>
      </c>
      <c r="B711" s="74"/>
      <c r="C711" s="66" t="s">
        <v>241</v>
      </c>
      <c r="D711" s="57" t="s">
        <v>134</v>
      </c>
      <c r="E711" s="54" t="s">
        <v>34</v>
      </c>
      <c r="F711" s="67" t="s">
        <v>135</v>
      </c>
      <c r="G711" s="67" t="s">
        <v>136</v>
      </c>
      <c r="H711" s="57" t="s">
        <v>37</v>
      </c>
      <c r="I711" s="67" t="s">
        <v>51</v>
      </c>
      <c r="J711" s="57" t="e">
        <f>ROUND(#REF!*2.4,-1)</f>
        <v>#REF!</v>
      </c>
      <c r="K711" s="58"/>
      <c r="L711" s="59">
        <f>1-1</f>
        <v>0</v>
      </c>
      <c r="M711" s="60"/>
      <c r="N711" s="61"/>
      <c r="O711" s="61"/>
      <c r="P711" s="62"/>
      <c r="Q711" s="62"/>
      <c r="R711" s="62">
        <f t="shared" ref="R711:S713" si="66">1-1</f>
        <v>0</v>
      </c>
      <c r="S711" s="62">
        <f t="shared" si="66"/>
        <v>0</v>
      </c>
      <c r="T711" s="62"/>
      <c r="U711" s="62"/>
      <c r="V711" s="62"/>
      <c r="W711" s="63"/>
      <c r="X711" s="63"/>
      <c r="Z711" s="71"/>
      <c r="AA711" s="54"/>
      <c r="AB711" s="54"/>
      <c r="AC711" s="54"/>
    </row>
    <row r="712" spans="1:29" ht="60" hidden="1" customHeight="1" x14ac:dyDescent="0.2">
      <c r="A712" s="50" t="s">
        <v>1068</v>
      </c>
      <c r="B712" s="74"/>
      <c r="C712" s="66" t="s">
        <v>381</v>
      </c>
      <c r="D712" s="57" t="s">
        <v>134</v>
      </c>
      <c r="E712" s="54" t="s">
        <v>34</v>
      </c>
      <c r="F712" s="67" t="s">
        <v>135</v>
      </c>
      <c r="G712" s="56" t="s">
        <v>36</v>
      </c>
      <c r="H712" s="57" t="s">
        <v>60</v>
      </c>
      <c r="I712" s="67" t="s">
        <v>51</v>
      </c>
      <c r="J712" s="57" t="e">
        <f>ROUND(#REF!*2.4,-1)</f>
        <v>#REF!</v>
      </c>
      <c r="K712" s="58"/>
      <c r="L712" s="59">
        <f>3-3</f>
        <v>0</v>
      </c>
      <c r="M712" s="60"/>
      <c r="N712" s="61"/>
      <c r="O712" s="61"/>
      <c r="P712" s="62">
        <f>3-3</f>
        <v>0</v>
      </c>
      <c r="Q712" s="62">
        <f>1-1</f>
        <v>0</v>
      </c>
      <c r="R712" s="62">
        <f t="shared" si="66"/>
        <v>0</v>
      </c>
      <c r="S712" s="62">
        <f t="shared" si="66"/>
        <v>0</v>
      </c>
      <c r="T712" s="62">
        <f>1-1</f>
        <v>0</v>
      </c>
      <c r="U712" s="62"/>
      <c r="V712" s="62"/>
      <c r="W712" s="63"/>
      <c r="X712" s="63"/>
      <c r="Z712" s="64"/>
      <c r="AA712" s="54"/>
      <c r="AB712" s="54"/>
      <c r="AC712" s="54"/>
    </row>
    <row r="713" spans="1:29" ht="60" hidden="1" customHeight="1" x14ac:dyDescent="0.2">
      <c r="A713" s="50" t="s">
        <v>1069</v>
      </c>
      <c r="B713" s="74"/>
      <c r="C713" s="66" t="s">
        <v>601</v>
      </c>
      <c r="D713" s="57" t="s">
        <v>134</v>
      </c>
      <c r="E713" s="54" t="s">
        <v>34</v>
      </c>
      <c r="F713" s="67" t="s">
        <v>135</v>
      </c>
      <c r="G713" s="56" t="s">
        <v>36</v>
      </c>
      <c r="H713" s="57" t="s">
        <v>60</v>
      </c>
      <c r="I713" s="67" t="s">
        <v>51</v>
      </c>
      <c r="J713" s="57">
        <v>480</v>
      </c>
      <c r="K713" s="58"/>
      <c r="L713" s="59">
        <f>1-1</f>
        <v>0</v>
      </c>
      <c r="M713" s="60"/>
      <c r="N713" s="61"/>
      <c r="O713" s="61"/>
      <c r="P713" s="62">
        <f>1-1</f>
        <v>0</v>
      </c>
      <c r="Q713" s="62">
        <f>1-1</f>
        <v>0</v>
      </c>
      <c r="R713" s="62">
        <f t="shared" si="66"/>
        <v>0</v>
      </c>
      <c r="S713" s="62">
        <f>1-1</f>
        <v>0</v>
      </c>
      <c r="T713" s="62">
        <f>1-1</f>
        <v>0</v>
      </c>
      <c r="U713" s="62"/>
      <c r="V713" s="62"/>
      <c r="W713" s="63"/>
      <c r="X713" s="63"/>
      <c r="Z713" s="64"/>
      <c r="AA713" s="54"/>
      <c r="AB713" s="54"/>
      <c r="AC713" s="54"/>
    </row>
    <row r="714" spans="1:29" ht="60" customHeight="1" x14ac:dyDescent="0.2">
      <c r="A714" s="50" t="s">
        <v>1070</v>
      </c>
      <c r="B714" s="74"/>
      <c r="C714" s="66" t="s">
        <v>620</v>
      </c>
      <c r="D714" s="57" t="s">
        <v>134</v>
      </c>
      <c r="E714" s="54" t="s">
        <v>34</v>
      </c>
      <c r="F714" s="55" t="s">
        <v>135</v>
      </c>
      <c r="G714" s="56" t="s">
        <v>36</v>
      </c>
      <c r="H714" s="57" t="s">
        <v>1071</v>
      </c>
      <c r="I714" s="67" t="s">
        <v>51</v>
      </c>
      <c r="J714" s="57" t="e">
        <f>ROUND(#REF!*2.4,-1)</f>
        <v>#REF!</v>
      </c>
      <c r="K714" s="58"/>
      <c r="L714" s="59">
        <f>6-1</f>
        <v>5</v>
      </c>
      <c r="M714" s="60"/>
      <c r="N714" s="61"/>
      <c r="O714" s="61"/>
      <c r="P714" s="62">
        <f>2-1</f>
        <v>1</v>
      </c>
      <c r="Q714" s="62">
        <f>1-1+1</f>
        <v>1</v>
      </c>
      <c r="R714" s="62">
        <f>4-1</f>
        <v>3</v>
      </c>
      <c r="S714" s="62">
        <f>1-1</f>
        <v>0</v>
      </c>
      <c r="T714" s="62">
        <f>1-1</f>
        <v>0</v>
      </c>
      <c r="U714" s="62"/>
      <c r="V714" s="62"/>
      <c r="W714" s="63"/>
      <c r="X714" s="63"/>
      <c r="Z714" s="64"/>
      <c r="AA714" s="54"/>
      <c r="AB714" s="54"/>
      <c r="AC714" s="54"/>
    </row>
    <row r="715" spans="1:29" ht="60" hidden="1" customHeight="1" x14ac:dyDescent="0.2">
      <c r="A715" s="50" t="s">
        <v>1072</v>
      </c>
      <c r="B715" s="74"/>
      <c r="C715" s="66" t="s">
        <v>120</v>
      </c>
      <c r="D715" s="57" t="s">
        <v>134</v>
      </c>
      <c r="E715" s="54" t="s">
        <v>34</v>
      </c>
      <c r="F715" s="67" t="s">
        <v>135</v>
      </c>
      <c r="G715" s="56" t="s">
        <v>36</v>
      </c>
      <c r="H715" s="57" t="s">
        <v>123</v>
      </c>
      <c r="I715" s="67" t="s">
        <v>51</v>
      </c>
      <c r="J715" s="57" t="e">
        <f>ROUND(#REF!*2.4,-1)</f>
        <v>#REF!</v>
      </c>
      <c r="K715" s="58"/>
      <c r="L715" s="59">
        <f>3-3</f>
        <v>0</v>
      </c>
      <c r="M715" s="80"/>
      <c r="N715" s="61"/>
      <c r="O715" s="61"/>
      <c r="P715" s="63">
        <f>1-1</f>
        <v>0</v>
      </c>
      <c r="Q715" s="63">
        <f>2-2</f>
        <v>0</v>
      </c>
      <c r="R715" s="63">
        <f>1-1</f>
        <v>0</v>
      </c>
      <c r="S715" s="63">
        <f>1-1</f>
        <v>0</v>
      </c>
      <c r="T715" s="63">
        <f>1-1</f>
        <v>0</v>
      </c>
      <c r="U715" s="63"/>
      <c r="V715" s="63"/>
      <c r="W715" s="63"/>
      <c r="X715" s="63"/>
      <c r="Z715" s="64"/>
      <c r="AA715" s="54"/>
      <c r="AB715" s="54"/>
      <c r="AC715" s="54"/>
    </row>
    <row r="716" spans="1:29" ht="60" hidden="1" customHeight="1" x14ac:dyDescent="0.2">
      <c r="A716" s="50" t="s">
        <v>1073</v>
      </c>
      <c r="B716" s="74"/>
      <c r="C716" s="66" t="s">
        <v>830</v>
      </c>
      <c r="D716" s="57" t="s">
        <v>134</v>
      </c>
      <c r="E716" s="54" t="s">
        <v>34</v>
      </c>
      <c r="F716" s="67" t="s">
        <v>135</v>
      </c>
      <c r="G716" s="67" t="s">
        <v>136</v>
      </c>
      <c r="H716" s="57" t="s">
        <v>132</v>
      </c>
      <c r="I716" s="67" t="s">
        <v>51</v>
      </c>
      <c r="J716" s="57" t="e">
        <f>ROUND(#REF!*2.4,-1)</f>
        <v>#REF!</v>
      </c>
      <c r="K716" s="58"/>
      <c r="L716" s="59">
        <v>0</v>
      </c>
      <c r="M716" s="60"/>
      <c r="N716" s="61"/>
      <c r="O716" s="61"/>
      <c r="P716" s="62"/>
      <c r="Q716" s="62"/>
      <c r="R716" s="62"/>
      <c r="S716" s="62"/>
      <c r="T716" s="62"/>
      <c r="U716" s="62"/>
      <c r="V716" s="62"/>
      <c r="W716" s="63"/>
      <c r="X716" s="63"/>
      <c r="Z716" s="64"/>
      <c r="AA716" s="54"/>
      <c r="AB716" s="54"/>
      <c r="AC716" s="54"/>
    </row>
    <row r="717" spans="1:29" ht="60" hidden="1" customHeight="1" x14ac:dyDescent="0.2">
      <c r="A717" s="50" t="s">
        <v>1074</v>
      </c>
      <c r="B717" s="74"/>
      <c r="C717" s="66" t="s">
        <v>815</v>
      </c>
      <c r="D717" s="57" t="s">
        <v>134</v>
      </c>
      <c r="E717" s="54" t="s">
        <v>34</v>
      </c>
      <c r="F717" s="67" t="s">
        <v>135</v>
      </c>
      <c r="G717" s="67" t="s">
        <v>136</v>
      </c>
      <c r="H717" s="57" t="s">
        <v>132</v>
      </c>
      <c r="I717" s="67" t="s">
        <v>51</v>
      </c>
      <c r="J717" s="57" t="e">
        <f>ROUND(#REF!*2.4,-1)</f>
        <v>#REF!</v>
      </c>
      <c r="K717" s="58"/>
      <c r="L717" s="59">
        <f>1-1</f>
        <v>0</v>
      </c>
      <c r="M717" s="60"/>
      <c r="N717" s="61"/>
      <c r="O717" s="61"/>
      <c r="P717" s="62">
        <f>1-1</f>
        <v>0</v>
      </c>
      <c r="Q717" s="62"/>
      <c r="R717" s="62"/>
      <c r="S717" s="62"/>
      <c r="T717" s="62"/>
      <c r="U717" s="62"/>
      <c r="V717" s="62"/>
      <c r="W717" s="63"/>
      <c r="X717" s="63"/>
      <c r="Z717" s="64"/>
      <c r="AA717" s="54"/>
      <c r="AB717" s="54"/>
      <c r="AC717" s="54"/>
    </row>
    <row r="718" spans="1:29" ht="60" hidden="1" customHeight="1" x14ac:dyDescent="0.2">
      <c r="A718" s="50" t="s">
        <v>1075</v>
      </c>
      <c r="B718" s="74"/>
      <c r="C718" s="66" t="s">
        <v>384</v>
      </c>
      <c r="D718" s="57" t="s">
        <v>134</v>
      </c>
      <c r="E718" s="54" t="s">
        <v>34</v>
      </c>
      <c r="F718" s="67" t="s">
        <v>135</v>
      </c>
      <c r="G718" s="67" t="s">
        <v>136</v>
      </c>
      <c r="H718" s="57" t="s">
        <v>340</v>
      </c>
      <c r="I718" s="67" t="s">
        <v>51</v>
      </c>
      <c r="J718" s="57" t="e">
        <f>ROUND(#REF!*2.4,-1)</f>
        <v>#REF!</v>
      </c>
      <c r="K718" s="58"/>
      <c r="L718" s="59">
        <f>2-2</f>
        <v>0</v>
      </c>
      <c r="M718" s="60"/>
      <c r="N718" s="61"/>
      <c r="O718" s="61"/>
      <c r="P718" s="62"/>
      <c r="Q718" s="62"/>
      <c r="R718" s="62">
        <f>1-1</f>
        <v>0</v>
      </c>
      <c r="S718" s="62">
        <f>1-1</f>
        <v>0</v>
      </c>
      <c r="T718" s="62"/>
      <c r="U718" s="62"/>
      <c r="V718" s="62"/>
      <c r="W718" s="63"/>
      <c r="X718" s="63"/>
      <c r="Z718" s="64"/>
      <c r="AA718" s="54"/>
      <c r="AB718" s="54"/>
      <c r="AC718" s="54"/>
    </row>
    <row r="719" spans="1:29" ht="60" hidden="1" customHeight="1" x14ac:dyDescent="0.2">
      <c r="A719" s="50" t="s">
        <v>1076</v>
      </c>
      <c r="B719" s="74"/>
      <c r="C719" s="87" t="s">
        <v>527</v>
      </c>
      <c r="D719" s="53" t="s">
        <v>58</v>
      </c>
      <c r="E719" s="54" t="s">
        <v>34</v>
      </c>
      <c r="F719" s="55" t="s">
        <v>370</v>
      </c>
      <c r="G719" s="67" t="s">
        <v>50</v>
      </c>
      <c r="H719" s="57" t="s">
        <v>375</v>
      </c>
      <c r="I719" s="55" t="s">
        <v>51</v>
      </c>
      <c r="J719" s="57" t="e">
        <f>ROUND(#REF!*2.4,-1)</f>
        <v>#REF!</v>
      </c>
      <c r="K719" s="58"/>
      <c r="L719" s="59">
        <v>0</v>
      </c>
      <c r="M719" s="60"/>
      <c r="N719" s="61"/>
      <c r="O719" s="61"/>
      <c r="P719" s="62"/>
      <c r="Q719" s="62"/>
      <c r="R719" s="62"/>
      <c r="S719" s="62"/>
      <c r="T719" s="62"/>
      <c r="U719" s="62"/>
      <c r="V719" s="62"/>
      <c r="W719" s="63"/>
      <c r="X719" s="63"/>
      <c r="Z719" s="64"/>
      <c r="AA719" s="54"/>
      <c r="AB719" s="54"/>
      <c r="AC719" s="54"/>
    </row>
    <row r="720" spans="1:29" ht="60" hidden="1" customHeight="1" x14ac:dyDescent="0.2">
      <c r="A720" s="50" t="s">
        <v>1077</v>
      </c>
      <c r="B720" s="74"/>
      <c r="C720" s="66" t="s">
        <v>838</v>
      </c>
      <c r="D720" s="53" t="s">
        <v>58</v>
      </c>
      <c r="E720" s="54" t="s">
        <v>34</v>
      </c>
      <c r="F720" s="55" t="s">
        <v>370</v>
      </c>
      <c r="G720" s="67" t="s">
        <v>50</v>
      </c>
      <c r="H720" s="57" t="s">
        <v>375</v>
      </c>
      <c r="I720" s="55" t="s">
        <v>51</v>
      </c>
      <c r="J720" s="57" t="e">
        <f>ROUND(#REF!*2.4,-1)</f>
        <v>#REF!</v>
      </c>
      <c r="K720" s="58"/>
      <c r="L720" s="59">
        <f>1-1</f>
        <v>0</v>
      </c>
      <c r="M720" s="60"/>
      <c r="N720" s="61"/>
      <c r="O720" s="61"/>
      <c r="P720" s="62"/>
      <c r="Q720" s="62"/>
      <c r="R720" s="62">
        <f>1-1</f>
        <v>0</v>
      </c>
      <c r="S720" s="62"/>
      <c r="T720" s="62"/>
      <c r="U720" s="62"/>
      <c r="V720" s="62"/>
      <c r="W720" s="63"/>
      <c r="X720" s="63"/>
      <c r="Z720" s="64"/>
      <c r="AA720" s="54"/>
      <c r="AB720" s="54"/>
      <c r="AC720" s="54"/>
    </row>
    <row r="721" spans="1:29" ht="60" hidden="1" customHeight="1" x14ac:dyDescent="0.2">
      <c r="A721" s="50" t="s">
        <v>1078</v>
      </c>
      <c r="B721" s="74"/>
      <c r="C721" s="66" t="s">
        <v>1079</v>
      </c>
      <c r="D721" s="53" t="s">
        <v>58</v>
      </c>
      <c r="E721" s="54" t="s">
        <v>34</v>
      </c>
      <c r="F721" s="55" t="s">
        <v>370</v>
      </c>
      <c r="G721" s="56" t="s">
        <v>36</v>
      </c>
      <c r="H721" s="57" t="s">
        <v>378</v>
      </c>
      <c r="I721" s="55" t="s">
        <v>51</v>
      </c>
      <c r="J721" s="57">
        <v>1580</v>
      </c>
      <c r="K721" s="58"/>
      <c r="L721" s="59">
        <f>1-1</f>
        <v>0</v>
      </c>
      <c r="M721" s="60"/>
      <c r="N721" s="61"/>
      <c r="O721" s="61"/>
      <c r="P721" s="62"/>
      <c r="Q721" s="62"/>
      <c r="R721" s="62">
        <f>1-1</f>
        <v>0</v>
      </c>
      <c r="S721" s="62">
        <f>1-1</f>
        <v>0</v>
      </c>
      <c r="T721" s="62"/>
      <c r="U721" s="62"/>
      <c r="V721" s="62"/>
      <c r="W721" s="63"/>
      <c r="X721" s="63"/>
      <c r="Z721" s="64"/>
      <c r="AA721" s="54"/>
      <c r="AB721" s="54"/>
      <c r="AC721" s="54"/>
    </row>
    <row r="722" spans="1:29" ht="60" hidden="1" customHeight="1" x14ac:dyDescent="0.2">
      <c r="A722" s="69" t="s">
        <v>1080</v>
      </c>
      <c r="B722" s="74"/>
      <c r="C722" s="66" t="s">
        <v>1081</v>
      </c>
      <c r="D722" s="53" t="s">
        <v>48</v>
      </c>
      <c r="E722" s="54" t="s">
        <v>34</v>
      </c>
      <c r="F722" s="55" t="s">
        <v>1082</v>
      </c>
      <c r="G722" s="56" t="s">
        <v>36</v>
      </c>
      <c r="H722" s="57" t="s">
        <v>37</v>
      </c>
      <c r="I722" s="55" t="s">
        <v>1083</v>
      </c>
      <c r="J722" s="57">
        <v>480</v>
      </c>
      <c r="K722" s="58"/>
      <c r="L722" s="59">
        <f>2-2</f>
        <v>0</v>
      </c>
      <c r="M722" s="60"/>
      <c r="N722" s="61"/>
      <c r="O722" s="61"/>
      <c r="P722" s="62"/>
      <c r="Q722" s="62">
        <f>1-1</f>
        <v>0</v>
      </c>
      <c r="R722" s="62">
        <f>2-2</f>
        <v>0</v>
      </c>
      <c r="S722" s="62">
        <f>1-1</f>
        <v>0</v>
      </c>
      <c r="T722" s="62"/>
      <c r="U722" s="62"/>
      <c r="V722" s="62"/>
      <c r="W722" s="63"/>
      <c r="X722" s="63"/>
      <c r="Z722" s="64"/>
      <c r="AA722" s="54"/>
      <c r="AB722" s="54"/>
      <c r="AC722" s="54"/>
    </row>
    <row r="723" spans="1:29" ht="60" customHeight="1" x14ac:dyDescent="0.2">
      <c r="A723" s="69" t="s">
        <v>1084</v>
      </c>
      <c r="B723" s="74"/>
      <c r="C723" s="66" t="s">
        <v>1085</v>
      </c>
      <c r="D723" s="53" t="s">
        <v>48</v>
      </c>
      <c r="E723" s="54" t="s">
        <v>34</v>
      </c>
      <c r="F723" s="55" t="s">
        <v>1082</v>
      </c>
      <c r="G723" s="56" t="s">
        <v>36</v>
      </c>
      <c r="H723" s="57" t="s">
        <v>84</v>
      </c>
      <c r="I723" s="55" t="s">
        <v>1083</v>
      </c>
      <c r="J723" s="57">
        <v>480</v>
      </c>
      <c r="K723" s="58"/>
      <c r="L723" s="59">
        <f>4-1</f>
        <v>3</v>
      </c>
      <c r="M723" s="60"/>
      <c r="N723" s="61"/>
      <c r="O723" s="61"/>
      <c r="P723" s="62"/>
      <c r="Q723" s="62">
        <f>1-1</f>
        <v>0</v>
      </c>
      <c r="R723" s="62">
        <f>3-1</f>
        <v>2</v>
      </c>
      <c r="S723" s="62">
        <f>1-1+1</f>
        <v>1</v>
      </c>
      <c r="T723" s="62"/>
      <c r="U723" s="62"/>
      <c r="V723" s="62"/>
      <c r="W723" s="63"/>
      <c r="X723" s="63"/>
      <c r="Z723" s="64"/>
      <c r="AA723" s="54"/>
      <c r="AB723" s="54"/>
      <c r="AC723" s="54"/>
    </row>
    <row r="724" spans="1:29" ht="60" customHeight="1" x14ac:dyDescent="0.2">
      <c r="A724" s="69" t="s">
        <v>1086</v>
      </c>
      <c r="B724" s="74"/>
      <c r="C724" s="66" t="s">
        <v>1081</v>
      </c>
      <c r="D724" s="53" t="s">
        <v>48</v>
      </c>
      <c r="E724" s="54" t="s">
        <v>34</v>
      </c>
      <c r="F724" s="55" t="s">
        <v>1082</v>
      </c>
      <c r="G724" s="56" t="s">
        <v>36</v>
      </c>
      <c r="H724" s="57" t="s">
        <v>340</v>
      </c>
      <c r="I724" s="55" t="s">
        <v>1083</v>
      </c>
      <c r="J724" s="57">
        <v>480</v>
      </c>
      <c r="K724" s="58"/>
      <c r="L724" s="59">
        <f>2-1+1</f>
        <v>2</v>
      </c>
      <c r="M724" s="60"/>
      <c r="N724" s="61"/>
      <c r="O724" s="61"/>
      <c r="P724" s="62"/>
      <c r="Q724" s="62">
        <f>1-1</f>
        <v>0</v>
      </c>
      <c r="R724" s="62">
        <f>1-1</f>
        <v>0</v>
      </c>
      <c r="S724" s="62">
        <f>1-1+1+1</f>
        <v>2</v>
      </c>
      <c r="T724" s="62"/>
      <c r="U724" s="62"/>
      <c r="V724" s="62"/>
      <c r="W724" s="63"/>
      <c r="X724" s="63"/>
      <c r="Z724" s="64"/>
      <c r="AA724" s="54">
        <v>4660044</v>
      </c>
      <c r="AB724" s="54">
        <v>439</v>
      </c>
      <c r="AC724" s="54"/>
    </row>
    <row r="725" spans="1:29" ht="60" customHeight="1" x14ac:dyDescent="0.2">
      <c r="A725" s="69" t="s">
        <v>1087</v>
      </c>
      <c r="B725" s="74"/>
      <c r="C725" s="66" t="s">
        <v>1081</v>
      </c>
      <c r="D725" s="53" t="s">
        <v>48</v>
      </c>
      <c r="E725" s="54" t="s">
        <v>34</v>
      </c>
      <c r="F725" s="55" t="s">
        <v>1082</v>
      </c>
      <c r="G725" s="56" t="s">
        <v>36</v>
      </c>
      <c r="H725" s="57" t="s">
        <v>378</v>
      </c>
      <c r="I725" s="55" t="s">
        <v>1083</v>
      </c>
      <c r="J725" s="57">
        <v>480</v>
      </c>
      <c r="K725" s="58"/>
      <c r="L725" s="59">
        <f>7-3</f>
        <v>4</v>
      </c>
      <c r="M725" s="60"/>
      <c r="N725" s="61"/>
      <c r="O725" s="61"/>
      <c r="P725" s="62"/>
      <c r="Q725" s="62">
        <f>1-1</f>
        <v>0</v>
      </c>
      <c r="R725" s="62">
        <f>7-3</f>
        <v>4</v>
      </c>
      <c r="S725" s="62">
        <f>1-1</f>
        <v>0</v>
      </c>
      <c r="T725" s="62">
        <f>1-1</f>
        <v>0</v>
      </c>
      <c r="U725" s="62">
        <f>1-1</f>
        <v>0</v>
      </c>
      <c r="V725" s="62"/>
      <c r="W725" s="63"/>
      <c r="X725" s="63"/>
      <c r="Z725" s="64"/>
      <c r="AA725" s="54"/>
      <c r="AB725" s="54"/>
      <c r="AC725" s="54"/>
    </row>
    <row r="726" spans="1:29" ht="60" customHeight="1" x14ac:dyDescent="0.2">
      <c r="A726" s="69" t="s">
        <v>1088</v>
      </c>
      <c r="B726" s="74"/>
      <c r="C726" s="66" t="s">
        <v>96</v>
      </c>
      <c r="D726" s="53" t="s">
        <v>762</v>
      </c>
      <c r="E726" s="54" t="s">
        <v>34</v>
      </c>
      <c r="F726" s="55" t="s">
        <v>762</v>
      </c>
      <c r="G726" s="67" t="s">
        <v>762</v>
      </c>
      <c r="H726" s="57" t="s">
        <v>37</v>
      </c>
      <c r="I726" s="55" t="s">
        <v>51</v>
      </c>
      <c r="J726" s="57">
        <v>1301</v>
      </c>
      <c r="K726" s="58"/>
      <c r="L726" s="59">
        <f>12-1</f>
        <v>11</v>
      </c>
      <c r="M726" s="60"/>
      <c r="N726" s="61"/>
      <c r="O726" s="61"/>
      <c r="P726" s="62"/>
      <c r="Q726" s="62">
        <f>2-1+1+2</f>
        <v>4</v>
      </c>
      <c r="R726" s="62">
        <f>3-1</f>
        <v>2</v>
      </c>
      <c r="S726" s="62">
        <f>3-1</f>
        <v>2</v>
      </c>
      <c r="T726" s="62">
        <f>1-1+3</f>
        <v>3</v>
      </c>
      <c r="U726" s="62"/>
      <c r="V726" s="62"/>
      <c r="W726" s="63"/>
      <c r="X726" s="63"/>
      <c r="Z726" s="64"/>
      <c r="AA726" s="54"/>
      <c r="AB726" s="54"/>
      <c r="AC726" s="54"/>
    </row>
    <row r="727" spans="1:29" ht="60" customHeight="1" x14ac:dyDescent="0.2">
      <c r="A727" s="69" t="s">
        <v>1089</v>
      </c>
      <c r="B727" s="70"/>
      <c r="C727" s="66" t="s">
        <v>40</v>
      </c>
      <c r="D727" s="53" t="s">
        <v>762</v>
      </c>
      <c r="E727" s="54" t="s">
        <v>34</v>
      </c>
      <c r="F727" s="55" t="s">
        <v>762</v>
      </c>
      <c r="G727" s="67" t="s">
        <v>762</v>
      </c>
      <c r="H727" s="57" t="s">
        <v>37</v>
      </c>
      <c r="I727" s="55" t="s">
        <v>51</v>
      </c>
      <c r="J727" s="57" t="e">
        <f>ROUND(#REF!*2.4,-1)</f>
        <v>#REF!</v>
      </c>
      <c r="K727" s="58"/>
      <c r="L727" s="59">
        <f>6-5</f>
        <v>1</v>
      </c>
      <c r="M727" s="60"/>
      <c r="N727" s="61"/>
      <c r="O727" s="61"/>
      <c r="P727" s="62"/>
      <c r="Q727" s="59">
        <f>4-3</f>
        <v>1</v>
      </c>
      <c r="R727" s="59">
        <f>2-2</f>
        <v>0</v>
      </c>
      <c r="S727" s="59">
        <f>1-1</f>
        <v>0</v>
      </c>
      <c r="T727" s="59">
        <f>1-1</f>
        <v>0</v>
      </c>
      <c r="U727" s="62"/>
      <c r="V727" s="62"/>
      <c r="W727" s="63"/>
      <c r="X727" s="63"/>
      <c r="Z727" s="64"/>
      <c r="AA727" s="54"/>
      <c r="AB727" s="54"/>
      <c r="AC727" s="54"/>
    </row>
    <row r="728" spans="1:29" ht="60" hidden="1" customHeight="1" x14ac:dyDescent="0.2">
      <c r="A728" s="69" t="s">
        <v>1090</v>
      </c>
      <c r="B728" s="70"/>
      <c r="C728" s="66" t="s">
        <v>40</v>
      </c>
      <c r="D728" s="53" t="s">
        <v>762</v>
      </c>
      <c r="E728" s="54" t="s">
        <v>34</v>
      </c>
      <c r="F728" s="55" t="s">
        <v>762</v>
      </c>
      <c r="G728" s="67" t="s">
        <v>762</v>
      </c>
      <c r="H728" s="57" t="s">
        <v>640</v>
      </c>
      <c r="I728" s="55" t="s">
        <v>51</v>
      </c>
      <c r="J728" s="57" t="e">
        <f>ROUND(#REF!*2.4,-1)</f>
        <v>#REF!</v>
      </c>
      <c r="K728" s="58"/>
      <c r="L728" s="59">
        <f>1-1</f>
        <v>0</v>
      </c>
      <c r="M728" s="60"/>
      <c r="N728" s="61"/>
      <c r="O728" s="61"/>
      <c r="P728" s="62"/>
      <c r="Q728" s="59">
        <f>2-2</f>
        <v>0</v>
      </c>
      <c r="R728" s="59">
        <f>1-1</f>
        <v>0</v>
      </c>
      <c r="S728" s="59">
        <f>2-2</f>
        <v>0</v>
      </c>
      <c r="T728" s="59">
        <f>1-1</f>
        <v>0</v>
      </c>
      <c r="U728" s="62"/>
      <c r="V728" s="62"/>
      <c r="W728" s="63"/>
      <c r="X728" s="63"/>
      <c r="Z728" s="64"/>
      <c r="AA728" s="54"/>
      <c r="AB728" s="54"/>
      <c r="AC728" s="54"/>
    </row>
    <row r="729" spans="1:29" ht="60" customHeight="1" x14ac:dyDescent="0.2">
      <c r="A729" s="69" t="s">
        <v>1091</v>
      </c>
      <c r="B729" s="70"/>
      <c r="C729" s="66" t="s">
        <v>283</v>
      </c>
      <c r="D729" s="53" t="s">
        <v>762</v>
      </c>
      <c r="E729" s="54" t="s">
        <v>34</v>
      </c>
      <c r="F729" s="55" t="s">
        <v>762</v>
      </c>
      <c r="G729" s="67" t="s">
        <v>762</v>
      </c>
      <c r="H729" s="57" t="s">
        <v>37</v>
      </c>
      <c r="I729" s="55" t="s">
        <v>51</v>
      </c>
      <c r="J729" s="57" t="e">
        <f>ROUND(#REF!*2.4,-1)</f>
        <v>#REF!</v>
      </c>
      <c r="K729" s="58"/>
      <c r="L729" s="59">
        <f>2-1</f>
        <v>1</v>
      </c>
      <c r="M729" s="60"/>
      <c r="N729" s="61"/>
      <c r="O729" s="61"/>
      <c r="P729" s="62"/>
      <c r="Q729" s="59">
        <f>1-1</f>
        <v>0</v>
      </c>
      <c r="R729" s="59">
        <f>2-1</f>
        <v>1</v>
      </c>
      <c r="S729" s="59">
        <f>1-1</f>
        <v>0</v>
      </c>
      <c r="T729" s="59">
        <f>1-1</f>
        <v>0</v>
      </c>
      <c r="U729" s="62"/>
      <c r="V729" s="62"/>
      <c r="W729" s="63"/>
      <c r="X729" s="63"/>
      <c r="Z729" s="64"/>
      <c r="AA729" s="54"/>
      <c r="AB729" s="54"/>
      <c r="AC729" s="54"/>
    </row>
    <row r="730" spans="1:29" ht="60" customHeight="1" x14ac:dyDescent="0.2">
      <c r="A730" s="72" t="s">
        <v>1092</v>
      </c>
      <c r="B730" s="74"/>
      <c r="C730" s="66" t="s">
        <v>205</v>
      </c>
      <c r="D730" s="53" t="s">
        <v>762</v>
      </c>
      <c r="E730" s="54" t="s">
        <v>34</v>
      </c>
      <c r="F730" s="55" t="s">
        <v>762</v>
      </c>
      <c r="G730" s="105" t="s">
        <v>762</v>
      </c>
      <c r="H730" s="57" t="s">
        <v>37</v>
      </c>
      <c r="I730" s="55" t="s">
        <v>51</v>
      </c>
      <c r="J730" s="57" t="e">
        <f>ROUND(#REF!*2.4,-1)</f>
        <v>#REF!</v>
      </c>
      <c r="K730" s="58"/>
      <c r="L730" s="59">
        <f>6-1+4</f>
        <v>9</v>
      </c>
      <c r="M730" s="60"/>
      <c r="N730" s="61"/>
      <c r="O730" s="61"/>
      <c r="P730" s="62"/>
      <c r="Q730" s="59">
        <f>4-1+2</f>
        <v>5</v>
      </c>
      <c r="R730" s="59">
        <f>2-1+2</f>
        <v>3</v>
      </c>
      <c r="S730" s="59">
        <f>2-2</f>
        <v>0</v>
      </c>
      <c r="T730" s="59">
        <f>3-2</f>
        <v>1</v>
      </c>
      <c r="U730" s="62"/>
      <c r="V730" s="62"/>
      <c r="W730" s="63"/>
      <c r="X730" s="63"/>
      <c r="Z730" s="71"/>
      <c r="AA730" s="54"/>
      <c r="AB730" s="54"/>
      <c r="AC730" s="54"/>
    </row>
    <row r="731" spans="1:29" ht="60" hidden="1" customHeight="1" x14ac:dyDescent="0.2">
      <c r="A731" s="72" t="s">
        <v>1093</v>
      </c>
      <c r="B731" s="74"/>
      <c r="C731" s="66" t="s">
        <v>205</v>
      </c>
      <c r="D731" s="53" t="s">
        <v>762</v>
      </c>
      <c r="E731" s="54" t="s">
        <v>34</v>
      </c>
      <c r="F731" s="55" t="s">
        <v>762</v>
      </c>
      <c r="G731" s="105" t="s">
        <v>762</v>
      </c>
      <c r="H731" s="57" t="s">
        <v>640</v>
      </c>
      <c r="I731" s="55" t="s">
        <v>51</v>
      </c>
      <c r="J731" s="57" t="e">
        <f>ROUND(#REF!*2.4,-1)</f>
        <v>#REF!</v>
      </c>
      <c r="K731" s="58"/>
      <c r="L731" s="59">
        <f>1-1</f>
        <v>0</v>
      </c>
      <c r="M731" s="60"/>
      <c r="N731" s="61"/>
      <c r="O731" s="61"/>
      <c r="P731" s="62"/>
      <c r="Q731" s="59">
        <f>1-1</f>
        <v>0</v>
      </c>
      <c r="R731" s="59">
        <f>1-1</f>
        <v>0</v>
      </c>
      <c r="S731" s="59">
        <f>2-2</f>
        <v>0</v>
      </c>
      <c r="T731" s="59">
        <f>2-2</f>
        <v>0</v>
      </c>
      <c r="U731" s="62"/>
      <c r="V731" s="62"/>
      <c r="W731" s="63"/>
      <c r="X731" s="63"/>
      <c r="Z731" s="71"/>
      <c r="AA731" s="54">
        <v>1456019</v>
      </c>
      <c r="AB731" s="54">
        <v>349</v>
      </c>
      <c r="AC731" s="54"/>
    </row>
    <row r="732" spans="1:29" ht="60" hidden="1" customHeight="1" x14ac:dyDescent="0.2">
      <c r="A732" s="69" t="s">
        <v>1094</v>
      </c>
      <c r="B732" s="74"/>
      <c r="C732" s="66" t="s">
        <v>191</v>
      </c>
      <c r="D732" s="53" t="s">
        <v>762</v>
      </c>
      <c r="E732" s="54" t="s">
        <v>34</v>
      </c>
      <c r="F732" s="55" t="s">
        <v>762</v>
      </c>
      <c r="G732" s="67" t="s">
        <v>762</v>
      </c>
      <c r="H732" s="57" t="s">
        <v>37</v>
      </c>
      <c r="I732" s="55" t="s">
        <v>51</v>
      </c>
      <c r="J732" s="57" t="e">
        <f>ROUND(#REF!*2.4,-1)</f>
        <v>#REF!</v>
      </c>
      <c r="K732" s="58"/>
      <c r="L732" s="59">
        <v>0</v>
      </c>
      <c r="M732" s="60"/>
      <c r="N732" s="61"/>
      <c r="O732" s="61"/>
      <c r="P732" s="62"/>
      <c r="Q732" s="59">
        <v>0</v>
      </c>
      <c r="R732" s="59">
        <v>0</v>
      </c>
      <c r="S732" s="59">
        <f>1-1</f>
        <v>0</v>
      </c>
      <c r="T732" s="59">
        <f>2-2</f>
        <v>0</v>
      </c>
      <c r="U732" s="62"/>
      <c r="V732" s="62"/>
      <c r="W732" s="63"/>
      <c r="X732" s="63"/>
      <c r="Z732" s="64"/>
      <c r="AA732" s="54"/>
      <c r="AB732" s="54"/>
      <c r="AC732" s="54"/>
    </row>
    <row r="733" spans="1:29" ht="60" hidden="1" customHeight="1" x14ac:dyDescent="0.2">
      <c r="A733" s="69" t="s">
        <v>1095</v>
      </c>
      <c r="B733" s="74"/>
      <c r="C733" s="66" t="s">
        <v>316</v>
      </c>
      <c r="D733" s="53" t="s">
        <v>762</v>
      </c>
      <c r="E733" s="54" t="s">
        <v>34</v>
      </c>
      <c r="F733" s="55" t="s">
        <v>762</v>
      </c>
      <c r="G733" s="67" t="s">
        <v>762</v>
      </c>
      <c r="H733" s="57" t="s">
        <v>37</v>
      </c>
      <c r="I733" s="55" t="s">
        <v>51</v>
      </c>
      <c r="J733" s="57" t="e">
        <f>ROUND(#REF!*2.4,-1)</f>
        <v>#REF!</v>
      </c>
      <c r="K733" s="58"/>
      <c r="L733" s="59">
        <f>1-1</f>
        <v>0</v>
      </c>
      <c r="M733" s="60"/>
      <c r="N733" s="61"/>
      <c r="O733" s="61"/>
      <c r="P733" s="62"/>
      <c r="Q733" s="59">
        <f t="shared" ref="Q733:S742" si="67">1-1</f>
        <v>0</v>
      </c>
      <c r="R733" s="59">
        <f t="shared" si="67"/>
        <v>0</v>
      </c>
      <c r="S733" s="59">
        <f>1-1</f>
        <v>0</v>
      </c>
      <c r="T733" s="59">
        <f>1-1</f>
        <v>0</v>
      </c>
      <c r="U733" s="62"/>
      <c r="V733" s="62"/>
      <c r="W733" s="63"/>
      <c r="X733" s="63"/>
      <c r="Z733" s="64"/>
      <c r="AA733" s="54"/>
      <c r="AB733" s="54"/>
      <c r="AC733" s="54"/>
    </row>
    <row r="734" spans="1:29" ht="60" customHeight="1" x14ac:dyDescent="0.2">
      <c r="A734" s="69" t="s">
        <v>1096</v>
      </c>
      <c r="B734" s="74"/>
      <c r="C734" s="66" t="s">
        <v>316</v>
      </c>
      <c r="D734" s="53" t="s">
        <v>762</v>
      </c>
      <c r="E734" s="54" t="s">
        <v>34</v>
      </c>
      <c r="F734" s="55" t="s">
        <v>762</v>
      </c>
      <c r="G734" s="67" t="s">
        <v>762</v>
      </c>
      <c r="H734" s="57" t="s">
        <v>646</v>
      </c>
      <c r="I734" s="55" t="s">
        <v>51</v>
      </c>
      <c r="J734" s="57" t="e">
        <f>ROUND(#REF!*2.4,-1)</f>
        <v>#REF!</v>
      </c>
      <c r="K734" s="58"/>
      <c r="L734" s="59">
        <f>1-1+1</f>
        <v>1</v>
      </c>
      <c r="M734" s="60"/>
      <c r="N734" s="61"/>
      <c r="O734" s="61"/>
      <c r="P734" s="62"/>
      <c r="Q734" s="62">
        <f>1-1</f>
        <v>0</v>
      </c>
      <c r="R734" s="62">
        <f t="shared" si="67"/>
        <v>0</v>
      </c>
      <c r="S734" s="62">
        <f>1-1+1</f>
        <v>1</v>
      </c>
      <c r="T734" s="62">
        <f>1-1</f>
        <v>0</v>
      </c>
      <c r="U734" s="62"/>
      <c r="V734" s="62"/>
      <c r="W734" s="63"/>
      <c r="X734" s="63"/>
      <c r="Z734" s="64"/>
      <c r="AA734" s="54"/>
      <c r="AB734" s="54"/>
      <c r="AC734" s="54"/>
    </row>
    <row r="735" spans="1:29" ht="60" hidden="1" customHeight="1" x14ac:dyDescent="0.2">
      <c r="A735" s="69" t="s">
        <v>1097</v>
      </c>
      <c r="B735" s="70"/>
      <c r="C735" s="66" t="s">
        <v>203</v>
      </c>
      <c r="D735" s="53" t="s">
        <v>762</v>
      </c>
      <c r="E735" s="54" t="s">
        <v>34</v>
      </c>
      <c r="F735" s="55" t="s">
        <v>762</v>
      </c>
      <c r="G735" s="67" t="s">
        <v>762</v>
      </c>
      <c r="H735" s="57" t="s">
        <v>37</v>
      </c>
      <c r="I735" s="55" t="s">
        <v>51</v>
      </c>
      <c r="J735" s="57" t="e">
        <f>ROUND(#REF!*2.4,-1)</f>
        <v>#REF!</v>
      </c>
      <c r="K735" s="58"/>
      <c r="L735" s="59">
        <f>1-1</f>
        <v>0</v>
      </c>
      <c r="M735" s="60"/>
      <c r="N735" s="61"/>
      <c r="O735" s="61"/>
      <c r="P735" s="62"/>
      <c r="Q735" s="59">
        <f t="shared" si="67"/>
        <v>0</v>
      </c>
      <c r="R735" s="59">
        <f t="shared" si="67"/>
        <v>0</v>
      </c>
      <c r="S735" s="59">
        <f t="shared" si="67"/>
        <v>0</v>
      </c>
      <c r="T735" s="59">
        <f>1-1</f>
        <v>0</v>
      </c>
      <c r="U735" s="62"/>
      <c r="V735" s="62"/>
      <c r="W735" s="63"/>
      <c r="X735" s="63"/>
      <c r="Z735" s="64"/>
      <c r="AA735" s="54"/>
      <c r="AB735" s="54"/>
      <c r="AC735" s="54"/>
    </row>
    <row r="736" spans="1:29" ht="60" hidden="1" customHeight="1" x14ac:dyDescent="0.2">
      <c r="A736" s="69" t="s">
        <v>1098</v>
      </c>
      <c r="B736" s="70"/>
      <c r="C736" s="66" t="s">
        <v>227</v>
      </c>
      <c r="D736" s="53" t="s">
        <v>762</v>
      </c>
      <c r="E736" s="54" t="s">
        <v>34</v>
      </c>
      <c r="F736" s="55" t="s">
        <v>762</v>
      </c>
      <c r="G736" s="105" t="s">
        <v>762</v>
      </c>
      <c r="H736" s="57" t="s">
        <v>37</v>
      </c>
      <c r="I736" s="55" t="s">
        <v>51</v>
      </c>
      <c r="J736" s="57" t="e">
        <f>ROUND(#REF!*2.4,-1)</f>
        <v>#REF!</v>
      </c>
      <c r="K736" s="58"/>
      <c r="L736" s="59">
        <f>1-1</f>
        <v>0</v>
      </c>
      <c r="M736" s="60"/>
      <c r="N736" s="61"/>
      <c r="O736" s="61"/>
      <c r="P736" s="62"/>
      <c r="Q736" s="59">
        <f t="shared" si="67"/>
        <v>0</v>
      </c>
      <c r="R736" s="59">
        <f t="shared" si="67"/>
        <v>0</v>
      </c>
      <c r="S736" s="59">
        <f t="shared" si="67"/>
        <v>0</v>
      </c>
      <c r="T736" s="59">
        <f>1-1+1-1</f>
        <v>0</v>
      </c>
      <c r="U736" s="62"/>
      <c r="V736" s="62"/>
      <c r="W736" s="63"/>
      <c r="X736" s="63"/>
      <c r="Z736" s="64"/>
      <c r="AA736" s="54"/>
      <c r="AB736" s="54"/>
      <c r="AC736" s="54"/>
    </row>
    <row r="737" spans="1:29" ht="60" customHeight="1" x14ac:dyDescent="0.2">
      <c r="A737" s="69" t="s">
        <v>1099</v>
      </c>
      <c r="B737" s="70"/>
      <c r="C737" s="66" t="s">
        <v>113</v>
      </c>
      <c r="D737" s="53" t="s">
        <v>762</v>
      </c>
      <c r="E737" s="54" t="s">
        <v>34</v>
      </c>
      <c r="F737" s="55" t="s">
        <v>762</v>
      </c>
      <c r="G737" s="105" t="s">
        <v>762</v>
      </c>
      <c r="H737" s="57" t="s">
        <v>37</v>
      </c>
      <c r="I737" s="55" t="s">
        <v>51</v>
      </c>
      <c r="J737" s="57" t="e">
        <f>ROUND(#REF!*2.4,-1)</f>
        <v>#REF!</v>
      </c>
      <c r="K737" s="58"/>
      <c r="L737" s="59">
        <f>5-2</f>
        <v>3</v>
      </c>
      <c r="M737" s="60"/>
      <c r="N737" s="61"/>
      <c r="O737" s="61"/>
      <c r="P737" s="62"/>
      <c r="Q737" s="59">
        <f>5-2</f>
        <v>3</v>
      </c>
      <c r="R737" s="59">
        <f>2-2</f>
        <v>0</v>
      </c>
      <c r="S737" s="59">
        <f>1-1</f>
        <v>0</v>
      </c>
      <c r="T737" s="59">
        <f>1-1</f>
        <v>0</v>
      </c>
      <c r="U737" s="62"/>
      <c r="V737" s="62"/>
      <c r="W737" s="63"/>
      <c r="X737" s="63"/>
      <c r="Z737" s="64"/>
      <c r="AA737" s="54"/>
      <c r="AB737" s="54"/>
      <c r="AC737" s="54"/>
    </row>
    <row r="738" spans="1:29" ht="60" customHeight="1" x14ac:dyDescent="0.2">
      <c r="A738" s="72" t="s">
        <v>1100</v>
      </c>
      <c r="B738" s="74"/>
      <c r="C738" s="66" t="s">
        <v>229</v>
      </c>
      <c r="D738" s="53" t="s">
        <v>762</v>
      </c>
      <c r="E738" s="54" t="s">
        <v>34</v>
      </c>
      <c r="F738" s="55" t="s">
        <v>762</v>
      </c>
      <c r="G738" s="67" t="s">
        <v>762</v>
      </c>
      <c r="H738" s="57" t="s">
        <v>640</v>
      </c>
      <c r="I738" s="55" t="s">
        <v>51</v>
      </c>
      <c r="J738" s="57" t="e">
        <f>ROUND(#REF!*2.4,-1)</f>
        <v>#REF!</v>
      </c>
      <c r="K738" s="58"/>
      <c r="L738" s="59">
        <f>1-1+1</f>
        <v>1</v>
      </c>
      <c r="M738" s="60"/>
      <c r="N738" s="61"/>
      <c r="O738" s="61"/>
      <c r="P738" s="62"/>
      <c r="Q738" s="59">
        <f>1-1</f>
        <v>0</v>
      </c>
      <c r="R738" s="59">
        <f>1-1</f>
        <v>0</v>
      </c>
      <c r="S738" s="59">
        <f t="shared" si="67"/>
        <v>0</v>
      </c>
      <c r="T738" s="59">
        <f>1-1+1</f>
        <v>1</v>
      </c>
      <c r="U738" s="62"/>
      <c r="V738" s="62"/>
      <c r="W738" s="63"/>
      <c r="X738" s="63"/>
      <c r="Z738" s="71"/>
      <c r="AA738" s="54"/>
      <c r="AB738" s="54"/>
      <c r="AC738" s="54"/>
    </row>
    <row r="739" spans="1:29" ht="60" customHeight="1" x14ac:dyDescent="0.2">
      <c r="A739" s="69" t="s">
        <v>1101</v>
      </c>
      <c r="B739" s="74"/>
      <c r="C739" s="66" t="s">
        <v>374</v>
      </c>
      <c r="D739" s="53" t="s">
        <v>762</v>
      </c>
      <c r="E739" s="54" t="s">
        <v>34</v>
      </c>
      <c r="F739" s="55" t="s">
        <v>762</v>
      </c>
      <c r="G739" s="67" t="s">
        <v>762</v>
      </c>
      <c r="H739" s="57" t="s">
        <v>378</v>
      </c>
      <c r="I739" s="55" t="s">
        <v>51</v>
      </c>
      <c r="J739" s="57" t="e">
        <f>ROUND(#REF!*2.4,-1)</f>
        <v>#REF!</v>
      </c>
      <c r="K739" s="58"/>
      <c r="L739" s="59">
        <f>8-1</f>
        <v>7</v>
      </c>
      <c r="M739" s="60"/>
      <c r="N739" s="61"/>
      <c r="O739" s="61"/>
      <c r="P739" s="62"/>
      <c r="Q739" s="59">
        <f>4-1</f>
        <v>3</v>
      </c>
      <c r="R739" s="59">
        <f>4-1</f>
        <v>3</v>
      </c>
      <c r="S739" s="59">
        <f>1-1</f>
        <v>0</v>
      </c>
      <c r="T739" s="59">
        <f>2-1</f>
        <v>1</v>
      </c>
      <c r="U739" s="62"/>
      <c r="V739" s="62"/>
      <c r="W739" s="63"/>
      <c r="X739" s="63"/>
      <c r="Z739" s="64"/>
      <c r="AA739" s="54"/>
      <c r="AB739" s="54"/>
      <c r="AC739" s="54"/>
    </row>
    <row r="740" spans="1:29" ht="60" customHeight="1" x14ac:dyDescent="0.2">
      <c r="A740" s="69" t="s">
        <v>1102</v>
      </c>
      <c r="B740" s="74"/>
      <c r="C740" s="66" t="s">
        <v>162</v>
      </c>
      <c r="D740" s="53" t="s">
        <v>762</v>
      </c>
      <c r="E740" s="54" t="s">
        <v>34</v>
      </c>
      <c r="F740" s="55" t="s">
        <v>762</v>
      </c>
      <c r="G740" s="67" t="s">
        <v>762</v>
      </c>
      <c r="H740" s="57" t="s">
        <v>378</v>
      </c>
      <c r="I740" s="55" t="s">
        <v>51</v>
      </c>
      <c r="J740" s="57" t="e">
        <f>ROUND(#REF!*2.4,-1)</f>
        <v>#REF!</v>
      </c>
      <c r="K740" s="58"/>
      <c r="L740" s="59">
        <f>20-3</f>
        <v>17</v>
      </c>
      <c r="M740" s="60"/>
      <c r="N740" s="61"/>
      <c r="O740" s="61"/>
      <c r="P740" s="62"/>
      <c r="Q740" s="59">
        <f>5</f>
        <v>5</v>
      </c>
      <c r="R740" s="59">
        <f>5</f>
        <v>5</v>
      </c>
      <c r="S740" s="59">
        <f>5-1</f>
        <v>4</v>
      </c>
      <c r="T740" s="59">
        <f>5-2</f>
        <v>3</v>
      </c>
      <c r="U740" s="62"/>
      <c r="V740" s="62"/>
      <c r="W740" s="63"/>
      <c r="X740" s="63"/>
      <c r="Z740" s="64"/>
      <c r="AA740" s="54"/>
      <c r="AB740" s="54"/>
      <c r="AC740" s="54"/>
    </row>
    <row r="741" spans="1:29" ht="60" customHeight="1" x14ac:dyDescent="0.2">
      <c r="A741" s="69" t="s">
        <v>1103</v>
      </c>
      <c r="B741" s="74"/>
      <c r="C741" s="66" t="s">
        <v>276</v>
      </c>
      <c r="D741" s="53" t="s">
        <v>762</v>
      </c>
      <c r="E741" s="54" t="s">
        <v>34</v>
      </c>
      <c r="F741" s="55" t="s">
        <v>762</v>
      </c>
      <c r="G741" s="67" t="s">
        <v>762</v>
      </c>
      <c r="H741" s="57" t="s">
        <v>646</v>
      </c>
      <c r="I741" s="55" t="s">
        <v>51</v>
      </c>
      <c r="J741" s="57" t="e">
        <f>ROUND(#REF!*2.4,-1)</f>
        <v>#REF!</v>
      </c>
      <c r="K741" s="58"/>
      <c r="L741" s="59">
        <f>6-2</f>
        <v>4</v>
      </c>
      <c r="M741" s="60"/>
      <c r="N741" s="61"/>
      <c r="O741" s="61"/>
      <c r="P741" s="62"/>
      <c r="Q741" s="59">
        <f>2-1</f>
        <v>1</v>
      </c>
      <c r="R741" s="59">
        <f>3-1</f>
        <v>2</v>
      </c>
      <c r="S741" s="59">
        <f t="shared" si="67"/>
        <v>0</v>
      </c>
      <c r="T741" s="59">
        <f>2-1</f>
        <v>1</v>
      </c>
      <c r="U741" s="62"/>
      <c r="V741" s="62"/>
      <c r="W741" s="63"/>
      <c r="X741" s="63"/>
      <c r="Z741" s="64"/>
      <c r="AA741" s="54"/>
      <c r="AB741" s="54"/>
      <c r="AC741" s="54"/>
    </row>
    <row r="742" spans="1:29" ht="60" hidden="1" customHeight="1" x14ac:dyDescent="0.2">
      <c r="A742" s="69" t="s">
        <v>1104</v>
      </c>
      <c r="B742" s="74"/>
      <c r="C742" s="66" t="s">
        <v>446</v>
      </c>
      <c r="D742" s="53" t="s">
        <v>762</v>
      </c>
      <c r="E742" s="54" t="s">
        <v>34</v>
      </c>
      <c r="F742" s="55" t="s">
        <v>762</v>
      </c>
      <c r="G742" s="67" t="s">
        <v>762</v>
      </c>
      <c r="H742" s="57" t="s">
        <v>646</v>
      </c>
      <c r="I742" s="55" t="s">
        <v>51</v>
      </c>
      <c r="J742" s="57" t="e">
        <f>ROUND(#REF!*2.4,-1)</f>
        <v>#REF!</v>
      </c>
      <c r="K742" s="58"/>
      <c r="L742" s="59">
        <f>1-1</f>
        <v>0</v>
      </c>
      <c r="M742" s="60"/>
      <c r="N742" s="61"/>
      <c r="O742" s="61"/>
      <c r="P742" s="62"/>
      <c r="Q742" s="59">
        <f>1-1</f>
        <v>0</v>
      </c>
      <c r="R742" s="59">
        <f>1-1</f>
        <v>0</v>
      </c>
      <c r="S742" s="59">
        <f t="shared" si="67"/>
        <v>0</v>
      </c>
      <c r="T742" s="59">
        <f>1-1</f>
        <v>0</v>
      </c>
      <c r="U742" s="62"/>
      <c r="V742" s="62"/>
      <c r="W742" s="63"/>
      <c r="X742" s="63"/>
      <c r="Z742" s="64"/>
      <c r="AA742" s="54"/>
      <c r="AB742" s="54"/>
      <c r="AC742" s="54"/>
    </row>
    <row r="743" spans="1:29" ht="60" customHeight="1" x14ac:dyDescent="0.2">
      <c r="A743" s="69" t="s">
        <v>1105</v>
      </c>
      <c r="B743" s="74"/>
      <c r="C743" s="66" t="s">
        <v>680</v>
      </c>
      <c r="D743" s="53" t="s">
        <v>762</v>
      </c>
      <c r="E743" s="54" t="s">
        <v>34</v>
      </c>
      <c r="F743" s="55" t="s">
        <v>762</v>
      </c>
      <c r="G743" s="67" t="s">
        <v>762</v>
      </c>
      <c r="H743" s="57" t="s">
        <v>149</v>
      </c>
      <c r="I743" s="55" t="s">
        <v>51</v>
      </c>
      <c r="J743" s="57" t="e">
        <f>ROUND(#REF!*2.4,-1)</f>
        <v>#REF!</v>
      </c>
      <c r="K743" s="58"/>
      <c r="L743" s="59">
        <f>11-1</f>
        <v>10</v>
      </c>
      <c r="M743" s="60"/>
      <c r="N743" s="61"/>
      <c r="O743" s="61"/>
      <c r="P743" s="62"/>
      <c r="Q743" s="59">
        <f>4-1+1+1</f>
        <v>5</v>
      </c>
      <c r="R743" s="59">
        <f>4-1</f>
        <v>3</v>
      </c>
      <c r="S743" s="59">
        <f>2-1</f>
        <v>1</v>
      </c>
      <c r="T743" s="59">
        <f>2-1</f>
        <v>1</v>
      </c>
      <c r="U743" s="62"/>
      <c r="V743" s="62"/>
      <c r="W743" s="63"/>
      <c r="X743" s="63"/>
      <c r="Z743" s="64"/>
      <c r="AA743" s="54">
        <v>1475622</v>
      </c>
      <c r="AB743" s="54">
        <v>350</v>
      </c>
      <c r="AC743" s="54"/>
    </row>
    <row r="744" spans="1:29" ht="60" customHeight="1" x14ac:dyDescent="0.2">
      <c r="A744" s="69" t="s">
        <v>1106</v>
      </c>
      <c r="B744" s="74"/>
      <c r="C744" s="66" t="s">
        <v>346</v>
      </c>
      <c r="D744" s="53" t="s">
        <v>762</v>
      </c>
      <c r="E744" s="54" t="s">
        <v>34</v>
      </c>
      <c r="F744" s="55" t="s">
        <v>762</v>
      </c>
      <c r="G744" s="105" t="s">
        <v>762</v>
      </c>
      <c r="H744" s="57" t="s">
        <v>103</v>
      </c>
      <c r="I744" s="55" t="s">
        <v>51</v>
      </c>
      <c r="J744" s="57" t="e">
        <f>ROUND(#REF!*2.4,-1)</f>
        <v>#REF!</v>
      </c>
      <c r="K744" s="58"/>
      <c r="L744" s="59">
        <f>2-1</f>
        <v>1</v>
      </c>
      <c r="M744" s="60"/>
      <c r="N744" s="61"/>
      <c r="O744" s="61"/>
      <c r="P744" s="62"/>
      <c r="Q744" s="59">
        <f>2-1</f>
        <v>1</v>
      </c>
      <c r="R744" s="59">
        <f>1-1</f>
        <v>0</v>
      </c>
      <c r="S744" s="59">
        <f>1-1</f>
        <v>0</v>
      </c>
      <c r="T744" s="59">
        <f>1-1</f>
        <v>0</v>
      </c>
      <c r="U744" s="62"/>
      <c r="V744" s="62"/>
      <c r="W744" s="63"/>
      <c r="X744" s="63"/>
      <c r="Z744" s="71"/>
      <c r="AA744" s="54">
        <v>1481615</v>
      </c>
      <c r="AB744" s="54">
        <v>351</v>
      </c>
      <c r="AC744" s="54"/>
    </row>
    <row r="745" spans="1:29" ht="60" customHeight="1" x14ac:dyDescent="0.2">
      <c r="A745" s="72" t="s">
        <v>1107</v>
      </c>
      <c r="B745" s="74"/>
      <c r="C745" s="66" t="s">
        <v>686</v>
      </c>
      <c r="D745" s="53" t="s">
        <v>762</v>
      </c>
      <c r="E745" s="54" t="s">
        <v>34</v>
      </c>
      <c r="F745" s="55" t="s">
        <v>762</v>
      </c>
      <c r="G745" s="105" t="s">
        <v>762</v>
      </c>
      <c r="H745" s="57" t="s">
        <v>103</v>
      </c>
      <c r="I745" s="55" t="s">
        <v>51</v>
      </c>
      <c r="J745" s="57" t="e">
        <f>ROUND(#REF!*2.4,-1)</f>
        <v>#REF!</v>
      </c>
      <c r="K745" s="58"/>
      <c r="L745" s="59">
        <f>6-1</f>
        <v>5</v>
      </c>
      <c r="M745" s="60"/>
      <c r="N745" s="61"/>
      <c r="O745" s="61"/>
      <c r="P745" s="62"/>
      <c r="Q745" s="59">
        <f>1-1+1</f>
        <v>1</v>
      </c>
      <c r="R745" s="59">
        <f>4-1</f>
        <v>3</v>
      </c>
      <c r="S745" s="59">
        <f>1-1</f>
        <v>0</v>
      </c>
      <c r="T745" s="59">
        <f>2-1</f>
        <v>1</v>
      </c>
      <c r="U745" s="62"/>
      <c r="V745" s="62"/>
      <c r="W745" s="63"/>
      <c r="X745" s="63"/>
      <c r="Z745" s="71"/>
      <c r="AA745" s="54"/>
      <c r="AB745" s="54"/>
      <c r="AC745" s="54"/>
    </row>
    <row r="746" spans="1:29" ht="60" customHeight="1" x14ac:dyDescent="0.2">
      <c r="A746" s="72" t="s">
        <v>1108</v>
      </c>
      <c r="B746" s="70"/>
      <c r="C746" s="66" t="s">
        <v>74</v>
      </c>
      <c r="D746" s="53" t="s">
        <v>762</v>
      </c>
      <c r="E746" s="54" t="s">
        <v>34</v>
      </c>
      <c r="F746" s="55" t="s">
        <v>762</v>
      </c>
      <c r="G746" s="105" t="s">
        <v>762</v>
      </c>
      <c r="H746" s="57" t="s">
        <v>103</v>
      </c>
      <c r="I746" s="55" t="s">
        <v>51</v>
      </c>
      <c r="J746" s="57" t="e">
        <f>ROUND(#REF!*2.4,-1)</f>
        <v>#REF!</v>
      </c>
      <c r="K746" s="58"/>
      <c r="L746" s="59">
        <f>20-2</f>
        <v>18</v>
      </c>
      <c r="M746" s="60"/>
      <c r="N746" s="61"/>
      <c r="O746" s="61"/>
      <c r="P746" s="62"/>
      <c r="Q746" s="59">
        <f>4</f>
        <v>4</v>
      </c>
      <c r="R746" s="59">
        <f>7</f>
        <v>7</v>
      </c>
      <c r="S746" s="59">
        <f>4-2</f>
        <v>2</v>
      </c>
      <c r="T746" s="59">
        <f>6-1</f>
        <v>5</v>
      </c>
      <c r="U746" s="62"/>
      <c r="V746" s="62"/>
      <c r="W746" s="63"/>
      <c r="X746" s="63"/>
      <c r="Z746" s="71"/>
      <c r="AA746" s="54"/>
      <c r="AB746" s="54"/>
      <c r="AC746" s="54"/>
    </row>
    <row r="747" spans="1:29" ht="60" customHeight="1" x14ac:dyDescent="0.2">
      <c r="A747" s="69" t="s">
        <v>1109</v>
      </c>
      <c r="B747" s="74"/>
      <c r="C747" s="66" t="s">
        <v>446</v>
      </c>
      <c r="D747" s="53" t="s">
        <v>762</v>
      </c>
      <c r="E747" s="54" t="s">
        <v>34</v>
      </c>
      <c r="F747" s="55" t="s">
        <v>762</v>
      </c>
      <c r="G747" s="105" t="s">
        <v>762</v>
      </c>
      <c r="H747" s="57" t="s">
        <v>378</v>
      </c>
      <c r="I747" s="55" t="s">
        <v>51</v>
      </c>
      <c r="J747" s="57" t="e">
        <f>ROUND(#REF!*2.4,-1)</f>
        <v>#REF!</v>
      </c>
      <c r="K747" s="58"/>
      <c r="L747" s="59">
        <f>5-1</f>
        <v>4</v>
      </c>
      <c r="M747" s="60"/>
      <c r="N747" s="61"/>
      <c r="O747" s="61"/>
      <c r="P747" s="62"/>
      <c r="Q747" s="59">
        <f>1-1</f>
        <v>0</v>
      </c>
      <c r="R747" s="59">
        <f>3-1</f>
        <v>2</v>
      </c>
      <c r="S747" s="59">
        <f>3-1</f>
        <v>2</v>
      </c>
      <c r="T747" s="59">
        <f>1-1</f>
        <v>0</v>
      </c>
      <c r="U747" s="62"/>
      <c r="V747" s="62"/>
      <c r="W747" s="63"/>
      <c r="X747" s="63"/>
      <c r="Z747" s="64"/>
      <c r="AA747" s="54"/>
      <c r="AB747" s="54"/>
      <c r="AC747" s="54"/>
    </row>
    <row r="748" spans="1:29" ht="60" customHeight="1" x14ac:dyDescent="0.2">
      <c r="A748" s="72" t="s">
        <v>1110</v>
      </c>
      <c r="B748" s="74"/>
      <c r="C748" s="66" t="s">
        <v>367</v>
      </c>
      <c r="D748" s="53" t="s">
        <v>762</v>
      </c>
      <c r="E748" s="54" t="s">
        <v>34</v>
      </c>
      <c r="F748" s="55" t="s">
        <v>762</v>
      </c>
      <c r="G748" s="67" t="s">
        <v>762</v>
      </c>
      <c r="H748" s="57" t="s">
        <v>123</v>
      </c>
      <c r="I748" s="55" t="s">
        <v>51</v>
      </c>
      <c r="J748" s="57" t="e">
        <f>ROUND(#REF!*2.4,-1)</f>
        <v>#REF!</v>
      </c>
      <c r="K748" s="58"/>
      <c r="L748" s="59">
        <f>2-1+1</f>
        <v>2</v>
      </c>
      <c r="M748" s="60"/>
      <c r="N748" s="61"/>
      <c r="O748" s="61"/>
      <c r="P748" s="62"/>
      <c r="Q748" s="62">
        <f>1-1+1</f>
        <v>1</v>
      </c>
      <c r="R748" s="62">
        <f>1-1+1</f>
        <v>1</v>
      </c>
      <c r="S748" s="62">
        <f>3-3</f>
        <v>0</v>
      </c>
      <c r="T748" s="62">
        <f>1-1</f>
        <v>0</v>
      </c>
      <c r="U748" s="62"/>
      <c r="V748" s="62"/>
      <c r="W748" s="63"/>
      <c r="X748" s="63"/>
      <c r="Z748" s="64"/>
      <c r="AA748" s="54"/>
      <c r="AB748" s="54"/>
      <c r="AC748" s="54"/>
    </row>
    <row r="749" spans="1:29" ht="60" customHeight="1" x14ac:dyDescent="0.2">
      <c r="A749" s="50" t="s">
        <v>1111</v>
      </c>
      <c r="B749" s="74"/>
      <c r="C749" s="87" t="s">
        <v>421</v>
      </c>
      <c r="D749" s="53" t="s">
        <v>33</v>
      </c>
      <c r="E749" s="68" t="s">
        <v>34</v>
      </c>
      <c r="F749" s="55" t="s">
        <v>1112</v>
      </c>
      <c r="G749" s="56" t="s">
        <v>36</v>
      </c>
      <c r="H749" s="57" t="s">
        <v>37</v>
      </c>
      <c r="I749" s="55" t="s">
        <v>38</v>
      </c>
      <c r="J749" s="57" t="e">
        <f>ROUND(#REF!*2.4,-1)</f>
        <v>#REF!</v>
      </c>
      <c r="K749" s="58"/>
      <c r="L749" s="59">
        <f>3-2</f>
        <v>1</v>
      </c>
      <c r="M749" s="60"/>
      <c r="N749" s="61"/>
      <c r="O749" s="61"/>
      <c r="P749" s="62"/>
      <c r="Q749" s="62">
        <f>1</f>
        <v>1</v>
      </c>
      <c r="R749" s="62"/>
      <c r="S749" s="62"/>
      <c r="T749" s="62"/>
      <c r="U749" s="62"/>
      <c r="V749" s="62"/>
      <c r="W749" s="63"/>
      <c r="X749" s="63"/>
      <c r="Z749" s="64"/>
      <c r="AA749" s="54"/>
      <c r="AB749" s="54"/>
      <c r="AC749" s="54"/>
    </row>
    <row r="750" spans="1:29" ht="60" customHeight="1" x14ac:dyDescent="0.2">
      <c r="A750" s="50" t="s">
        <v>1113</v>
      </c>
      <c r="B750" s="74"/>
      <c r="C750" s="66" t="s">
        <v>1079</v>
      </c>
      <c r="D750" s="53" t="s">
        <v>33</v>
      </c>
      <c r="E750" s="54" t="s">
        <v>34</v>
      </c>
      <c r="F750" s="55" t="s">
        <v>1112</v>
      </c>
      <c r="G750" s="56" t="s">
        <v>36</v>
      </c>
      <c r="H750" s="57" t="s">
        <v>37</v>
      </c>
      <c r="I750" s="55" t="s">
        <v>38</v>
      </c>
      <c r="J750" s="57" t="e">
        <f>ROUND(#REF!*2.4,-1)</f>
        <v>#REF!</v>
      </c>
      <c r="K750" s="58"/>
      <c r="L750" s="59">
        <f>10-10+10</f>
        <v>10</v>
      </c>
      <c r="M750" s="60"/>
      <c r="N750" s="61"/>
      <c r="O750" s="61"/>
      <c r="P750" s="62"/>
      <c r="Q750" s="62">
        <f>5-5+5</f>
        <v>5</v>
      </c>
      <c r="R750" s="62">
        <f>2-2+2</f>
        <v>2</v>
      </c>
      <c r="S750" s="62">
        <f>1-1</f>
        <v>0</v>
      </c>
      <c r="T750" s="62">
        <f>1-1+1</f>
        <v>1</v>
      </c>
      <c r="U750" s="62">
        <f>2-2+2</f>
        <v>2</v>
      </c>
      <c r="V750" s="62"/>
      <c r="W750" s="63"/>
      <c r="X750" s="63"/>
      <c r="Z750" s="64"/>
      <c r="AC750" s="54"/>
    </row>
    <row r="751" spans="1:29" ht="60" hidden="1" customHeight="1" x14ac:dyDescent="0.2">
      <c r="A751" s="50" t="s">
        <v>1114</v>
      </c>
      <c r="B751" s="74"/>
      <c r="C751" s="66" t="s">
        <v>45</v>
      </c>
      <c r="D751" s="53" t="s">
        <v>33</v>
      </c>
      <c r="E751" s="54" t="s">
        <v>34</v>
      </c>
      <c r="F751" s="55" t="s">
        <v>1112</v>
      </c>
      <c r="G751" s="67" t="s">
        <v>41</v>
      </c>
      <c r="H751" s="57" t="s">
        <v>37</v>
      </c>
      <c r="I751" s="55" t="s">
        <v>38</v>
      </c>
      <c r="J751" s="57" t="e">
        <f>ROUND(#REF!*2.4,-1)</f>
        <v>#REF!</v>
      </c>
      <c r="K751" s="58"/>
      <c r="L751" s="59">
        <f>2-2</f>
        <v>0</v>
      </c>
      <c r="M751" s="60"/>
      <c r="N751" s="61"/>
      <c r="O751" s="61"/>
      <c r="P751" s="62"/>
      <c r="Q751" s="62">
        <f>1-1</f>
        <v>0</v>
      </c>
      <c r="R751" s="62">
        <f>1-1</f>
        <v>0</v>
      </c>
      <c r="S751" s="62">
        <f>1-1</f>
        <v>0</v>
      </c>
      <c r="T751" s="62">
        <f>1-1</f>
        <v>0</v>
      </c>
      <c r="U751" s="62">
        <f>1-1</f>
        <v>0</v>
      </c>
      <c r="V751" s="62"/>
      <c r="W751" s="63"/>
      <c r="X751" s="63"/>
      <c r="Z751" s="64"/>
      <c r="AA751" s="54">
        <v>5010617</v>
      </c>
      <c r="AB751" s="54">
        <v>355</v>
      </c>
      <c r="AC751" s="54"/>
    </row>
    <row r="752" spans="1:29" ht="60" customHeight="1" x14ac:dyDescent="0.2">
      <c r="A752" s="50" t="s">
        <v>1115</v>
      </c>
      <c r="B752" s="74"/>
      <c r="C752" s="66" t="s">
        <v>1116</v>
      </c>
      <c r="D752" s="53" t="s">
        <v>33</v>
      </c>
      <c r="E752" s="54" t="s">
        <v>34</v>
      </c>
      <c r="F752" s="55" t="s">
        <v>1112</v>
      </c>
      <c r="G752" s="56" t="s">
        <v>36</v>
      </c>
      <c r="H752" s="57" t="s">
        <v>37</v>
      </c>
      <c r="I752" s="55" t="s">
        <v>38</v>
      </c>
      <c r="J752" s="57" t="e">
        <f>ROUND(#REF!*2.4,-1)</f>
        <v>#REF!</v>
      </c>
      <c r="K752" s="58"/>
      <c r="L752" s="59">
        <f>4-2</f>
        <v>2</v>
      </c>
      <c r="M752" s="60"/>
      <c r="N752" s="61"/>
      <c r="O752" s="61"/>
      <c r="P752" s="62"/>
      <c r="Q752" s="62">
        <f>2-1</f>
        <v>1</v>
      </c>
      <c r="R752" s="62">
        <f>5-1+1-1-4</f>
        <v>0</v>
      </c>
      <c r="S752" s="62">
        <f>1-1</f>
        <v>0</v>
      </c>
      <c r="T752" s="62">
        <f>2-1</f>
        <v>1</v>
      </c>
      <c r="U752" s="62">
        <f>1-1</f>
        <v>0</v>
      </c>
      <c r="V752" s="62"/>
      <c r="W752" s="63"/>
      <c r="X752" s="63"/>
      <c r="Z752" s="64"/>
      <c r="AA752" s="54"/>
      <c r="AB752" s="54"/>
      <c r="AC752" s="54"/>
    </row>
    <row r="753" spans="1:29" ht="60" hidden="1" customHeight="1" x14ac:dyDescent="0.2">
      <c r="A753" s="50" t="s">
        <v>1117</v>
      </c>
      <c r="B753" s="74"/>
      <c r="C753" s="66" t="s">
        <v>99</v>
      </c>
      <c r="D753" s="53" t="s">
        <v>33</v>
      </c>
      <c r="E753" s="54" t="s">
        <v>34</v>
      </c>
      <c r="F753" s="55" t="s">
        <v>1112</v>
      </c>
      <c r="G753" s="67" t="s">
        <v>41</v>
      </c>
      <c r="H753" s="57" t="s">
        <v>37</v>
      </c>
      <c r="I753" s="55" t="s">
        <v>38</v>
      </c>
      <c r="J753" s="57" t="e">
        <f>ROUND(#REF!*2.4,-1)</f>
        <v>#REF!</v>
      </c>
      <c r="K753" s="58"/>
      <c r="L753" s="59">
        <v>0</v>
      </c>
      <c r="M753" s="60"/>
      <c r="N753" s="61"/>
      <c r="O753" s="61"/>
      <c r="P753" s="62"/>
      <c r="Q753" s="62"/>
      <c r="R753" s="62"/>
      <c r="S753" s="62"/>
      <c r="T753" s="62"/>
      <c r="U753" s="62"/>
      <c r="V753" s="62"/>
      <c r="W753" s="63"/>
      <c r="X753" s="63"/>
      <c r="Z753" s="64"/>
      <c r="AA753" s="54"/>
      <c r="AB753" s="54"/>
      <c r="AC753" s="54"/>
    </row>
    <row r="754" spans="1:29" ht="60" customHeight="1" x14ac:dyDescent="0.2">
      <c r="A754" s="50" t="s">
        <v>1118</v>
      </c>
      <c r="B754" s="74"/>
      <c r="C754" s="66" t="s">
        <v>404</v>
      </c>
      <c r="D754" s="53" t="s">
        <v>33</v>
      </c>
      <c r="E754" s="54" t="s">
        <v>34</v>
      </c>
      <c r="F754" s="55" t="s">
        <v>1112</v>
      </c>
      <c r="G754" s="56" t="s">
        <v>36</v>
      </c>
      <c r="H754" s="57" t="s">
        <v>37</v>
      </c>
      <c r="I754" s="55" t="s">
        <v>38</v>
      </c>
      <c r="J754" s="57" t="e">
        <f>ROUND(#REF!*2.4,-1)</f>
        <v>#REF!</v>
      </c>
      <c r="K754" s="58"/>
      <c r="L754" s="59">
        <f>8-2</f>
        <v>6</v>
      </c>
      <c r="M754" s="60"/>
      <c r="N754" s="61"/>
      <c r="O754" s="61"/>
      <c r="P754" s="62"/>
      <c r="Q754" s="62">
        <f>6-1</f>
        <v>5</v>
      </c>
      <c r="R754" s="62">
        <f>1-1</f>
        <v>0</v>
      </c>
      <c r="S754" s="62">
        <f>1-1</f>
        <v>0</v>
      </c>
      <c r="T754" s="62">
        <f>1-1</f>
        <v>0</v>
      </c>
      <c r="U754" s="62">
        <f>2-1</f>
        <v>1</v>
      </c>
      <c r="V754" s="62"/>
      <c r="W754" s="63"/>
      <c r="X754" s="63"/>
      <c r="Z754" s="64"/>
      <c r="AC754" s="54"/>
    </row>
    <row r="755" spans="1:29" ht="60" customHeight="1" x14ac:dyDescent="0.2">
      <c r="A755" s="50" t="s">
        <v>1119</v>
      </c>
      <c r="B755" s="51"/>
      <c r="C755" s="66" t="s">
        <v>72</v>
      </c>
      <c r="D755" s="53" t="s">
        <v>33</v>
      </c>
      <c r="E755" s="54" t="s">
        <v>34</v>
      </c>
      <c r="F755" s="55" t="s">
        <v>1112</v>
      </c>
      <c r="G755" s="56" t="s">
        <v>36</v>
      </c>
      <c r="H755" s="57" t="s">
        <v>37</v>
      </c>
      <c r="I755" s="55" t="s">
        <v>38</v>
      </c>
      <c r="J755" s="57" t="e">
        <f>ROUND(#REF!*2.4,-1)</f>
        <v>#REF!</v>
      </c>
      <c r="K755" s="58"/>
      <c r="L755" s="59">
        <f>17-2</f>
        <v>15</v>
      </c>
      <c r="M755" s="60"/>
      <c r="N755" s="61"/>
      <c r="O755" s="61"/>
      <c r="P755" s="62"/>
      <c r="Q755" s="62">
        <f>10-1</f>
        <v>9</v>
      </c>
      <c r="R755" s="62">
        <f>4-1</f>
        <v>3</v>
      </c>
      <c r="S755" s="62">
        <f>1-1</f>
        <v>0</v>
      </c>
      <c r="T755" s="62">
        <f>4-1</f>
        <v>3</v>
      </c>
      <c r="U755" s="62">
        <f>1-1</f>
        <v>0</v>
      </c>
      <c r="V755" s="62"/>
      <c r="W755" s="63"/>
      <c r="X755" s="63"/>
      <c r="Z755" s="64"/>
      <c r="AA755" s="54">
        <v>5010595</v>
      </c>
      <c r="AB755" s="54">
        <v>372</v>
      </c>
      <c r="AC755" s="54"/>
    </row>
    <row r="756" spans="1:29" ht="60" hidden="1" customHeight="1" x14ac:dyDescent="0.2">
      <c r="A756" s="50" t="s">
        <v>1120</v>
      </c>
      <c r="B756" s="51"/>
      <c r="C756" s="87" t="s">
        <v>182</v>
      </c>
      <c r="D756" s="53" t="s">
        <v>33</v>
      </c>
      <c r="E756" s="54" t="s">
        <v>34</v>
      </c>
      <c r="F756" s="55" t="s">
        <v>785</v>
      </c>
      <c r="G756" s="67" t="s">
        <v>715</v>
      </c>
      <c r="H756" s="57" t="s">
        <v>37</v>
      </c>
      <c r="I756" s="55" t="s">
        <v>38</v>
      </c>
      <c r="J756" s="57" t="e">
        <f>ROUND(#REF!*2.4,-1)</f>
        <v>#REF!</v>
      </c>
      <c r="K756" s="58"/>
      <c r="L756" s="59">
        <f>1-1</f>
        <v>0</v>
      </c>
      <c r="M756" s="60"/>
      <c r="N756" s="61"/>
      <c r="O756" s="61"/>
      <c r="P756" s="62">
        <f>1-1</f>
        <v>0</v>
      </c>
      <c r="Q756" s="62">
        <v>0</v>
      </c>
      <c r="R756" s="62">
        <f>1-1</f>
        <v>0</v>
      </c>
      <c r="S756" s="62">
        <f>1-1</f>
        <v>0</v>
      </c>
      <c r="T756" s="62"/>
      <c r="U756" s="62"/>
      <c r="V756" s="62"/>
      <c r="W756" s="63"/>
      <c r="X756" s="63"/>
      <c r="Z756" s="64"/>
      <c r="AA756" s="54"/>
      <c r="AB756" s="54"/>
      <c r="AC756" s="54"/>
    </row>
    <row r="757" spans="1:29" ht="60" hidden="1" customHeight="1" x14ac:dyDescent="0.2">
      <c r="A757" s="69" t="s">
        <v>1121</v>
      </c>
      <c r="B757" s="74"/>
      <c r="C757" s="87" t="s">
        <v>316</v>
      </c>
      <c r="D757" s="53" t="s">
        <v>33</v>
      </c>
      <c r="E757" s="54" t="s">
        <v>34</v>
      </c>
      <c r="F757" s="55" t="s">
        <v>785</v>
      </c>
      <c r="G757" s="67" t="s">
        <v>715</v>
      </c>
      <c r="H757" s="57" t="s">
        <v>37</v>
      </c>
      <c r="I757" s="55" t="s">
        <v>38</v>
      </c>
      <c r="J757" s="57" t="e">
        <f>ROUND(#REF!*2.4,-1)</f>
        <v>#REF!</v>
      </c>
      <c r="K757" s="58"/>
      <c r="L757" s="59">
        <f>3-3</f>
        <v>0</v>
      </c>
      <c r="M757" s="60"/>
      <c r="N757" s="61"/>
      <c r="O757" s="61"/>
      <c r="P757" s="62">
        <f>1-1</f>
        <v>0</v>
      </c>
      <c r="Q757" s="62">
        <f>1-1</f>
        <v>0</v>
      </c>
      <c r="R757" s="62">
        <f>1-1</f>
        <v>0</v>
      </c>
      <c r="S757" s="62">
        <v>0</v>
      </c>
      <c r="T757" s="62">
        <f>1-1</f>
        <v>0</v>
      </c>
      <c r="U757" s="62"/>
      <c r="V757" s="62"/>
      <c r="W757" s="63"/>
      <c r="X757" s="63"/>
      <c r="Z757" s="64"/>
      <c r="AA757" s="54"/>
      <c r="AB757" s="54"/>
      <c r="AC757" s="54"/>
    </row>
    <row r="758" spans="1:29" ht="51" hidden="1" x14ac:dyDescent="0.2">
      <c r="A758" s="50" t="s">
        <v>1122</v>
      </c>
      <c r="B758" s="51"/>
      <c r="C758" s="87" t="s">
        <v>827</v>
      </c>
      <c r="D758" s="53" t="s">
        <v>33</v>
      </c>
      <c r="E758" s="54" t="s">
        <v>34</v>
      </c>
      <c r="F758" s="55" t="s">
        <v>785</v>
      </c>
      <c r="G758" s="67" t="s">
        <v>715</v>
      </c>
      <c r="H758" s="57" t="s">
        <v>37</v>
      </c>
      <c r="I758" s="55" t="s">
        <v>38</v>
      </c>
      <c r="J758" s="57" t="e">
        <f>ROUND(#REF!*2.4,-1)</f>
        <v>#REF!</v>
      </c>
      <c r="K758" s="58"/>
      <c r="L758" s="59">
        <v>0</v>
      </c>
      <c r="M758" s="60"/>
      <c r="N758" s="61"/>
      <c r="O758" s="61"/>
      <c r="P758" s="62"/>
      <c r="Q758" s="62"/>
      <c r="R758" s="62"/>
      <c r="S758" s="62"/>
      <c r="T758" s="62"/>
      <c r="U758" s="62"/>
      <c r="V758" s="62"/>
      <c r="W758" s="63"/>
      <c r="X758" s="63"/>
      <c r="Z758" s="64"/>
      <c r="AA758" s="54"/>
      <c r="AB758" s="54"/>
      <c r="AC758" s="54"/>
    </row>
    <row r="759" spans="1:29" ht="60" customHeight="1" x14ac:dyDescent="0.2">
      <c r="A759" s="50" t="s">
        <v>1123</v>
      </c>
      <c r="B759" s="51"/>
      <c r="C759" s="66" t="s">
        <v>1124</v>
      </c>
      <c r="D759" s="53" t="s">
        <v>33</v>
      </c>
      <c r="E759" s="54" t="s">
        <v>34</v>
      </c>
      <c r="F759" s="55" t="s">
        <v>785</v>
      </c>
      <c r="G759" s="56" t="s">
        <v>36</v>
      </c>
      <c r="H759" s="57" t="s">
        <v>37</v>
      </c>
      <c r="I759" s="55" t="s">
        <v>38</v>
      </c>
      <c r="J759" s="57" t="e">
        <f>ROUND(#REF!*2.4,-1)</f>
        <v>#REF!</v>
      </c>
      <c r="K759" s="58"/>
      <c r="L759" s="59">
        <f>15-11+11</f>
        <v>15</v>
      </c>
      <c r="M759" s="60"/>
      <c r="N759" s="61"/>
      <c r="O759" s="61"/>
      <c r="P759" s="62">
        <f>1-1+1</f>
        <v>1</v>
      </c>
      <c r="Q759" s="62">
        <f>9-5+5</f>
        <v>9</v>
      </c>
      <c r="R759" s="62">
        <f>5-5+5</f>
        <v>5</v>
      </c>
      <c r="S759" s="62">
        <f>1-1</f>
        <v>0</v>
      </c>
      <c r="T759" s="62"/>
      <c r="U759" s="62"/>
      <c r="V759" s="62"/>
      <c r="W759" s="63"/>
      <c r="X759" s="63"/>
      <c r="Z759" s="64"/>
      <c r="AA759" s="54"/>
      <c r="AB759" s="54"/>
      <c r="AC759" s="54"/>
    </row>
    <row r="760" spans="1:29" ht="60" hidden="1" customHeight="1" x14ac:dyDescent="0.2">
      <c r="A760" s="50" t="s">
        <v>1125</v>
      </c>
      <c r="B760" s="51"/>
      <c r="C760" s="87" t="s">
        <v>832</v>
      </c>
      <c r="D760" s="53" t="s">
        <v>33</v>
      </c>
      <c r="E760" s="54" t="s">
        <v>34</v>
      </c>
      <c r="F760" s="55" t="s">
        <v>785</v>
      </c>
      <c r="G760" s="67" t="s">
        <v>715</v>
      </c>
      <c r="H760" s="57" t="s">
        <v>37</v>
      </c>
      <c r="I760" s="55" t="s">
        <v>38</v>
      </c>
      <c r="J760" s="57" t="e">
        <f>ROUND(#REF!*2.4,-1)</f>
        <v>#REF!</v>
      </c>
      <c r="K760" s="58"/>
      <c r="L760" s="59">
        <v>0</v>
      </c>
      <c r="M760" s="60"/>
      <c r="N760" s="61"/>
      <c r="O760" s="61"/>
      <c r="P760" s="62"/>
      <c r="Q760" s="62"/>
      <c r="R760" s="62"/>
      <c r="S760" s="62"/>
      <c r="T760" s="62"/>
      <c r="U760" s="62"/>
      <c r="V760" s="62"/>
      <c r="W760" s="63"/>
      <c r="X760" s="63"/>
      <c r="Z760" s="64"/>
      <c r="AA760" s="54"/>
      <c r="AB760" s="54"/>
      <c r="AC760" s="54"/>
    </row>
    <row r="761" spans="1:29" ht="60" hidden="1" customHeight="1" x14ac:dyDescent="0.2">
      <c r="A761" s="50" t="s">
        <v>1126</v>
      </c>
      <c r="B761" s="51"/>
      <c r="C761" s="66" t="s">
        <v>1127</v>
      </c>
      <c r="D761" s="53" t="s">
        <v>33</v>
      </c>
      <c r="E761" s="54" t="s">
        <v>34</v>
      </c>
      <c r="F761" s="55" t="s">
        <v>785</v>
      </c>
      <c r="G761" s="67" t="s">
        <v>715</v>
      </c>
      <c r="H761" s="57" t="s">
        <v>37</v>
      </c>
      <c r="I761" s="55" t="s">
        <v>38</v>
      </c>
      <c r="J761" s="57" t="e">
        <f>ROUND(#REF!*2.4,-1)</f>
        <v>#REF!</v>
      </c>
      <c r="K761" s="58"/>
      <c r="L761" s="59">
        <f>1-1</f>
        <v>0</v>
      </c>
      <c r="M761" s="60"/>
      <c r="N761" s="61"/>
      <c r="O761" s="61"/>
      <c r="P761" s="62">
        <f>1-1</f>
        <v>0</v>
      </c>
      <c r="Q761" s="62"/>
      <c r="R761" s="62">
        <f>1-1</f>
        <v>0</v>
      </c>
      <c r="S761" s="62"/>
      <c r="T761" s="62"/>
      <c r="U761" s="62"/>
      <c r="V761" s="62"/>
      <c r="W761" s="63"/>
      <c r="X761" s="63"/>
      <c r="Z761" s="64"/>
      <c r="AA761" s="54"/>
      <c r="AB761" s="54"/>
      <c r="AC761" s="54"/>
    </row>
    <row r="762" spans="1:29" ht="60" hidden="1" customHeight="1" x14ac:dyDescent="0.2">
      <c r="A762" s="81" t="s">
        <v>1128</v>
      </c>
      <c r="B762" s="82"/>
      <c r="C762" s="84" t="s">
        <v>40</v>
      </c>
      <c r="D762" s="53" t="s">
        <v>33</v>
      </c>
      <c r="E762" s="54" t="s">
        <v>34</v>
      </c>
      <c r="F762" s="55" t="s">
        <v>785</v>
      </c>
      <c r="G762" s="67" t="s">
        <v>715</v>
      </c>
      <c r="H762" s="57" t="s">
        <v>37</v>
      </c>
      <c r="I762" s="55" t="s">
        <v>38</v>
      </c>
      <c r="J762" s="57" t="e">
        <f>ROUND(#REF!*2.4,-1)</f>
        <v>#REF!</v>
      </c>
      <c r="K762" s="58"/>
      <c r="L762" s="59">
        <f>1-1</f>
        <v>0</v>
      </c>
      <c r="M762" s="60"/>
      <c r="N762" s="61"/>
      <c r="O762" s="61"/>
      <c r="P762" s="62">
        <f>1-1</f>
        <v>0</v>
      </c>
      <c r="Q762" s="62">
        <f>1-1</f>
        <v>0</v>
      </c>
      <c r="R762" s="62">
        <f>1-1</f>
        <v>0</v>
      </c>
      <c r="S762" s="62">
        <f>1-1</f>
        <v>0</v>
      </c>
      <c r="T762" s="62">
        <f>1-1</f>
        <v>0</v>
      </c>
      <c r="U762" s="62"/>
      <c r="V762" s="62"/>
      <c r="W762" s="63"/>
      <c r="X762" s="63"/>
      <c r="Z762" s="64"/>
      <c r="AA762" s="54"/>
      <c r="AB762" s="54"/>
      <c r="AC762" s="54"/>
    </row>
    <row r="763" spans="1:29" ht="60" customHeight="1" x14ac:dyDescent="0.2">
      <c r="A763" s="50" t="s">
        <v>1129</v>
      </c>
      <c r="B763" s="51"/>
      <c r="C763" s="66" t="s">
        <v>203</v>
      </c>
      <c r="D763" s="53" t="s">
        <v>33</v>
      </c>
      <c r="E763" s="54" t="s">
        <v>34</v>
      </c>
      <c r="F763" s="55" t="s">
        <v>785</v>
      </c>
      <c r="G763" s="56" t="s">
        <v>36</v>
      </c>
      <c r="H763" s="57" t="s">
        <v>37</v>
      </c>
      <c r="I763" s="55" t="s">
        <v>38</v>
      </c>
      <c r="J763" s="57" t="e">
        <f>ROUND(#REF!*2.4,-1)</f>
        <v>#REF!</v>
      </c>
      <c r="K763" s="58"/>
      <c r="L763" s="59">
        <f>4-3</f>
        <v>1</v>
      </c>
      <c r="M763" s="60"/>
      <c r="N763" s="61"/>
      <c r="O763" s="61"/>
      <c r="P763" s="62">
        <f>2-2</f>
        <v>0</v>
      </c>
      <c r="Q763" s="62">
        <f>2-1</f>
        <v>1</v>
      </c>
      <c r="R763" s="62">
        <f>1-1</f>
        <v>0</v>
      </c>
      <c r="S763" s="62">
        <f>1-1</f>
        <v>0</v>
      </c>
      <c r="T763" s="62">
        <f>1-1</f>
        <v>0</v>
      </c>
      <c r="U763" s="62"/>
      <c r="V763" s="62"/>
      <c r="W763" s="63"/>
      <c r="X763" s="63"/>
      <c r="Z763" s="64"/>
      <c r="AA763" s="54"/>
      <c r="AB763" s="54"/>
      <c r="AC763" s="54"/>
    </row>
    <row r="764" spans="1:29" ht="51" hidden="1" x14ac:dyDescent="0.2">
      <c r="A764" s="50" t="s">
        <v>1130</v>
      </c>
      <c r="B764" s="74"/>
      <c r="C764" s="87" t="s">
        <v>594</v>
      </c>
      <c r="D764" s="53" t="s">
        <v>33</v>
      </c>
      <c r="E764" s="54" t="s">
        <v>34</v>
      </c>
      <c r="F764" s="55" t="s">
        <v>785</v>
      </c>
      <c r="G764" s="67" t="s">
        <v>715</v>
      </c>
      <c r="H764" s="57" t="s">
        <v>60</v>
      </c>
      <c r="I764" s="55" t="s">
        <v>38</v>
      </c>
      <c r="J764" s="57" t="e">
        <f>ROUND(#REF!*2.4,-1)</f>
        <v>#REF!</v>
      </c>
      <c r="K764" s="58"/>
      <c r="L764" s="59">
        <v>0</v>
      </c>
      <c r="M764" s="60"/>
      <c r="N764" s="61"/>
      <c r="O764" s="61"/>
      <c r="P764" s="62"/>
      <c r="Q764" s="62"/>
      <c r="R764" s="62"/>
      <c r="S764" s="62"/>
      <c r="T764" s="62"/>
      <c r="U764" s="62"/>
      <c r="V764" s="62"/>
      <c r="W764" s="63"/>
      <c r="X764" s="63"/>
      <c r="Z764" s="64"/>
      <c r="AA764" s="54"/>
      <c r="AB764" s="54"/>
      <c r="AC764" s="54"/>
    </row>
    <row r="765" spans="1:29" ht="51" hidden="1" x14ac:dyDescent="0.2">
      <c r="A765" s="50" t="s">
        <v>1131</v>
      </c>
      <c r="B765" s="74"/>
      <c r="C765" s="87" t="s">
        <v>1132</v>
      </c>
      <c r="D765" s="53" t="s">
        <v>33</v>
      </c>
      <c r="E765" s="54" t="s">
        <v>34</v>
      </c>
      <c r="F765" s="55" t="s">
        <v>785</v>
      </c>
      <c r="G765" s="67" t="s">
        <v>715</v>
      </c>
      <c r="H765" s="57" t="s">
        <v>84</v>
      </c>
      <c r="I765" s="55" t="s">
        <v>38</v>
      </c>
      <c r="J765" s="57" t="e">
        <f>ROUND(#REF!*2.4,-1)</f>
        <v>#REF!</v>
      </c>
      <c r="K765" s="58"/>
      <c r="L765" s="59">
        <v>0</v>
      </c>
      <c r="M765" s="60"/>
      <c r="N765" s="61"/>
      <c r="O765" s="61"/>
      <c r="P765" s="62"/>
      <c r="Q765" s="62"/>
      <c r="R765" s="62"/>
      <c r="S765" s="62"/>
      <c r="T765" s="62"/>
      <c r="U765" s="62"/>
      <c r="V765" s="62"/>
      <c r="W765" s="63"/>
      <c r="X765" s="63"/>
      <c r="Z765" s="64"/>
      <c r="AA765" s="54"/>
      <c r="AB765" s="54"/>
      <c r="AC765" s="54"/>
    </row>
    <row r="766" spans="1:29" ht="60" hidden="1" customHeight="1" x14ac:dyDescent="0.2">
      <c r="A766" s="50" t="s">
        <v>1133</v>
      </c>
      <c r="B766" s="74"/>
      <c r="C766" s="66" t="s">
        <v>836</v>
      </c>
      <c r="D766" s="53" t="s">
        <v>33</v>
      </c>
      <c r="E766" s="54" t="s">
        <v>34</v>
      </c>
      <c r="F766" s="55" t="s">
        <v>785</v>
      </c>
      <c r="G766" s="67" t="s">
        <v>715</v>
      </c>
      <c r="H766" s="57" t="s">
        <v>442</v>
      </c>
      <c r="I766" s="55" t="s">
        <v>38</v>
      </c>
      <c r="J766" s="57" t="e">
        <f>ROUND(#REF!*2.4,-1)</f>
        <v>#REF!</v>
      </c>
      <c r="K766" s="58"/>
      <c r="L766" s="59">
        <v>0</v>
      </c>
      <c r="M766" s="60"/>
      <c r="N766" s="61"/>
      <c r="O766" s="61"/>
      <c r="P766" s="62"/>
      <c r="Q766" s="62"/>
      <c r="R766" s="62"/>
      <c r="S766" s="62"/>
      <c r="T766" s="62"/>
      <c r="U766" s="62"/>
      <c r="V766" s="62"/>
      <c r="W766" s="63"/>
      <c r="X766" s="63"/>
      <c r="Z766" s="64"/>
      <c r="AA766" s="54"/>
      <c r="AB766" s="54"/>
      <c r="AC766" s="54"/>
    </row>
    <row r="767" spans="1:29" ht="60" hidden="1" customHeight="1" x14ac:dyDescent="0.2">
      <c r="A767" s="108" t="s">
        <v>1134</v>
      </c>
      <c r="B767" s="109"/>
      <c r="C767" s="82" t="s">
        <v>218</v>
      </c>
      <c r="D767" s="53" t="s">
        <v>33</v>
      </c>
      <c r="E767" s="54" t="s">
        <v>34</v>
      </c>
      <c r="F767" s="55" t="s">
        <v>785</v>
      </c>
      <c r="G767" s="67" t="s">
        <v>715</v>
      </c>
      <c r="H767" s="57" t="s">
        <v>219</v>
      </c>
      <c r="I767" s="55" t="s">
        <v>38</v>
      </c>
      <c r="J767" s="57" t="e">
        <f>ROUND(#REF!*2.4,-1)</f>
        <v>#REF!</v>
      </c>
      <c r="K767" s="58"/>
      <c r="L767" s="59">
        <f>4-4</f>
        <v>0</v>
      </c>
      <c r="M767" s="60"/>
      <c r="N767" s="61"/>
      <c r="O767" s="61"/>
      <c r="P767" s="62">
        <f>1-1+1-1</f>
        <v>0</v>
      </c>
      <c r="Q767" s="62">
        <f>1-1+1-1</f>
        <v>0</v>
      </c>
      <c r="R767" s="62">
        <f>1-1</f>
        <v>0</v>
      </c>
      <c r="S767" s="62">
        <f>4-4</f>
        <v>0</v>
      </c>
      <c r="T767" s="62">
        <f>1-1</f>
        <v>0</v>
      </c>
      <c r="U767" s="62"/>
      <c r="V767" s="62"/>
      <c r="W767" s="63"/>
      <c r="X767" s="63"/>
      <c r="Z767" s="64"/>
      <c r="AA767" s="54">
        <v>5252564</v>
      </c>
      <c r="AB767" s="54">
        <v>374</v>
      </c>
      <c r="AC767" s="54"/>
    </row>
    <row r="768" spans="1:29" ht="60" hidden="1" customHeight="1" x14ac:dyDescent="0.2">
      <c r="A768" s="50" t="s">
        <v>1135</v>
      </c>
      <c r="B768" s="74"/>
      <c r="C768" s="87" t="s">
        <v>500</v>
      </c>
      <c r="D768" s="53" t="s">
        <v>33</v>
      </c>
      <c r="E768" s="54" t="s">
        <v>34</v>
      </c>
      <c r="F768" s="55" t="s">
        <v>1112</v>
      </c>
      <c r="G768" s="67" t="s">
        <v>41</v>
      </c>
      <c r="H768" s="57" t="s">
        <v>37</v>
      </c>
      <c r="I768" s="55" t="s">
        <v>38</v>
      </c>
      <c r="J768" s="57" t="e">
        <f>ROUND(#REF!*2.4,-1)</f>
        <v>#REF!</v>
      </c>
      <c r="K768" s="58"/>
      <c r="L768" s="59">
        <v>0</v>
      </c>
      <c r="M768" s="60"/>
      <c r="N768" s="61"/>
      <c r="O768" s="61"/>
      <c r="P768" s="62"/>
      <c r="Q768" s="62"/>
      <c r="R768" s="62"/>
      <c r="S768" s="62"/>
      <c r="T768" s="62"/>
      <c r="U768" s="62"/>
      <c r="V768" s="62"/>
      <c r="W768" s="63"/>
      <c r="X768" s="63"/>
      <c r="Z768" s="64"/>
      <c r="AA768" s="54"/>
      <c r="AB768" s="54"/>
      <c r="AC768" s="54"/>
    </row>
    <row r="769" spans="1:29" ht="60" hidden="1" customHeight="1" x14ac:dyDescent="0.2">
      <c r="A769" s="69" t="s">
        <v>1136</v>
      </c>
      <c r="B769" s="78"/>
      <c r="C769" s="66" t="s">
        <v>1137</v>
      </c>
      <c r="D769" s="53" t="s">
        <v>33</v>
      </c>
      <c r="E769" s="54" t="s">
        <v>34</v>
      </c>
      <c r="F769" s="55" t="s">
        <v>1138</v>
      </c>
      <c r="G769" s="67" t="s">
        <v>41</v>
      </c>
      <c r="H769" s="57" t="s">
        <v>37</v>
      </c>
      <c r="I769" s="55" t="s">
        <v>1139</v>
      </c>
      <c r="J769" s="57" t="e">
        <f>ROUND(#REF!*2.4,-1)</f>
        <v>#REF!</v>
      </c>
      <c r="K769" s="58"/>
      <c r="L769" s="59">
        <f>1-1</f>
        <v>0</v>
      </c>
      <c r="M769" s="60"/>
      <c r="N769" s="61"/>
      <c r="O769" s="61"/>
      <c r="P769" s="62"/>
      <c r="Q769" s="62">
        <f>3-3</f>
        <v>0</v>
      </c>
      <c r="R769" s="62">
        <f>2-2</f>
        <v>0</v>
      </c>
      <c r="S769" s="62">
        <f>2-2</f>
        <v>0</v>
      </c>
      <c r="T769" s="62">
        <f>3-3</f>
        <v>0</v>
      </c>
      <c r="U769" s="62"/>
      <c r="V769" s="62"/>
      <c r="W769" s="63"/>
      <c r="X769" s="63"/>
      <c r="Z769" s="64"/>
      <c r="AA769" s="54">
        <v>5356565</v>
      </c>
      <c r="AB769" s="54">
        <v>375</v>
      </c>
      <c r="AC769" s="54"/>
    </row>
    <row r="770" spans="1:29" ht="60" customHeight="1" x14ac:dyDescent="0.2">
      <c r="A770" s="69" t="s">
        <v>1140</v>
      </c>
      <c r="B770" s="78"/>
      <c r="C770" s="66" t="s">
        <v>1137</v>
      </c>
      <c r="D770" s="53" t="s">
        <v>33</v>
      </c>
      <c r="E770" s="54" t="s">
        <v>34</v>
      </c>
      <c r="F770" s="55" t="s">
        <v>1138</v>
      </c>
      <c r="G770" s="56" t="s">
        <v>36</v>
      </c>
      <c r="H770" s="57" t="s">
        <v>37</v>
      </c>
      <c r="I770" s="55" t="s">
        <v>1139</v>
      </c>
      <c r="J770" s="57" t="e">
        <f>ROUND(#REF!*2.4,-1)</f>
        <v>#REF!</v>
      </c>
      <c r="K770" s="58"/>
      <c r="L770" s="59">
        <f>2-1</f>
        <v>1</v>
      </c>
      <c r="M770" s="60"/>
      <c r="N770" s="61"/>
      <c r="O770" s="61"/>
      <c r="P770" s="62"/>
      <c r="Q770" s="62">
        <f>1-1+1</f>
        <v>1</v>
      </c>
      <c r="R770" s="62">
        <f>1-1</f>
        <v>0</v>
      </c>
      <c r="S770" s="62">
        <f>1-1</f>
        <v>0</v>
      </c>
      <c r="T770" s="62">
        <f>1-1</f>
        <v>0</v>
      </c>
      <c r="U770" s="62">
        <f>1-1</f>
        <v>0</v>
      </c>
      <c r="V770" s="62"/>
      <c r="W770" s="63"/>
      <c r="X770" s="63"/>
      <c r="Z770" s="64"/>
      <c r="AA770" s="54"/>
      <c r="AB770" s="54"/>
      <c r="AC770" s="54"/>
    </row>
    <row r="771" spans="1:29" ht="60" hidden="1" customHeight="1" x14ac:dyDescent="0.2">
      <c r="A771" s="50" t="s">
        <v>1141</v>
      </c>
      <c r="B771" s="74"/>
      <c r="C771" s="87" t="s">
        <v>316</v>
      </c>
      <c r="D771" s="53" t="s">
        <v>33</v>
      </c>
      <c r="E771" s="54" t="s">
        <v>34</v>
      </c>
      <c r="F771" s="67" t="s">
        <v>1142</v>
      </c>
      <c r="G771" s="67" t="s">
        <v>41</v>
      </c>
      <c r="H771" s="57" t="s">
        <v>37</v>
      </c>
      <c r="I771" s="55" t="s">
        <v>38</v>
      </c>
      <c r="J771" s="57" t="e">
        <f>ROUND(#REF!*2.4,-1)</f>
        <v>#REF!</v>
      </c>
      <c r="K771" s="58"/>
      <c r="L771" s="88">
        <v>0</v>
      </c>
      <c r="M771" s="60"/>
      <c r="N771" s="61"/>
      <c r="O771" s="61"/>
      <c r="P771" s="62"/>
      <c r="Q771" s="62"/>
      <c r="R771" s="62"/>
      <c r="S771" s="62"/>
      <c r="T771" s="62"/>
      <c r="U771" s="62"/>
      <c r="V771" s="62"/>
      <c r="W771" s="63"/>
      <c r="X771" s="63"/>
      <c r="Z771" s="64"/>
      <c r="AA771" s="54"/>
      <c r="AB771" s="54"/>
      <c r="AC771" s="54"/>
    </row>
    <row r="772" spans="1:29" ht="60" hidden="1" customHeight="1" x14ac:dyDescent="0.2">
      <c r="A772" s="50" t="s">
        <v>1143</v>
      </c>
      <c r="B772" s="74"/>
      <c r="C772" s="87" t="s">
        <v>527</v>
      </c>
      <c r="D772" s="53" t="s">
        <v>33</v>
      </c>
      <c r="E772" s="54" t="s">
        <v>34</v>
      </c>
      <c r="F772" s="55" t="s">
        <v>1142</v>
      </c>
      <c r="G772" s="67" t="s">
        <v>41</v>
      </c>
      <c r="H772" s="57" t="s">
        <v>37</v>
      </c>
      <c r="I772" s="55" t="s">
        <v>38</v>
      </c>
      <c r="J772" s="57" t="e">
        <f>ROUND(#REF!*2.4,-1)</f>
        <v>#REF!</v>
      </c>
      <c r="K772" s="58"/>
      <c r="L772" s="88">
        <f>1-1</f>
        <v>0</v>
      </c>
      <c r="M772" s="60"/>
      <c r="N772" s="61"/>
      <c r="O772" s="61"/>
      <c r="P772" s="62"/>
      <c r="Q772" s="62">
        <f>1-1+1-1</f>
        <v>0</v>
      </c>
      <c r="R772" s="62">
        <f>1-1</f>
        <v>0</v>
      </c>
      <c r="S772" s="62">
        <f>1-1</f>
        <v>0</v>
      </c>
      <c r="T772" s="62"/>
      <c r="U772" s="62"/>
      <c r="V772" s="62"/>
      <c r="W772" s="63"/>
      <c r="X772" s="63"/>
      <c r="Z772" s="64"/>
      <c r="AA772" s="54"/>
      <c r="AB772" s="54"/>
      <c r="AC772" s="54"/>
    </row>
    <row r="773" spans="1:29" ht="60" hidden="1" customHeight="1" x14ac:dyDescent="0.2">
      <c r="A773" s="50" t="s">
        <v>1144</v>
      </c>
      <c r="B773" s="74"/>
      <c r="C773" s="66" t="s">
        <v>1043</v>
      </c>
      <c r="D773" s="53" t="s">
        <v>33</v>
      </c>
      <c r="E773" s="54" t="s">
        <v>34</v>
      </c>
      <c r="F773" s="67" t="s">
        <v>1142</v>
      </c>
      <c r="G773" s="67" t="s">
        <v>41</v>
      </c>
      <c r="H773" s="57" t="s">
        <v>84</v>
      </c>
      <c r="I773" s="55" t="s">
        <v>38</v>
      </c>
      <c r="J773" s="57" t="e">
        <f>ROUND(#REF!*2.4,-1)</f>
        <v>#REF!</v>
      </c>
      <c r="K773" s="58"/>
      <c r="L773" s="59">
        <v>0</v>
      </c>
      <c r="M773" s="60"/>
      <c r="N773" s="61"/>
      <c r="O773" s="61"/>
      <c r="P773" s="62"/>
      <c r="Q773" s="62"/>
      <c r="R773" s="62"/>
      <c r="S773" s="62"/>
      <c r="T773" s="62"/>
      <c r="U773" s="62"/>
      <c r="V773" s="62"/>
      <c r="W773" s="63"/>
      <c r="X773" s="63"/>
      <c r="Z773" s="64"/>
      <c r="AA773" s="54"/>
      <c r="AB773" s="54"/>
      <c r="AC773" s="54"/>
    </row>
    <row r="774" spans="1:29" ht="60" customHeight="1" x14ac:dyDescent="0.2">
      <c r="A774" s="50" t="s">
        <v>1145</v>
      </c>
      <c r="B774" s="74"/>
      <c r="C774" s="66" t="s">
        <v>1146</v>
      </c>
      <c r="D774" s="53" t="s">
        <v>33</v>
      </c>
      <c r="E774" s="54" t="s">
        <v>34</v>
      </c>
      <c r="F774" s="67" t="s">
        <v>1142</v>
      </c>
      <c r="G774" s="56" t="s">
        <v>36</v>
      </c>
      <c r="H774" s="57" t="s">
        <v>84</v>
      </c>
      <c r="I774" s="55" t="s">
        <v>38</v>
      </c>
      <c r="J774" s="57" t="e">
        <f>ROUND(#REF!*2.4,-1)</f>
        <v>#REF!</v>
      </c>
      <c r="K774" s="58"/>
      <c r="L774" s="59">
        <f>0+1</f>
        <v>1</v>
      </c>
      <c r="M774" s="60"/>
      <c r="N774" s="61"/>
      <c r="O774" s="61"/>
      <c r="P774" s="62"/>
      <c r="Q774" s="62"/>
      <c r="R774" s="62"/>
      <c r="S774" s="62"/>
      <c r="T774" s="62">
        <f>1</f>
        <v>1</v>
      </c>
      <c r="U774" s="62"/>
      <c r="V774" s="62"/>
      <c r="W774" s="63"/>
      <c r="X774" s="63"/>
      <c r="Z774" s="64"/>
      <c r="AA774" s="54"/>
      <c r="AB774" s="54"/>
      <c r="AC774" s="54"/>
    </row>
    <row r="775" spans="1:29" ht="60" hidden="1" customHeight="1" x14ac:dyDescent="0.2">
      <c r="A775" s="50" t="s">
        <v>1147</v>
      </c>
      <c r="B775" s="74"/>
      <c r="C775" s="66" t="s">
        <v>529</v>
      </c>
      <c r="D775" s="53" t="s">
        <v>33</v>
      </c>
      <c r="E775" s="54" t="s">
        <v>34</v>
      </c>
      <c r="F775" s="67" t="s">
        <v>1142</v>
      </c>
      <c r="G775" s="67" t="s">
        <v>41</v>
      </c>
      <c r="H775" s="57" t="s">
        <v>219</v>
      </c>
      <c r="I775" s="55" t="s">
        <v>38</v>
      </c>
      <c r="J775" s="57" t="e">
        <f>ROUND(#REF!*2.4,-1)</f>
        <v>#REF!</v>
      </c>
      <c r="K775" s="58"/>
      <c r="L775" s="88">
        <f>1-1</f>
        <v>0</v>
      </c>
      <c r="M775" s="60"/>
      <c r="N775" s="61"/>
      <c r="O775" s="61"/>
      <c r="P775" s="62">
        <f>1-1</f>
        <v>0</v>
      </c>
      <c r="Q775" s="62"/>
      <c r="R775" s="62"/>
      <c r="S775" s="62"/>
      <c r="T775" s="62"/>
      <c r="U775" s="62"/>
      <c r="V775" s="62"/>
      <c r="W775" s="63"/>
      <c r="X775" s="63"/>
      <c r="Z775" s="64"/>
      <c r="AA775" s="54"/>
      <c r="AB775" s="54"/>
      <c r="AC775" s="54"/>
    </row>
    <row r="776" spans="1:29" ht="60" hidden="1" customHeight="1" x14ac:dyDescent="0.2">
      <c r="A776" s="50" t="s">
        <v>1148</v>
      </c>
      <c r="B776" s="74"/>
      <c r="C776" s="66" t="s">
        <v>218</v>
      </c>
      <c r="D776" s="53" t="s">
        <v>33</v>
      </c>
      <c r="E776" s="54" t="s">
        <v>34</v>
      </c>
      <c r="F776" s="67" t="s">
        <v>1142</v>
      </c>
      <c r="G776" s="67" t="s">
        <v>41</v>
      </c>
      <c r="H776" s="57" t="s">
        <v>219</v>
      </c>
      <c r="I776" s="55" t="s">
        <v>38</v>
      </c>
      <c r="J776" s="57" t="e">
        <f>ROUND(#REF!*2.4,-1)</f>
        <v>#REF!</v>
      </c>
      <c r="K776" s="58"/>
      <c r="L776" s="88">
        <f>1-1</f>
        <v>0</v>
      </c>
      <c r="M776" s="60"/>
      <c r="N776" s="61"/>
      <c r="O776" s="61"/>
      <c r="P776" s="62"/>
      <c r="Q776" s="62">
        <f>1-1</f>
        <v>0</v>
      </c>
      <c r="R776" s="62">
        <f>1-1</f>
        <v>0</v>
      </c>
      <c r="S776" s="62">
        <f>1-1</f>
        <v>0</v>
      </c>
      <c r="T776" s="62">
        <f>1-1</f>
        <v>0</v>
      </c>
      <c r="U776" s="62">
        <f>1-1</f>
        <v>0</v>
      </c>
      <c r="V776" s="62"/>
      <c r="W776" s="63"/>
      <c r="X776" s="63"/>
      <c r="Z776" s="64"/>
      <c r="AA776" s="54"/>
      <c r="AB776" s="54"/>
      <c r="AC776" s="54"/>
    </row>
    <row r="777" spans="1:29" ht="60" customHeight="1" x14ac:dyDescent="0.2">
      <c r="A777" s="50" t="s">
        <v>1149</v>
      </c>
      <c r="B777" s="74"/>
      <c r="C777" s="66" t="s">
        <v>1150</v>
      </c>
      <c r="D777" s="53" t="s">
        <v>33</v>
      </c>
      <c r="E777" s="54" t="s">
        <v>34</v>
      </c>
      <c r="F777" s="67" t="s">
        <v>1142</v>
      </c>
      <c r="G777" s="56" t="s">
        <v>36</v>
      </c>
      <c r="H777" s="57" t="s">
        <v>378</v>
      </c>
      <c r="I777" s="55" t="s">
        <v>38</v>
      </c>
      <c r="J777" s="57" t="e">
        <f>ROUND(#REF!*2.4,-1)</f>
        <v>#REF!</v>
      </c>
      <c r="K777" s="58"/>
      <c r="L777" s="88">
        <f>0+1</f>
        <v>1</v>
      </c>
      <c r="M777" s="60"/>
      <c r="N777" s="61"/>
      <c r="O777" s="61"/>
      <c r="P777" s="62"/>
      <c r="Q777" s="62"/>
      <c r="R777" s="62">
        <f>1</f>
        <v>1</v>
      </c>
      <c r="S777" s="62"/>
      <c r="T777" s="62"/>
      <c r="U777" s="62"/>
      <c r="V777" s="62"/>
      <c r="W777" s="63"/>
      <c r="X777" s="63"/>
      <c r="Z777" s="64"/>
      <c r="AA777" s="54"/>
      <c r="AB777" s="54"/>
      <c r="AC777" s="54"/>
    </row>
    <row r="778" spans="1:29" s="49" customFormat="1" ht="60" customHeight="1" x14ac:dyDescent="0.2">
      <c r="A778" s="37" t="s">
        <v>1151</v>
      </c>
      <c r="B778" s="38"/>
      <c r="C778" s="52" t="s">
        <v>1152</v>
      </c>
      <c r="D778" s="57" t="s">
        <v>1153</v>
      </c>
      <c r="E778" s="54" t="s">
        <v>34</v>
      </c>
      <c r="F778" s="57" t="s">
        <v>1154</v>
      </c>
      <c r="G778" s="56" t="s">
        <v>36</v>
      </c>
      <c r="H778" s="68" t="s">
        <v>37</v>
      </c>
      <c r="I778" s="57" t="s">
        <v>1155</v>
      </c>
      <c r="J778" s="106">
        <v>6500</v>
      </c>
      <c r="K778" s="110"/>
      <c r="L778" s="59">
        <f>107-1</f>
        <v>106</v>
      </c>
      <c r="M778" s="60"/>
      <c r="N778" s="61"/>
      <c r="O778" s="61"/>
      <c r="P778" s="62"/>
      <c r="Q778" s="62">
        <f>24-20+20</f>
        <v>24</v>
      </c>
      <c r="R778" s="62">
        <f>20-15+15</f>
        <v>20</v>
      </c>
      <c r="S778" s="62">
        <f>20-15+15</f>
        <v>20</v>
      </c>
      <c r="T778" s="62">
        <f>22-1</f>
        <v>21</v>
      </c>
      <c r="U778" s="62">
        <f>16-15+15</f>
        <v>16</v>
      </c>
      <c r="V778" s="62">
        <f>5-5+5</f>
        <v>5</v>
      </c>
      <c r="W778" s="46"/>
      <c r="X778" s="46"/>
      <c r="Y778" s="24"/>
      <c r="Z778" s="47"/>
      <c r="AA778" s="111"/>
      <c r="AB778" s="111"/>
      <c r="AC778" s="111"/>
    </row>
    <row r="779" spans="1:29" ht="60" customHeight="1" x14ac:dyDescent="0.2">
      <c r="A779" s="69" t="s">
        <v>1156</v>
      </c>
      <c r="B779" s="78"/>
      <c r="C779" s="52" t="s">
        <v>1157</v>
      </c>
      <c r="D779" s="57" t="s">
        <v>1153</v>
      </c>
      <c r="E779" s="54" t="s">
        <v>34</v>
      </c>
      <c r="F779" s="57" t="s">
        <v>1153</v>
      </c>
      <c r="G779" s="56" t="s">
        <v>36</v>
      </c>
      <c r="H779" s="68" t="s">
        <v>37</v>
      </c>
      <c r="I779" s="57" t="s">
        <v>1155</v>
      </c>
      <c r="J779" s="106">
        <v>6500</v>
      </c>
      <c r="K779" s="58"/>
      <c r="L779" s="88">
        <f>11-7+7</f>
        <v>11</v>
      </c>
      <c r="M779" s="60"/>
      <c r="N779" s="61"/>
      <c r="O779" s="61"/>
      <c r="P779" s="77"/>
      <c r="Q779" s="77">
        <f>1-1</f>
        <v>0</v>
      </c>
      <c r="R779" s="77">
        <f>9-5+5</f>
        <v>9</v>
      </c>
      <c r="S779" s="77">
        <f>2-2+2</f>
        <v>2</v>
      </c>
      <c r="T779" s="77">
        <f>2-2</f>
        <v>0</v>
      </c>
      <c r="U779" s="77">
        <f>1-1</f>
        <v>0</v>
      </c>
      <c r="V779" s="77"/>
      <c r="W779" s="63"/>
      <c r="X779" s="63"/>
      <c r="Z779" s="64"/>
      <c r="AA779" s="54"/>
      <c r="AB779" s="54"/>
      <c r="AC779" s="54"/>
    </row>
    <row r="780" spans="1:29" ht="60" customHeight="1" x14ac:dyDescent="0.2">
      <c r="A780" s="69" t="s">
        <v>1158</v>
      </c>
      <c r="B780" s="78"/>
      <c r="C780" s="52" t="s">
        <v>1159</v>
      </c>
      <c r="D780" s="57" t="s">
        <v>1153</v>
      </c>
      <c r="E780" s="54" t="s">
        <v>34</v>
      </c>
      <c r="F780" s="57" t="s">
        <v>1153</v>
      </c>
      <c r="G780" s="56" t="s">
        <v>36</v>
      </c>
      <c r="H780" s="68" t="s">
        <v>37</v>
      </c>
      <c r="I780" s="57" t="s">
        <v>1155</v>
      </c>
      <c r="J780" s="106">
        <v>6500</v>
      </c>
      <c r="K780" s="58"/>
      <c r="L780" s="88">
        <f>54-47+47</f>
        <v>54</v>
      </c>
      <c r="M780" s="60"/>
      <c r="N780" s="61"/>
      <c r="O780" s="61"/>
      <c r="P780" s="77"/>
      <c r="Q780" s="77">
        <f>16-15+15</f>
        <v>16</v>
      </c>
      <c r="R780" s="77">
        <f>20-15+15</f>
        <v>20</v>
      </c>
      <c r="S780" s="77">
        <f>16-15+15</f>
        <v>16</v>
      </c>
      <c r="T780" s="77">
        <f>2-2+2</f>
        <v>2</v>
      </c>
      <c r="U780" s="77"/>
      <c r="V780" s="77"/>
      <c r="W780" s="63"/>
      <c r="X780" s="63"/>
      <c r="Z780" s="64"/>
      <c r="AA780" s="54"/>
      <c r="AB780" s="54"/>
      <c r="AC780" s="54"/>
    </row>
    <row r="781" spans="1:29" ht="60" customHeight="1" x14ac:dyDescent="0.2">
      <c r="A781" s="69" t="s">
        <v>1160</v>
      </c>
      <c r="B781" s="78"/>
      <c r="C781" s="52" t="s">
        <v>1161</v>
      </c>
      <c r="D781" s="57" t="s">
        <v>1153</v>
      </c>
      <c r="E781" s="54" t="s">
        <v>34</v>
      </c>
      <c r="F781" s="57" t="s">
        <v>1153</v>
      </c>
      <c r="G781" s="56" t="s">
        <v>36</v>
      </c>
      <c r="H781" s="68" t="s">
        <v>37</v>
      </c>
      <c r="I781" s="57" t="s">
        <v>1155</v>
      </c>
      <c r="J781" s="106">
        <v>6500</v>
      </c>
      <c r="K781" s="58"/>
      <c r="L781" s="88">
        <f>8-1</f>
        <v>7</v>
      </c>
      <c r="M781" s="60"/>
      <c r="N781" s="61"/>
      <c r="O781" s="61"/>
      <c r="P781" s="77"/>
      <c r="Q781" s="77">
        <f>7-5+5</f>
        <v>7</v>
      </c>
      <c r="R781" s="77">
        <f>1-1</f>
        <v>0</v>
      </c>
      <c r="S781" s="77">
        <f>1-1</f>
        <v>0</v>
      </c>
      <c r="T781" s="77">
        <f>1-1</f>
        <v>0</v>
      </c>
      <c r="U781" s="77"/>
      <c r="V781" s="77"/>
      <c r="W781" s="63"/>
      <c r="X781" s="63"/>
      <c r="Z781" s="64"/>
      <c r="AA781" s="54"/>
      <c r="AB781" s="54"/>
      <c r="AC781" s="54"/>
    </row>
    <row r="782" spans="1:29" ht="60" customHeight="1" x14ac:dyDescent="0.2">
      <c r="A782" s="69" t="s">
        <v>1162</v>
      </c>
      <c r="B782" s="78"/>
      <c r="C782" s="52" t="s">
        <v>1157</v>
      </c>
      <c r="D782" s="57" t="s">
        <v>1153</v>
      </c>
      <c r="E782" s="54" t="s">
        <v>34</v>
      </c>
      <c r="F782" s="57" t="s">
        <v>1153</v>
      </c>
      <c r="G782" s="56" t="s">
        <v>36</v>
      </c>
      <c r="H782" s="68" t="s">
        <v>37</v>
      </c>
      <c r="I782" s="57" t="s">
        <v>1155</v>
      </c>
      <c r="J782" s="106">
        <v>6500</v>
      </c>
      <c r="K782" s="58"/>
      <c r="L782" s="88">
        <f>9-1+1</f>
        <v>9</v>
      </c>
      <c r="M782" s="60"/>
      <c r="N782" s="61"/>
      <c r="O782" s="61"/>
      <c r="P782" s="77"/>
      <c r="Q782" s="77">
        <f>2-1+1</f>
        <v>2</v>
      </c>
      <c r="R782" s="77">
        <f>2-1+1</f>
        <v>2</v>
      </c>
      <c r="S782" s="77">
        <f>2-1+1+1</f>
        <v>3</v>
      </c>
      <c r="T782" s="77">
        <f>1-1+1+1</f>
        <v>2</v>
      </c>
      <c r="U782" s="77"/>
      <c r="V782" s="77"/>
      <c r="W782" s="63"/>
      <c r="X782" s="63"/>
      <c r="Z782" s="64"/>
      <c r="AA782" s="54">
        <v>5610545</v>
      </c>
      <c r="AB782" s="54">
        <v>376</v>
      </c>
      <c r="AC782" s="54"/>
    </row>
    <row r="783" spans="1:29" ht="60" customHeight="1" x14ac:dyDescent="0.2">
      <c r="A783" s="69" t="s">
        <v>1163</v>
      </c>
      <c r="B783" s="78"/>
      <c r="C783" s="52" t="s">
        <v>1159</v>
      </c>
      <c r="D783" s="57" t="s">
        <v>1153</v>
      </c>
      <c r="E783" s="54" t="s">
        <v>34</v>
      </c>
      <c r="F783" s="57" t="s">
        <v>1153</v>
      </c>
      <c r="G783" s="56" t="s">
        <v>36</v>
      </c>
      <c r="H783" s="68" t="s">
        <v>37</v>
      </c>
      <c r="I783" s="57" t="s">
        <v>1155</v>
      </c>
      <c r="J783" s="106">
        <v>6500</v>
      </c>
      <c r="K783" s="58"/>
      <c r="L783" s="88">
        <f>18-18+18</f>
        <v>18</v>
      </c>
      <c r="M783" s="60"/>
      <c r="N783" s="61"/>
      <c r="O783" s="61"/>
      <c r="P783" s="77"/>
      <c r="Q783" s="77">
        <f>4-4+4</f>
        <v>4</v>
      </c>
      <c r="R783" s="77">
        <f>5-5+5</f>
        <v>5</v>
      </c>
      <c r="S783" s="77">
        <f>5-5+5</f>
        <v>5</v>
      </c>
      <c r="T783" s="77">
        <f>4-4+4</f>
        <v>4</v>
      </c>
      <c r="U783" s="77"/>
      <c r="V783" s="77"/>
      <c r="W783" s="63"/>
      <c r="X783" s="63"/>
      <c r="Z783" s="64"/>
      <c r="AA783" s="54">
        <v>5610556</v>
      </c>
      <c r="AB783" s="54">
        <v>377</v>
      </c>
      <c r="AC783" s="54"/>
    </row>
    <row r="784" spans="1:29" ht="60" customHeight="1" x14ac:dyDescent="0.2">
      <c r="A784" s="69" t="s">
        <v>1164</v>
      </c>
      <c r="B784" s="78"/>
      <c r="C784" s="52" t="s">
        <v>1161</v>
      </c>
      <c r="D784" s="57" t="s">
        <v>1153</v>
      </c>
      <c r="E784" s="54" t="s">
        <v>34</v>
      </c>
      <c r="F784" s="57" t="s">
        <v>1153</v>
      </c>
      <c r="G784" s="56" t="s">
        <v>36</v>
      </c>
      <c r="H784" s="68" t="s">
        <v>37</v>
      </c>
      <c r="I784" s="57" t="s">
        <v>1155</v>
      </c>
      <c r="J784" s="106">
        <v>6500</v>
      </c>
      <c r="K784" s="58"/>
      <c r="L784" s="88">
        <f>11-11+11</f>
        <v>11</v>
      </c>
      <c r="M784" s="60"/>
      <c r="N784" s="61"/>
      <c r="O784" s="61"/>
      <c r="P784" s="77"/>
      <c r="Q784" s="77">
        <f>4-4+4</f>
        <v>4</v>
      </c>
      <c r="R784" s="77">
        <f>4-4+4</f>
        <v>4</v>
      </c>
      <c r="S784" s="77">
        <f>1-1+1</f>
        <v>1</v>
      </c>
      <c r="T784" s="77">
        <f>2-2+2</f>
        <v>2</v>
      </c>
      <c r="U784" s="77"/>
      <c r="V784" s="77"/>
      <c r="W784" s="63"/>
      <c r="X784" s="63"/>
      <c r="Z784" s="64"/>
      <c r="AA784" s="54"/>
      <c r="AB784" s="54"/>
      <c r="AC784" s="54"/>
    </row>
    <row r="785" spans="1:29" ht="60" customHeight="1" x14ac:dyDescent="0.2">
      <c r="A785" s="50" t="s">
        <v>1165</v>
      </c>
      <c r="B785" s="74"/>
      <c r="C785" s="66" t="s">
        <v>365</v>
      </c>
      <c r="D785" s="53" t="s">
        <v>1166</v>
      </c>
      <c r="E785" s="54" t="s">
        <v>34</v>
      </c>
      <c r="F785" s="67" t="s">
        <v>1167</v>
      </c>
      <c r="G785" s="56" t="s">
        <v>36</v>
      </c>
      <c r="H785" s="57" t="s">
        <v>60</v>
      </c>
      <c r="I785" s="55" t="s">
        <v>51</v>
      </c>
      <c r="J785" s="57">
        <v>480</v>
      </c>
      <c r="K785" s="58"/>
      <c r="L785" s="59">
        <f>1-1+1</f>
        <v>1</v>
      </c>
      <c r="M785" s="60"/>
      <c r="N785" s="61"/>
      <c r="O785" s="61"/>
      <c r="P785" s="62"/>
      <c r="Q785" s="62">
        <f>1-1+1</f>
        <v>1</v>
      </c>
      <c r="R785" s="62">
        <f>2-2</f>
        <v>0</v>
      </c>
      <c r="S785" s="62">
        <f>1-1</f>
        <v>0</v>
      </c>
      <c r="T785" s="62">
        <f>1-1</f>
        <v>0</v>
      </c>
      <c r="U785" s="62">
        <f>2-2</f>
        <v>0</v>
      </c>
      <c r="V785" s="62"/>
      <c r="W785" s="63"/>
      <c r="X785" s="63"/>
      <c r="Z785" s="64"/>
      <c r="AA785" s="54"/>
      <c r="AB785" s="54"/>
      <c r="AC785" s="54"/>
    </row>
    <row r="786" spans="1:29" ht="60" hidden="1" customHeight="1" x14ac:dyDescent="0.2">
      <c r="A786" s="50" t="s">
        <v>1168</v>
      </c>
      <c r="B786" s="74"/>
      <c r="C786" s="66" t="s">
        <v>1169</v>
      </c>
      <c r="D786" s="53" t="s">
        <v>1166</v>
      </c>
      <c r="E786" s="54" t="s">
        <v>34</v>
      </c>
      <c r="F786" s="67" t="s">
        <v>1167</v>
      </c>
      <c r="G786" s="56" t="s">
        <v>36</v>
      </c>
      <c r="H786" s="57" t="s">
        <v>375</v>
      </c>
      <c r="I786" s="55" t="s">
        <v>51</v>
      </c>
      <c r="J786" s="57">
        <v>480</v>
      </c>
      <c r="K786" s="58"/>
      <c r="L786" s="59">
        <f>3-3</f>
        <v>0</v>
      </c>
      <c r="M786" s="60"/>
      <c r="N786" s="61"/>
      <c r="O786" s="61"/>
      <c r="P786" s="62"/>
      <c r="Q786" s="62">
        <f>2-2</f>
        <v>0</v>
      </c>
      <c r="R786" s="62">
        <f>1-1</f>
        <v>0</v>
      </c>
      <c r="S786" s="62">
        <f>1-1</f>
        <v>0</v>
      </c>
      <c r="T786" s="62">
        <f>1-1</f>
        <v>0</v>
      </c>
      <c r="U786" s="62">
        <f>1-1</f>
        <v>0</v>
      </c>
      <c r="V786" s="62"/>
      <c r="W786" s="63"/>
      <c r="X786" s="63"/>
      <c r="Z786" s="64"/>
      <c r="AA786" s="54"/>
      <c r="AB786" s="54"/>
      <c r="AC786" s="54"/>
    </row>
    <row r="787" spans="1:29" ht="60" customHeight="1" x14ac:dyDescent="0.2">
      <c r="A787" s="50" t="s">
        <v>1170</v>
      </c>
      <c r="B787" s="74"/>
      <c r="C787" s="66" t="s">
        <v>893</v>
      </c>
      <c r="D787" s="53" t="s">
        <v>58</v>
      </c>
      <c r="E787" s="54" t="s">
        <v>34</v>
      </c>
      <c r="F787" s="55" t="s">
        <v>391</v>
      </c>
      <c r="G787" s="56" t="s">
        <v>36</v>
      </c>
      <c r="H787" s="57" t="s">
        <v>123</v>
      </c>
      <c r="I787" s="55" t="s">
        <v>51</v>
      </c>
      <c r="J787" s="57" t="e">
        <f>ROUND(#REF!*2.4,-1)</f>
        <v>#REF!</v>
      </c>
      <c r="K787" s="58"/>
      <c r="L787" s="59">
        <f>1-1+1</f>
        <v>1</v>
      </c>
      <c r="M787" s="60"/>
      <c r="N787" s="61"/>
      <c r="O787" s="61"/>
      <c r="P787" s="62">
        <f>1-1+1</f>
        <v>1</v>
      </c>
      <c r="Q787" s="62"/>
      <c r="R787" s="62"/>
      <c r="S787" s="62">
        <f>1-1</f>
        <v>0</v>
      </c>
      <c r="T787" s="62"/>
      <c r="U787" s="62"/>
      <c r="V787" s="62"/>
      <c r="W787" s="63"/>
      <c r="X787" s="63"/>
      <c r="Z787" s="64"/>
      <c r="AA787" s="54"/>
      <c r="AB787" s="54"/>
      <c r="AC787" s="54"/>
    </row>
    <row r="788" spans="1:29" ht="60" hidden="1" customHeight="1" x14ac:dyDescent="0.2">
      <c r="A788" s="50" t="s">
        <v>1171</v>
      </c>
      <c r="B788" s="74"/>
      <c r="C788" s="66" t="s">
        <v>815</v>
      </c>
      <c r="D788" s="53" t="s">
        <v>58</v>
      </c>
      <c r="E788" s="54" t="s">
        <v>34</v>
      </c>
      <c r="F788" s="55" t="s">
        <v>391</v>
      </c>
      <c r="G788" s="67" t="s">
        <v>50</v>
      </c>
      <c r="H788" s="57" t="s">
        <v>123</v>
      </c>
      <c r="I788" s="55" t="s">
        <v>51</v>
      </c>
      <c r="J788" s="57" t="e">
        <f>ROUND(#REF!*2.4,-1)</f>
        <v>#REF!</v>
      </c>
      <c r="K788" s="58"/>
      <c r="L788" s="59">
        <v>0</v>
      </c>
      <c r="M788" s="60"/>
      <c r="N788" s="61"/>
      <c r="O788" s="61"/>
      <c r="P788" s="62"/>
      <c r="Q788" s="62"/>
      <c r="R788" s="62"/>
      <c r="S788" s="62"/>
      <c r="T788" s="62"/>
      <c r="U788" s="62"/>
      <c r="V788" s="62"/>
      <c r="W788" s="63"/>
      <c r="X788" s="63"/>
      <c r="Z788" s="64"/>
      <c r="AA788" s="54"/>
      <c r="AB788" s="54"/>
      <c r="AC788" s="54"/>
    </row>
    <row r="789" spans="1:29" ht="60" hidden="1" customHeight="1" x14ac:dyDescent="0.2">
      <c r="A789" s="50" t="s">
        <v>1172</v>
      </c>
      <c r="B789" s="74"/>
      <c r="C789" s="66" t="s">
        <v>441</v>
      </c>
      <c r="D789" s="53" t="s">
        <v>58</v>
      </c>
      <c r="E789" s="54" t="s">
        <v>34</v>
      </c>
      <c r="F789" s="55" t="s">
        <v>391</v>
      </c>
      <c r="G789" s="67" t="s">
        <v>50</v>
      </c>
      <c r="H789" s="57" t="s">
        <v>84</v>
      </c>
      <c r="I789" s="55" t="s">
        <v>51</v>
      </c>
      <c r="J789" s="57" t="e">
        <f>ROUND(#REF!*2.4,-1)</f>
        <v>#REF!</v>
      </c>
      <c r="K789" s="58"/>
      <c r="L789" s="59">
        <f>1-1</f>
        <v>0</v>
      </c>
      <c r="M789" s="60"/>
      <c r="N789" s="61"/>
      <c r="O789" s="61"/>
      <c r="P789" s="62">
        <f>1-1</f>
        <v>0</v>
      </c>
      <c r="Q789" s="62">
        <f>1-1</f>
        <v>0</v>
      </c>
      <c r="R789" s="62">
        <f>1-1</f>
        <v>0</v>
      </c>
      <c r="S789" s="62">
        <f>4-4</f>
        <v>0</v>
      </c>
      <c r="T789" s="62">
        <f>1-1</f>
        <v>0</v>
      </c>
      <c r="U789" s="62"/>
      <c r="V789" s="62"/>
      <c r="W789" s="63"/>
      <c r="X789" s="63"/>
      <c r="Z789" s="64"/>
      <c r="AA789" s="54"/>
      <c r="AB789" s="54"/>
      <c r="AC789" s="54"/>
    </row>
    <row r="790" spans="1:29" ht="60" hidden="1" customHeight="1" x14ac:dyDescent="0.2">
      <c r="A790" s="50" t="s">
        <v>1173</v>
      </c>
      <c r="B790" s="74"/>
      <c r="C790" s="66" t="s">
        <v>1174</v>
      </c>
      <c r="D790" s="53" t="s">
        <v>58</v>
      </c>
      <c r="E790" s="54" t="s">
        <v>34</v>
      </c>
      <c r="F790" s="55" t="s">
        <v>391</v>
      </c>
      <c r="G790" s="67" t="s">
        <v>50</v>
      </c>
      <c r="H790" s="57" t="s">
        <v>84</v>
      </c>
      <c r="I790" s="55" t="s">
        <v>51</v>
      </c>
      <c r="J790" s="57" t="e">
        <f>ROUND(#REF!*2.4,-1)</f>
        <v>#REF!</v>
      </c>
      <c r="K790" s="58"/>
      <c r="L790" s="59">
        <v>0</v>
      </c>
      <c r="M790" s="60"/>
      <c r="N790" s="61"/>
      <c r="O790" s="61"/>
      <c r="P790" s="62"/>
      <c r="Q790" s="62"/>
      <c r="R790" s="62"/>
      <c r="S790" s="62"/>
      <c r="T790" s="62"/>
      <c r="U790" s="62"/>
      <c r="V790" s="62"/>
      <c r="W790" s="63"/>
      <c r="X790" s="63"/>
      <c r="Z790" s="64"/>
      <c r="AA790" s="54"/>
      <c r="AB790" s="54"/>
      <c r="AC790" s="54"/>
    </row>
    <row r="791" spans="1:29" ht="60" hidden="1" customHeight="1" x14ac:dyDescent="0.2">
      <c r="A791" s="50" t="s">
        <v>1175</v>
      </c>
      <c r="B791" s="74"/>
      <c r="C791" s="66" t="s">
        <v>182</v>
      </c>
      <c r="D791" s="53" t="s">
        <v>58</v>
      </c>
      <c r="E791" s="54" t="s">
        <v>34</v>
      </c>
      <c r="F791" s="55" t="s">
        <v>391</v>
      </c>
      <c r="G791" s="67" t="s">
        <v>50</v>
      </c>
      <c r="H791" s="57" t="s">
        <v>442</v>
      </c>
      <c r="I791" s="55" t="s">
        <v>51</v>
      </c>
      <c r="J791" s="57" t="e">
        <f>ROUND(#REF!*2.4,-1)</f>
        <v>#REF!</v>
      </c>
      <c r="K791" s="58"/>
      <c r="L791" s="59">
        <f>1-1</f>
        <v>0</v>
      </c>
      <c r="M791" s="60"/>
      <c r="N791" s="61"/>
      <c r="O791" s="61"/>
      <c r="P791" s="62"/>
      <c r="Q791" s="62"/>
      <c r="R791" s="62"/>
      <c r="S791" s="62"/>
      <c r="T791" s="62"/>
      <c r="U791" s="62"/>
      <c r="V791" s="62"/>
      <c r="W791" s="63"/>
      <c r="X791" s="63"/>
      <c r="Z791" s="64"/>
      <c r="AA791" s="54"/>
      <c r="AB791" s="54"/>
      <c r="AC791" s="54"/>
    </row>
    <row r="792" spans="1:29" ht="60" hidden="1" customHeight="1" x14ac:dyDescent="0.2">
      <c r="A792" s="50" t="s">
        <v>1176</v>
      </c>
      <c r="B792" s="74"/>
      <c r="C792" s="66" t="s">
        <v>1177</v>
      </c>
      <c r="D792" s="53" t="s">
        <v>58</v>
      </c>
      <c r="E792" s="54" t="s">
        <v>34</v>
      </c>
      <c r="F792" s="55" t="s">
        <v>391</v>
      </c>
      <c r="G792" s="56" t="s">
        <v>36</v>
      </c>
      <c r="H792" s="57" t="s">
        <v>442</v>
      </c>
      <c r="I792" s="55" t="s">
        <v>51</v>
      </c>
      <c r="J792" s="57" t="e">
        <f>ROUND(#REF!*2.4,-1)</f>
        <v>#REF!</v>
      </c>
      <c r="K792" s="58"/>
      <c r="L792" s="59">
        <f>2-2</f>
        <v>0</v>
      </c>
      <c r="M792" s="60"/>
      <c r="N792" s="61"/>
      <c r="O792" s="61"/>
      <c r="P792" s="62">
        <v>0</v>
      </c>
      <c r="Q792" s="62">
        <f>2-2</f>
        <v>0</v>
      </c>
      <c r="R792" s="62">
        <f>1-1</f>
        <v>0</v>
      </c>
      <c r="S792" s="62">
        <f>1-1</f>
        <v>0</v>
      </c>
      <c r="T792" s="62">
        <f>1-1</f>
        <v>0</v>
      </c>
      <c r="U792" s="62"/>
      <c r="V792" s="62"/>
      <c r="W792" s="63"/>
      <c r="X792" s="63"/>
      <c r="Z792" s="64"/>
      <c r="AA792" s="54"/>
      <c r="AB792" s="54"/>
      <c r="AC792" s="54"/>
    </row>
    <row r="793" spans="1:29" ht="60" hidden="1" customHeight="1" x14ac:dyDescent="0.2">
      <c r="A793" s="90" t="s">
        <v>1178</v>
      </c>
      <c r="B793" s="91"/>
      <c r="C793" s="66" t="s">
        <v>441</v>
      </c>
      <c r="D793" s="53" t="s">
        <v>58</v>
      </c>
      <c r="E793" s="54" t="s">
        <v>34</v>
      </c>
      <c r="F793" s="55" t="s">
        <v>391</v>
      </c>
      <c r="G793" s="67" t="s">
        <v>50</v>
      </c>
      <c r="H793" s="57" t="s">
        <v>442</v>
      </c>
      <c r="I793" s="55" t="s">
        <v>51</v>
      </c>
      <c r="J793" s="57" t="e">
        <f>ROUND(#REF!*2.4,-1)</f>
        <v>#REF!</v>
      </c>
      <c r="K793" s="58"/>
      <c r="L793" s="59">
        <v>0</v>
      </c>
      <c r="M793" s="60"/>
      <c r="N793" s="61"/>
      <c r="O793" s="61"/>
      <c r="P793" s="62"/>
      <c r="Q793" s="62"/>
      <c r="R793" s="62"/>
      <c r="S793" s="62"/>
      <c r="T793" s="62"/>
      <c r="U793" s="62"/>
      <c r="V793" s="62"/>
      <c r="W793" s="63"/>
      <c r="X793" s="63"/>
      <c r="Z793" s="64"/>
      <c r="AA793" s="54"/>
      <c r="AB793" s="54"/>
      <c r="AC793" s="54"/>
    </row>
    <row r="794" spans="1:29" ht="60" hidden="1" customHeight="1" x14ac:dyDescent="0.2">
      <c r="A794" s="50" t="s">
        <v>1179</v>
      </c>
      <c r="B794" s="74"/>
      <c r="C794" s="66" t="s">
        <v>384</v>
      </c>
      <c r="D794" s="53" t="s">
        <v>58</v>
      </c>
      <c r="E794" s="54" t="s">
        <v>34</v>
      </c>
      <c r="F794" s="55" t="s">
        <v>391</v>
      </c>
      <c r="G794" s="56" t="s">
        <v>36</v>
      </c>
      <c r="H794" s="57" t="s">
        <v>442</v>
      </c>
      <c r="I794" s="55" t="s">
        <v>51</v>
      </c>
      <c r="J794" s="57" t="e">
        <f>ROUND(#REF!*2.4,-1)</f>
        <v>#REF!</v>
      </c>
      <c r="K794" s="58"/>
      <c r="L794" s="59">
        <f>2-2</f>
        <v>0</v>
      </c>
      <c r="M794" s="60"/>
      <c r="N794" s="61"/>
      <c r="O794" s="61"/>
      <c r="P794" s="62">
        <f>1-1</f>
        <v>0</v>
      </c>
      <c r="Q794" s="62">
        <f>2-2</f>
        <v>0</v>
      </c>
      <c r="R794" s="62">
        <f>3-3</f>
        <v>0</v>
      </c>
      <c r="S794" s="62"/>
      <c r="T794" s="62"/>
      <c r="U794" s="62"/>
      <c r="V794" s="62"/>
      <c r="W794" s="63"/>
      <c r="X794" s="63"/>
      <c r="Z794" s="64"/>
      <c r="AA794" s="54"/>
      <c r="AB794" s="54"/>
      <c r="AC794" s="54"/>
    </row>
    <row r="795" spans="1:29" ht="60" hidden="1" customHeight="1" x14ac:dyDescent="0.2">
      <c r="A795" s="50" t="s">
        <v>1180</v>
      </c>
      <c r="B795" s="74"/>
      <c r="C795" s="66" t="s">
        <v>1177</v>
      </c>
      <c r="D795" s="53" t="s">
        <v>58</v>
      </c>
      <c r="E795" s="54" t="s">
        <v>34</v>
      </c>
      <c r="F795" s="55" t="s">
        <v>391</v>
      </c>
      <c r="G795" s="56" t="s">
        <v>36</v>
      </c>
      <c r="H795" s="57" t="s">
        <v>378</v>
      </c>
      <c r="I795" s="55" t="s">
        <v>51</v>
      </c>
      <c r="J795" s="57" t="e">
        <f>ROUND(#REF!*2.4,-1)</f>
        <v>#REF!</v>
      </c>
      <c r="K795" s="58"/>
      <c r="L795" s="59">
        <f>1-1</f>
        <v>0</v>
      </c>
      <c r="M795" s="60"/>
      <c r="N795" s="61"/>
      <c r="O795" s="61"/>
      <c r="P795" s="62">
        <f>1-1</f>
        <v>0</v>
      </c>
      <c r="Q795" s="62"/>
      <c r="R795" s="62">
        <f>1-1</f>
        <v>0</v>
      </c>
      <c r="S795" s="62">
        <f>1-1</f>
        <v>0</v>
      </c>
      <c r="T795" s="62"/>
      <c r="U795" s="62"/>
      <c r="V795" s="62"/>
      <c r="W795" s="63"/>
      <c r="X795" s="63"/>
      <c r="Z795" s="64"/>
      <c r="AA795" s="54"/>
      <c r="AB795" s="54"/>
      <c r="AC795" s="54"/>
    </row>
    <row r="796" spans="1:29" ht="60" hidden="1" customHeight="1" x14ac:dyDescent="0.2">
      <c r="A796" s="50" t="s">
        <v>1181</v>
      </c>
      <c r="B796" s="74"/>
      <c r="C796" s="66" t="s">
        <v>893</v>
      </c>
      <c r="D796" s="53" t="s">
        <v>58</v>
      </c>
      <c r="E796" s="54" t="s">
        <v>34</v>
      </c>
      <c r="F796" s="55" t="s">
        <v>391</v>
      </c>
      <c r="G796" s="67" t="s">
        <v>50</v>
      </c>
      <c r="H796" s="57" t="s">
        <v>344</v>
      </c>
      <c r="I796" s="55" t="s">
        <v>51</v>
      </c>
      <c r="J796" s="57" t="e">
        <f>ROUND(#REF!*2.4,-1)</f>
        <v>#REF!</v>
      </c>
      <c r="K796" s="58"/>
      <c r="L796" s="59">
        <f>1-1</f>
        <v>0</v>
      </c>
      <c r="M796" s="60"/>
      <c r="N796" s="61"/>
      <c r="O796" s="61"/>
      <c r="P796" s="62">
        <f>1-1</f>
        <v>0</v>
      </c>
      <c r="Q796" s="62"/>
      <c r="R796" s="62"/>
      <c r="S796" s="62"/>
      <c r="T796" s="62"/>
      <c r="U796" s="62"/>
      <c r="V796" s="62"/>
      <c r="W796" s="63"/>
      <c r="X796" s="63"/>
      <c r="Z796" s="64"/>
      <c r="AA796" s="54"/>
      <c r="AB796" s="54"/>
      <c r="AC796" s="54"/>
    </row>
    <row r="797" spans="1:29" ht="60" hidden="1" customHeight="1" x14ac:dyDescent="0.2">
      <c r="A797" s="50" t="s">
        <v>1182</v>
      </c>
      <c r="B797" s="51"/>
      <c r="C797" s="66" t="s">
        <v>1183</v>
      </c>
      <c r="D797" s="53" t="s">
        <v>48</v>
      </c>
      <c r="E797" s="54" t="s">
        <v>1184</v>
      </c>
      <c r="F797" s="67" t="s">
        <v>49</v>
      </c>
      <c r="G797" s="56" t="s">
        <v>36</v>
      </c>
      <c r="H797" s="57" t="s">
        <v>60</v>
      </c>
      <c r="I797" s="55" t="s">
        <v>637</v>
      </c>
      <c r="J797" s="57" t="e">
        <f>ROUND(#REF!*2.4,-1)</f>
        <v>#REF!</v>
      </c>
      <c r="K797" s="58"/>
      <c r="L797" s="59">
        <f>1-1</f>
        <v>0</v>
      </c>
      <c r="M797" s="60"/>
      <c r="N797" s="61"/>
      <c r="O797" s="61"/>
      <c r="P797" s="62"/>
      <c r="Q797" s="62"/>
      <c r="R797" s="62">
        <f>1-1</f>
        <v>0</v>
      </c>
      <c r="S797" s="62"/>
      <c r="T797" s="62"/>
      <c r="U797" s="62"/>
      <c r="V797" s="62"/>
      <c r="W797" s="63"/>
      <c r="X797" s="63"/>
      <c r="Z797" s="63"/>
      <c r="AA797" s="54"/>
      <c r="AB797" s="54"/>
      <c r="AC797" s="54"/>
    </row>
    <row r="798" spans="1:29" ht="60" customHeight="1" x14ac:dyDescent="0.2">
      <c r="A798" s="50" t="s">
        <v>1185</v>
      </c>
      <c r="B798" s="51"/>
      <c r="C798" s="66" t="s">
        <v>1186</v>
      </c>
      <c r="D798" s="53" t="s">
        <v>48</v>
      </c>
      <c r="E798" s="54" t="s">
        <v>1184</v>
      </c>
      <c r="F798" s="67" t="s">
        <v>49</v>
      </c>
      <c r="G798" s="56" t="s">
        <v>36</v>
      </c>
      <c r="H798" s="57" t="s">
        <v>37</v>
      </c>
      <c r="I798" s="53" t="s">
        <v>637</v>
      </c>
      <c r="J798" s="57" t="e">
        <f>ROUND(#REF!*2.4,-1)</f>
        <v>#REF!</v>
      </c>
      <c r="K798" s="58"/>
      <c r="L798" s="112">
        <f>14-5</f>
        <v>9</v>
      </c>
      <c r="M798" s="60"/>
      <c r="N798" s="61"/>
      <c r="O798" s="61"/>
      <c r="P798" s="77"/>
      <c r="Q798" s="77"/>
      <c r="R798" s="77">
        <f>10-2</f>
        <v>8</v>
      </c>
      <c r="S798" s="77">
        <f>4-3</f>
        <v>1</v>
      </c>
      <c r="T798" s="62"/>
      <c r="U798" s="62"/>
      <c r="V798" s="62"/>
      <c r="W798" s="63"/>
      <c r="X798" s="63"/>
      <c r="Z798" s="63"/>
      <c r="AA798" s="54"/>
      <c r="AB798" s="54"/>
      <c r="AC798" s="54"/>
    </row>
    <row r="799" spans="1:29" ht="60" hidden="1" customHeight="1" x14ac:dyDescent="0.2">
      <c r="A799" s="50" t="s">
        <v>1187</v>
      </c>
      <c r="B799" s="51"/>
      <c r="C799" s="66" t="s">
        <v>1188</v>
      </c>
      <c r="D799" s="53" t="s">
        <v>48</v>
      </c>
      <c r="E799" s="54" t="s">
        <v>1184</v>
      </c>
      <c r="F799" s="67" t="s">
        <v>49</v>
      </c>
      <c r="G799" s="56" t="s">
        <v>36</v>
      </c>
      <c r="H799" s="57" t="s">
        <v>84</v>
      </c>
      <c r="I799" s="53" t="s">
        <v>637</v>
      </c>
      <c r="J799" s="57" t="e">
        <f>ROUND(#REF!*2.4,-1)</f>
        <v>#REF!</v>
      </c>
      <c r="K799" s="58"/>
      <c r="L799" s="112">
        <f>1-1</f>
        <v>0</v>
      </c>
      <c r="M799" s="60"/>
      <c r="N799" s="61"/>
      <c r="O799" s="61"/>
      <c r="P799" s="77"/>
      <c r="Q799" s="77"/>
      <c r="R799" s="77">
        <f>1-1</f>
        <v>0</v>
      </c>
      <c r="S799" s="77">
        <f>1-1</f>
        <v>0</v>
      </c>
      <c r="T799" s="62"/>
      <c r="U799" s="62"/>
      <c r="V799" s="62"/>
      <c r="W799" s="63"/>
      <c r="X799" s="63"/>
      <c r="Z799" s="63"/>
      <c r="AA799" s="54"/>
      <c r="AB799" s="54"/>
      <c r="AC799" s="54"/>
    </row>
    <row r="800" spans="1:29" ht="60" customHeight="1" x14ac:dyDescent="0.2">
      <c r="A800" s="50" t="s">
        <v>1189</v>
      </c>
      <c r="B800" s="51"/>
      <c r="C800" s="66" t="s">
        <v>1190</v>
      </c>
      <c r="D800" s="53" t="s">
        <v>48</v>
      </c>
      <c r="E800" s="54" t="s">
        <v>1184</v>
      </c>
      <c r="F800" s="67" t="s">
        <v>49</v>
      </c>
      <c r="G800" s="56" t="s">
        <v>36</v>
      </c>
      <c r="H800" s="57" t="s">
        <v>37</v>
      </c>
      <c r="I800" s="53" t="s">
        <v>637</v>
      </c>
      <c r="J800" s="57" t="e">
        <f>ROUND(#REF!*2.4,-1)</f>
        <v>#REF!</v>
      </c>
      <c r="K800" s="58"/>
      <c r="L800" s="112">
        <f>10-6</f>
        <v>4</v>
      </c>
      <c r="M800" s="60"/>
      <c r="N800" s="61"/>
      <c r="O800" s="61"/>
      <c r="P800" s="77"/>
      <c r="Q800" s="77"/>
      <c r="R800" s="77">
        <f>4-2</f>
        <v>2</v>
      </c>
      <c r="S800" s="77">
        <f>6-4</f>
        <v>2</v>
      </c>
      <c r="T800" s="62"/>
      <c r="U800" s="62"/>
      <c r="V800" s="62"/>
      <c r="W800" s="63"/>
      <c r="X800" s="63"/>
      <c r="Z800" s="63"/>
      <c r="AA800" s="113"/>
      <c r="AB800" s="113"/>
      <c r="AC800" s="113"/>
    </row>
    <row r="801" spans="1:29" ht="60" customHeight="1" x14ac:dyDescent="0.2">
      <c r="A801" s="50" t="s">
        <v>1191</v>
      </c>
      <c r="B801" s="51"/>
      <c r="C801" s="66" t="s">
        <v>1192</v>
      </c>
      <c r="D801" s="53" t="s">
        <v>48</v>
      </c>
      <c r="E801" s="54" t="s">
        <v>1184</v>
      </c>
      <c r="F801" s="67" t="s">
        <v>49</v>
      </c>
      <c r="G801" s="56" t="s">
        <v>36</v>
      </c>
      <c r="H801" s="57" t="s">
        <v>60</v>
      </c>
      <c r="I801" s="53" t="s">
        <v>637</v>
      </c>
      <c r="J801" s="57" t="e">
        <f>ROUND(#REF!*2.4,-1)</f>
        <v>#REF!</v>
      </c>
      <c r="K801" s="58"/>
      <c r="L801" s="112">
        <f>22-1</f>
        <v>21</v>
      </c>
      <c r="M801" s="60"/>
      <c r="N801" s="61"/>
      <c r="O801" s="61"/>
      <c r="P801" s="77"/>
      <c r="Q801" s="77"/>
      <c r="R801" s="77">
        <f>9-1</f>
        <v>8</v>
      </c>
      <c r="S801" s="77">
        <f>14-1</f>
        <v>13</v>
      </c>
      <c r="T801" s="62"/>
      <c r="U801" s="62"/>
      <c r="V801" s="62"/>
      <c r="W801" s="63"/>
      <c r="X801" s="63"/>
      <c r="Z801" s="63"/>
      <c r="AA801" s="113"/>
      <c r="AB801" s="113"/>
      <c r="AC801" s="113"/>
    </row>
    <row r="802" spans="1:29" ht="60" hidden="1" customHeight="1" x14ac:dyDescent="0.2">
      <c r="A802" s="50" t="s">
        <v>1193</v>
      </c>
      <c r="B802" s="51"/>
      <c r="C802" s="66" t="s">
        <v>1194</v>
      </c>
      <c r="D802" s="53" t="s">
        <v>48</v>
      </c>
      <c r="E802" s="54" t="s">
        <v>1184</v>
      </c>
      <c r="F802" s="67" t="s">
        <v>49</v>
      </c>
      <c r="G802" s="56" t="s">
        <v>36</v>
      </c>
      <c r="H802" s="57" t="s">
        <v>442</v>
      </c>
      <c r="I802" s="53" t="s">
        <v>637</v>
      </c>
      <c r="J802" s="57" t="e">
        <f>ROUND(#REF!*2.4,-1)</f>
        <v>#REF!</v>
      </c>
      <c r="K802" s="58"/>
      <c r="L802" s="114">
        <f>1-1</f>
        <v>0</v>
      </c>
      <c r="M802" s="60"/>
      <c r="N802" s="61"/>
      <c r="O802" s="61"/>
      <c r="P802" s="77"/>
      <c r="Q802" s="77"/>
      <c r="R802" s="77">
        <f>1-1</f>
        <v>0</v>
      </c>
      <c r="S802" s="77">
        <f>1-1</f>
        <v>0</v>
      </c>
      <c r="T802" s="62"/>
      <c r="U802" s="62"/>
      <c r="V802" s="62"/>
      <c r="W802" s="63"/>
      <c r="X802" s="63"/>
      <c r="Z802" s="63"/>
      <c r="AA802" s="113"/>
      <c r="AB802" s="113"/>
      <c r="AC802" s="113"/>
    </row>
    <row r="803" spans="1:29" ht="60" customHeight="1" x14ac:dyDescent="0.2">
      <c r="A803" s="50" t="s">
        <v>1195</v>
      </c>
      <c r="B803" s="51"/>
      <c r="C803" s="66" t="s">
        <v>1196</v>
      </c>
      <c r="D803" s="53" t="s">
        <v>48</v>
      </c>
      <c r="E803" s="54" t="s">
        <v>1184</v>
      </c>
      <c r="F803" s="67" t="s">
        <v>49</v>
      </c>
      <c r="G803" s="56" t="s">
        <v>36</v>
      </c>
      <c r="H803" s="57" t="s">
        <v>60</v>
      </c>
      <c r="I803" s="53" t="s">
        <v>637</v>
      </c>
      <c r="J803" s="57" t="e">
        <f>ROUND(#REF!*2.4,-1)</f>
        <v>#REF!</v>
      </c>
      <c r="K803" s="58"/>
      <c r="L803" s="114">
        <f>41-6</f>
        <v>35</v>
      </c>
      <c r="M803" s="60"/>
      <c r="N803" s="61"/>
      <c r="O803" s="61"/>
      <c r="P803" s="77"/>
      <c r="Q803" s="77"/>
      <c r="R803" s="77">
        <f>20-2</f>
        <v>18</v>
      </c>
      <c r="S803" s="77">
        <f>21-4</f>
        <v>17</v>
      </c>
      <c r="T803" s="62"/>
      <c r="U803" s="62"/>
      <c r="V803" s="62"/>
      <c r="W803" s="63"/>
      <c r="X803" s="63"/>
      <c r="Z803" s="63"/>
      <c r="AA803" s="113"/>
      <c r="AB803" s="113"/>
      <c r="AC803" s="113"/>
    </row>
    <row r="804" spans="1:29" ht="60" hidden="1" customHeight="1" x14ac:dyDescent="0.2">
      <c r="A804" s="50" t="s">
        <v>1197</v>
      </c>
      <c r="B804" s="51"/>
      <c r="C804" s="66" t="s">
        <v>1198</v>
      </c>
      <c r="D804" s="53" t="s">
        <v>48</v>
      </c>
      <c r="E804" s="54" t="s">
        <v>1184</v>
      </c>
      <c r="F804" s="67" t="s">
        <v>49</v>
      </c>
      <c r="G804" s="56" t="s">
        <v>36</v>
      </c>
      <c r="H804" s="57" t="s">
        <v>60</v>
      </c>
      <c r="I804" s="53" t="s">
        <v>637</v>
      </c>
      <c r="J804" s="57" t="e">
        <f>ROUND(#REF!*2.4,-1)</f>
        <v>#REF!</v>
      </c>
      <c r="K804" s="58"/>
      <c r="L804" s="59">
        <f>1-1</f>
        <v>0</v>
      </c>
      <c r="M804" s="60"/>
      <c r="N804" s="61"/>
      <c r="O804" s="61"/>
      <c r="P804" s="62"/>
      <c r="Q804" s="62"/>
      <c r="R804" s="62"/>
      <c r="S804" s="62">
        <f>1-1</f>
        <v>0</v>
      </c>
      <c r="T804" s="62"/>
      <c r="U804" s="62"/>
      <c r="V804" s="62"/>
      <c r="W804" s="63"/>
      <c r="X804" s="63"/>
      <c r="Z804" s="63"/>
      <c r="AA804" s="113"/>
      <c r="AB804" s="113"/>
      <c r="AC804" s="113"/>
    </row>
    <row r="805" spans="1:29" ht="60" customHeight="1" x14ac:dyDescent="0.2">
      <c r="A805" s="50" t="s">
        <v>1199</v>
      </c>
      <c r="B805" s="51"/>
      <c r="C805" s="66" t="s">
        <v>1200</v>
      </c>
      <c r="D805" s="53" t="s">
        <v>48</v>
      </c>
      <c r="E805" s="54" t="s">
        <v>1184</v>
      </c>
      <c r="F805" s="67" t="s">
        <v>49</v>
      </c>
      <c r="G805" s="56" t="s">
        <v>36</v>
      </c>
      <c r="H805" s="57" t="s">
        <v>123</v>
      </c>
      <c r="I805" s="53" t="s">
        <v>637</v>
      </c>
      <c r="J805" s="57" t="e">
        <f>ROUND(#REF!*2.4,-1)</f>
        <v>#REF!</v>
      </c>
      <c r="K805" s="58"/>
      <c r="L805" s="114">
        <f>1-1+1</f>
        <v>1</v>
      </c>
      <c r="M805" s="60"/>
      <c r="N805" s="61"/>
      <c r="O805" s="61"/>
      <c r="P805" s="77"/>
      <c r="Q805" s="77"/>
      <c r="R805" s="77">
        <f>1-1</f>
        <v>0</v>
      </c>
      <c r="S805" s="77">
        <f>1-1+1</f>
        <v>1</v>
      </c>
      <c r="T805" s="62"/>
      <c r="U805" s="62"/>
      <c r="V805" s="62"/>
      <c r="W805" s="63"/>
      <c r="X805" s="63"/>
      <c r="Z805" s="63"/>
      <c r="AA805" s="113"/>
      <c r="AB805" s="113"/>
      <c r="AC805" s="113"/>
    </row>
    <row r="806" spans="1:29" ht="60" hidden="1" customHeight="1" x14ac:dyDescent="0.2">
      <c r="A806" s="50" t="s">
        <v>1201</v>
      </c>
      <c r="B806" s="51"/>
      <c r="C806" s="66" t="s">
        <v>1202</v>
      </c>
      <c r="D806" s="53" t="s">
        <v>48</v>
      </c>
      <c r="E806" s="54" t="s">
        <v>1184</v>
      </c>
      <c r="F806" s="67" t="s">
        <v>49</v>
      </c>
      <c r="G806" s="56" t="s">
        <v>36</v>
      </c>
      <c r="H806" s="57" t="s">
        <v>37</v>
      </c>
      <c r="I806" s="53" t="s">
        <v>637</v>
      </c>
      <c r="J806" s="57" t="e">
        <f>ROUND(#REF!*2.4,-1)</f>
        <v>#REF!</v>
      </c>
      <c r="K806" s="58"/>
      <c r="L806" s="114">
        <f>1-1</f>
        <v>0</v>
      </c>
      <c r="M806" s="60"/>
      <c r="N806" s="61"/>
      <c r="O806" s="61"/>
      <c r="P806" s="77"/>
      <c r="Q806" s="77"/>
      <c r="R806" s="77">
        <f>1-1</f>
        <v>0</v>
      </c>
      <c r="S806" s="77">
        <f>1-1</f>
        <v>0</v>
      </c>
      <c r="T806" s="62"/>
      <c r="U806" s="62"/>
      <c r="V806" s="62"/>
      <c r="W806" s="63"/>
      <c r="X806" s="63"/>
      <c r="Z806" s="63"/>
      <c r="AA806" s="113"/>
      <c r="AB806" s="113"/>
      <c r="AC806" s="113"/>
    </row>
    <row r="807" spans="1:29" ht="60" hidden="1" customHeight="1" x14ac:dyDescent="0.2">
      <c r="A807" s="50" t="s">
        <v>1203</v>
      </c>
      <c r="B807" s="51"/>
      <c r="C807" s="66" t="s">
        <v>1204</v>
      </c>
      <c r="D807" s="53" t="s">
        <v>48</v>
      </c>
      <c r="E807" s="54" t="s">
        <v>1184</v>
      </c>
      <c r="F807" s="67" t="s">
        <v>49</v>
      </c>
      <c r="G807" s="56" t="s">
        <v>36</v>
      </c>
      <c r="H807" s="57" t="s">
        <v>132</v>
      </c>
      <c r="I807" s="53" t="s">
        <v>637</v>
      </c>
      <c r="J807" s="57" t="e">
        <f>ROUND(#REF!*2.4,-1)</f>
        <v>#REF!</v>
      </c>
      <c r="K807" s="58"/>
      <c r="L807" s="114">
        <f>1-1</f>
        <v>0</v>
      </c>
      <c r="M807" s="60"/>
      <c r="N807" s="61"/>
      <c r="O807" s="61"/>
      <c r="P807" s="77"/>
      <c r="Q807" s="77"/>
      <c r="R807" s="77">
        <f>1-1</f>
        <v>0</v>
      </c>
      <c r="S807" s="77">
        <f>1-1</f>
        <v>0</v>
      </c>
      <c r="T807" s="62"/>
      <c r="U807" s="62"/>
      <c r="V807" s="62"/>
      <c r="W807" s="63"/>
      <c r="X807" s="63"/>
      <c r="Z807" s="63"/>
      <c r="AA807" s="113"/>
      <c r="AB807" s="113"/>
      <c r="AC807" s="113"/>
    </row>
    <row r="808" spans="1:29" ht="60" customHeight="1" x14ac:dyDescent="0.2">
      <c r="A808" s="50" t="s">
        <v>1205</v>
      </c>
      <c r="B808" s="51"/>
      <c r="C808" s="66" t="s">
        <v>1206</v>
      </c>
      <c r="D808" s="53" t="s">
        <v>48</v>
      </c>
      <c r="E808" s="54" t="s">
        <v>1184</v>
      </c>
      <c r="F808" s="67" t="s">
        <v>49</v>
      </c>
      <c r="G808" s="56" t="s">
        <v>36</v>
      </c>
      <c r="H808" s="57" t="s">
        <v>37</v>
      </c>
      <c r="I808" s="53" t="s">
        <v>637</v>
      </c>
      <c r="J808" s="57" t="e">
        <f>ROUND(#REF!*2.4,-1)</f>
        <v>#REF!</v>
      </c>
      <c r="K808" s="58"/>
      <c r="L808" s="114">
        <f>62-7</f>
        <v>55</v>
      </c>
      <c r="M808" s="60"/>
      <c r="N808" s="61"/>
      <c r="O808" s="61"/>
      <c r="P808" s="77"/>
      <c r="Q808" s="77"/>
      <c r="R808" s="77">
        <f>26-1</f>
        <v>25</v>
      </c>
      <c r="S808" s="77">
        <f>37-7</f>
        <v>30</v>
      </c>
      <c r="T808" s="62"/>
      <c r="U808" s="62"/>
      <c r="V808" s="62"/>
      <c r="W808" s="63"/>
      <c r="X808" s="63"/>
      <c r="Z808" s="63"/>
      <c r="AA808" s="113"/>
      <c r="AB808" s="113"/>
      <c r="AC808" s="113"/>
    </row>
    <row r="809" spans="1:29" ht="60" hidden="1" customHeight="1" x14ac:dyDescent="0.2">
      <c r="A809" s="50" t="s">
        <v>1207</v>
      </c>
      <c r="B809" s="51"/>
      <c r="C809" s="66" t="s">
        <v>1208</v>
      </c>
      <c r="D809" s="53" t="s">
        <v>48</v>
      </c>
      <c r="E809" s="54" t="s">
        <v>1184</v>
      </c>
      <c r="F809" s="67" t="s">
        <v>49</v>
      </c>
      <c r="G809" s="56" t="s">
        <v>36</v>
      </c>
      <c r="H809" s="57" t="s">
        <v>344</v>
      </c>
      <c r="I809" s="53" t="s">
        <v>637</v>
      </c>
      <c r="J809" s="57" t="e">
        <f>ROUND(#REF!*2.4,-1)</f>
        <v>#REF!</v>
      </c>
      <c r="K809" s="58"/>
      <c r="L809" s="114">
        <f>1-1</f>
        <v>0</v>
      </c>
      <c r="M809" s="60"/>
      <c r="N809" s="61"/>
      <c r="O809" s="61"/>
      <c r="P809" s="77"/>
      <c r="Q809" s="77"/>
      <c r="R809" s="77">
        <f>1-1</f>
        <v>0</v>
      </c>
      <c r="S809" s="77">
        <f>1-1</f>
        <v>0</v>
      </c>
      <c r="T809" s="62"/>
      <c r="U809" s="62"/>
      <c r="V809" s="62"/>
      <c r="W809" s="63"/>
      <c r="X809" s="63"/>
      <c r="Z809" s="63"/>
      <c r="AA809" s="113"/>
      <c r="AB809" s="113"/>
      <c r="AC809" s="113"/>
    </row>
    <row r="810" spans="1:29" ht="60" customHeight="1" x14ac:dyDescent="0.2">
      <c r="A810" s="50" t="s">
        <v>1209</v>
      </c>
      <c r="B810" s="51"/>
      <c r="C810" s="66" t="s">
        <v>1210</v>
      </c>
      <c r="D810" s="53" t="s">
        <v>48</v>
      </c>
      <c r="E810" s="54" t="s">
        <v>1184</v>
      </c>
      <c r="F810" s="67" t="s">
        <v>49</v>
      </c>
      <c r="G810" s="56" t="s">
        <v>36</v>
      </c>
      <c r="H810" s="57" t="s">
        <v>84</v>
      </c>
      <c r="I810" s="53" t="s">
        <v>637</v>
      </c>
      <c r="J810" s="57" t="e">
        <f>ROUND(#REF!*2.4,-1)</f>
        <v>#REF!</v>
      </c>
      <c r="K810" s="58"/>
      <c r="L810" s="114">
        <f>29-5</f>
        <v>24</v>
      </c>
      <c r="M810" s="60"/>
      <c r="N810" s="61"/>
      <c r="O810" s="61"/>
      <c r="P810" s="77"/>
      <c r="Q810" s="77"/>
      <c r="R810" s="77">
        <f>11-2</f>
        <v>9</v>
      </c>
      <c r="S810" s="77">
        <f>18-3</f>
        <v>15</v>
      </c>
      <c r="T810" s="62"/>
      <c r="U810" s="62"/>
      <c r="V810" s="62"/>
      <c r="W810" s="63"/>
      <c r="X810" s="63"/>
      <c r="Z810" s="63"/>
      <c r="AA810" s="113"/>
      <c r="AB810" s="113"/>
      <c r="AC810" s="113"/>
    </row>
    <row r="811" spans="1:29" ht="60" hidden="1" customHeight="1" x14ac:dyDescent="0.2">
      <c r="A811" s="50" t="s">
        <v>1211</v>
      </c>
      <c r="B811" s="74"/>
      <c r="C811" s="66" t="s">
        <v>1212</v>
      </c>
      <c r="D811" s="57" t="s">
        <v>48</v>
      </c>
      <c r="E811" s="54" t="s">
        <v>1184</v>
      </c>
      <c r="F811" s="67" t="s">
        <v>49</v>
      </c>
      <c r="G811" s="56" t="s">
        <v>36</v>
      </c>
      <c r="H811" s="57" t="s">
        <v>60</v>
      </c>
      <c r="I811" s="53" t="s">
        <v>637</v>
      </c>
      <c r="J811" s="57" t="e">
        <f>ROUND(#REF!*2.4,-1)</f>
        <v>#REF!</v>
      </c>
      <c r="K811" s="58"/>
      <c r="L811" s="59">
        <f>1-1</f>
        <v>0</v>
      </c>
      <c r="M811" s="60"/>
      <c r="N811" s="61"/>
      <c r="O811" s="61"/>
      <c r="P811" s="62"/>
      <c r="Q811" s="62"/>
      <c r="R811" s="62"/>
      <c r="S811" s="62">
        <f>1-1</f>
        <v>0</v>
      </c>
      <c r="T811" s="62"/>
      <c r="U811" s="62"/>
      <c r="V811" s="62"/>
      <c r="W811" s="63"/>
      <c r="X811" s="63"/>
      <c r="Z811" s="63"/>
      <c r="AA811" s="113"/>
      <c r="AB811" s="113"/>
      <c r="AC811" s="113"/>
    </row>
    <row r="812" spans="1:29" ht="63.75" hidden="1" x14ac:dyDescent="0.2">
      <c r="A812" s="50" t="s">
        <v>1213</v>
      </c>
      <c r="B812" s="74"/>
      <c r="C812" s="66" t="s">
        <v>1214</v>
      </c>
      <c r="D812" s="57" t="s">
        <v>48</v>
      </c>
      <c r="E812" s="54" t="s">
        <v>1184</v>
      </c>
      <c r="F812" s="67" t="s">
        <v>49</v>
      </c>
      <c r="G812" s="56" t="s">
        <v>36</v>
      </c>
      <c r="H812" s="57" t="s">
        <v>37</v>
      </c>
      <c r="I812" s="53" t="s">
        <v>637</v>
      </c>
      <c r="J812" s="57" t="e">
        <f>ROUND(#REF!*2.4,-1)</f>
        <v>#REF!</v>
      </c>
      <c r="K812" s="58"/>
      <c r="L812" s="114">
        <v>0</v>
      </c>
      <c r="M812" s="60"/>
      <c r="N812" s="61"/>
      <c r="O812" s="61"/>
      <c r="P812" s="77"/>
      <c r="Q812" s="77"/>
      <c r="R812" s="77"/>
      <c r="S812" s="77"/>
      <c r="T812" s="62"/>
      <c r="U812" s="62"/>
      <c r="V812" s="62"/>
      <c r="W812" s="63"/>
      <c r="X812" s="63"/>
      <c r="Z812" s="63"/>
      <c r="AA812" s="113"/>
      <c r="AB812" s="113"/>
      <c r="AC812" s="113"/>
    </row>
    <row r="813" spans="1:29" ht="60" hidden="1" customHeight="1" x14ac:dyDescent="0.2">
      <c r="A813" s="50" t="s">
        <v>1215</v>
      </c>
      <c r="B813" s="74"/>
      <c r="C813" s="87" t="s">
        <v>1216</v>
      </c>
      <c r="D813" s="57" t="s">
        <v>48</v>
      </c>
      <c r="E813" s="54" t="s">
        <v>1184</v>
      </c>
      <c r="F813" s="67" t="s">
        <v>49</v>
      </c>
      <c r="G813" s="56" t="s">
        <v>36</v>
      </c>
      <c r="H813" s="57" t="s">
        <v>60</v>
      </c>
      <c r="I813" s="53" t="s">
        <v>637</v>
      </c>
      <c r="J813" s="57" t="e">
        <f>ROUND(#REF!*2.4,-1)</f>
        <v>#REF!</v>
      </c>
      <c r="K813" s="58"/>
      <c r="L813" s="114">
        <f>1-1</f>
        <v>0</v>
      </c>
      <c r="M813" s="60"/>
      <c r="N813" s="61"/>
      <c r="O813" s="61"/>
      <c r="P813" s="77"/>
      <c r="Q813" s="77"/>
      <c r="R813" s="77">
        <f>1-1</f>
        <v>0</v>
      </c>
      <c r="S813" s="77">
        <f>1-1</f>
        <v>0</v>
      </c>
      <c r="T813" s="62"/>
      <c r="U813" s="62"/>
      <c r="V813" s="62"/>
      <c r="W813" s="63"/>
      <c r="X813" s="63"/>
      <c r="Z813" s="63"/>
      <c r="AA813" s="113"/>
      <c r="AB813" s="113"/>
      <c r="AC813" s="113"/>
    </row>
    <row r="814" spans="1:29" ht="60" hidden="1" customHeight="1" x14ac:dyDescent="0.2">
      <c r="A814" s="50" t="s">
        <v>1217</v>
      </c>
      <c r="B814" s="74"/>
      <c r="C814" s="87" t="s">
        <v>1218</v>
      </c>
      <c r="D814" s="57" t="s">
        <v>48</v>
      </c>
      <c r="E814" s="54" t="s">
        <v>1184</v>
      </c>
      <c r="F814" s="67" t="s">
        <v>49</v>
      </c>
      <c r="G814" s="56" t="s">
        <v>36</v>
      </c>
      <c r="H814" s="57" t="s">
        <v>37</v>
      </c>
      <c r="I814" s="53" t="s">
        <v>637</v>
      </c>
      <c r="J814" s="57" t="e">
        <f>ROUND(#REF!*2.4,-1)</f>
        <v>#REF!</v>
      </c>
      <c r="K814" s="58"/>
      <c r="L814" s="114">
        <f>1-1</f>
        <v>0</v>
      </c>
      <c r="M814" s="60"/>
      <c r="N814" s="61"/>
      <c r="O814" s="61"/>
      <c r="P814" s="77"/>
      <c r="Q814" s="77"/>
      <c r="R814" s="77">
        <f>1-1</f>
        <v>0</v>
      </c>
      <c r="S814" s="77">
        <f>1-1</f>
        <v>0</v>
      </c>
      <c r="T814" s="62"/>
      <c r="U814" s="62"/>
      <c r="V814" s="62"/>
      <c r="W814" s="63"/>
      <c r="X814" s="63"/>
      <c r="Z814" s="63"/>
      <c r="AA814" s="113"/>
      <c r="AB814" s="113"/>
      <c r="AC814" s="113"/>
    </row>
    <row r="815" spans="1:29" ht="60" hidden="1" customHeight="1" x14ac:dyDescent="0.2">
      <c r="A815" s="50" t="s">
        <v>1219</v>
      </c>
      <c r="B815" s="74"/>
      <c r="C815" s="87" t="s">
        <v>1220</v>
      </c>
      <c r="D815" s="53" t="s">
        <v>58</v>
      </c>
      <c r="E815" s="54" t="s">
        <v>1184</v>
      </c>
      <c r="F815" s="67" t="s">
        <v>1221</v>
      </c>
      <c r="G815" s="56" t="s">
        <v>36</v>
      </c>
      <c r="H815" s="57" t="s">
        <v>340</v>
      </c>
      <c r="I815" s="53" t="s">
        <v>637</v>
      </c>
      <c r="J815" s="57" t="e">
        <f>ROUND(#REF!*2.4,-1)</f>
        <v>#REF!</v>
      </c>
      <c r="K815" s="58"/>
      <c r="L815" s="114">
        <f>1-1</f>
        <v>0</v>
      </c>
      <c r="M815" s="60"/>
      <c r="N815" s="61"/>
      <c r="O815" s="61"/>
      <c r="P815" s="77"/>
      <c r="Q815" s="77">
        <f>1-1</f>
        <v>0</v>
      </c>
      <c r="R815" s="62"/>
      <c r="S815" s="62"/>
      <c r="T815" s="62"/>
      <c r="U815" s="62"/>
      <c r="V815" s="62"/>
      <c r="W815" s="63"/>
      <c r="X815" s="63"/>
      <c r="Z815" s="63"/>
      <c r="AA815" s="113"/>
      <c r="AB815" s="113"/>
      <c r="AC815" s="113"/>
    </row>
    <row r="816" spans="1:29" ht="60" hidden="1" customHeight="1" x14ac:dyDescent="0.2">
      <c r="A816" s="50" t="s">
        <v>1222</v>
      </c>
      <c r="B816" s="74"/>
      <c r="C816" s="87" t="s">
        <v>1177</v>
      </c>
      <c r="D816" s="53" t="s">
        <v>58</v>
      </c>
      <c r="E816" s="54" t="s">
        <v>1184</v>
      </c>
      <c r="F816" s="67" t="s">
        <v>1223</v>
      </c>
      <c r="G816" s="56" t="s">
        <v>36</v>
      </c>
      <c r="H816" s="57" t="s">
        <v>344</v>
      </c>
      <c r="I816" s="53" t="s">
        <v>637</v>
      </c>
      <c r="J816" s="57" t="e">
        <f>ROUND(#REF!*2.4,-1)</f>
        <v>#REF!</v>
      </c>
      <c r="K816" s="58"/>
      <c r="L816" s="114">
        <f>1-1</f>
        <v>0</v>
      </c>
      <c r="M816" s="60"/>
      <c r="N816" s="61"/>
      <c r="O816" s="61"/>
      <c r="P816" s="77"/>
      <c r="Q816" s="77">
        <f>1-1</f>
        <v>0</v>
      </c>
      <c r="R816" s="62"/>
      <c r="S816" s="62"/>
      <c r="T816" s="62"/>
      <c r="U816" s="62"/>
      <c r="V816" s="62"/>
      <c r="W816" s="63"/>
      <c r="X816" s="63"/>
      <c r="Z816" s="63"/>
      <c r="AA816" s="113"/>
      <c r="AB816" s="113"/>
      <c r="AC816" s="113"/>
    </row>
    <row r="817" spans="1:29" ht="60" customHeight="1" x14ac:dyDescent="0.2">
      <c r="A817" s="50" t="s">
        <v>1224</v>
      </c>
      <c r="B817" s="74"/>
      <c r="C817" s="87" t="s">
        <v>1177</v>
      </c>
      <c r="D817" s="53" t="s">
        <v>58</v>
      </c>
      <c r="E817" s="54" t="s">
        <v>1184</v>
      </c>
      <c r="F817" s="67" t="s">
        <v>1223</v>
      </c>
      <c r="G817" s="56" t="s">
        <v>36</v>
      </c>
      <c r="H817" s="57" t="s">
        <v>149</v>
      </c>
      <c r="I817" s="53" t="s">
        <v>637</v>
      </c>
      <c r="J817" s="57" t="e">
        <f>ROUND(#REF!*2.4,-1)</f>
        <v>#REF!</v>
      </c>
      <c r="K817" s="58"/>
      <c r="L817" s="114">
        <f>1-1+1</f>
        <v>1</v>
      </c>
      <c r="M817" s="60"/>
      <c r="N817" s="61"/>
      <c r="O817" s="61"/>
      <c r="P817" s="77"/>
      <c r="Q817" s="77">
        <f>1-1+1</f>
        <v>1</v>
      </c>
      <c r="R817" s="62"/>
      <c r="S817" s="62"/>
      <c r="T817" s="62"/>
      <c r="U817" s="62"/>
      <c r="V817" s="62"/>
      <c r="W817" s="63"/>
      <c r="X817" s="63"/>
      <c r="Z817" s="63"/>
      <c r="AA817" s="113"/>
      <c r="AB817" s="113"/>
      <c r="AC817" s="113"/>
    </row>
    <row r="818" spans="1:29" ht="60" hidden="1" customHeight="1" x14ac:dyDescent="0.2">
      <c r="A818" s="50" t="s">
        <v>1225</v>
      </c>
      <c r="B818" s="74"/>
      <c r="C818" s="66" t="s">
        <v>1226</v>
      </c>
      <c r="D818" s="53" t="s">
        <v>58</v>
      </c>
      <c r="E818" s="54" t="s">
        <v>1184</v>
      </c>
      <c r="F818" s="67" t="s">
        <v>1223</v>
      </c>
      <c r="G818" s="56" t="s">
        <v>36</v>
      </c>
      <c r="H818" s="57" t="s">
        <v>84</v>
      </c>
      <c r="I818" s="53" t="s">
        <v>637</v>
      </c>
      <c r="J818" s="57" t="e">
        <f>ROUND(#REF!*2.4,-1)</f>
        <v>#REF!</v>
      </c>
      <c r="K818" s="58"/>
      <c r="L818" s="88">
        <v>0</v>
      </c>
      <c r="M818" s="60"/>
      <c r="N818" s="61"/>
      <c r="O818" s="61"/>
      <c r="P818" s="62"/>
      <c r="Q818" s="62"/>
      <c r="R818" s="62"/>
      <c r="S818" s="62"/>
      <c r="T818" s="62"/>
      <c r="U818" s="62"/>
      <c r="V818" s="62"/>
      <c r="W818" s="63"/>
      <c r="X818" s="63"/>
      <c r="Z818" s="63"/>
      <c r="AA818" s="113"/>
      <c r="AB818" s="113"/>
      <c r="AC818" s="113"/>
    </row>
    <row r="819" spans="1:29" ht="60" hidden="1" customHeight="1" x14ac:dyDescent="0.2">
      <c r="A819" s="50" t="s">
        <v>1227</v>
      </c>
      <c r="B819" s="51"/>
      <c r="C819" s="66" t="s">
        <v>1228</v>
      </c>
      <c r="D819" s="53" t="s">
        <v>48</v>
      </c>
      <c r="E819" s="54" t="s">
        <v>1184</v>
      </c>
      <c r="F819" s="67" t="s">
        <v>49</v>
      </c>
      <c r="G819" s="56" t="s">
        <v>36</v>
      </c>
      <c r="H819" s="57" t="s">
        <v>84</v>
      </c>
      <c r="I819" s="53" t="s">
        <v>637</v>
      </c>
      <c r="J819" s="57" t="e">
        <f>ROUND(#REF!*2.4,-1)</f>
        <v>#REF!</v>
      </c>
      <c r="K819" s="58"/>
      <c r="L819" s="112">
        <f>1-1</f>
        <v>0</v>
      </c>
      <c r="M819" s="60"/>
      <c r="N819" s="61"/>
      <c r="O819" s="61"/>
      <c r="P819" s="77"/>
      <c r="Q819" s="77"/>
      <c r="R819" s="77">
        <f>1-1</f>
        <v>0</v>
      </c>
      <c r="S819" s="77">
        <f>1-1</f>
        <v>0</v>
      </c>
      <c r="T819" s="62"/>
      <c r="U819" s="62"/>
      <c r="V819" s="62"/>
      <c r="W819" s="63"/>
      <c r="X819" s="63"/>
      <c r="Z819" s="63"/>
      <c r="AA819" s="113"/>
      <c r="AB819" s="113"/>
      <c r="AC819" s="113"/>
    </row>
    <row r="820" spans="1:29" ht="60" hidden="1" customHeight="1" x14ac:dyDescent="0.2">
      <c r="A820" s="50" t="s">
        <v>1229</v>
      </c>
      <c r="B820" s="51"/>
      <c r="C820" s="66" t="s">
        <v>1230</v>
      </c>
      <c r="D820" s="53" t="s">
        <v>48</v>
      </c>
      <c r="E820" s="54" t="s">
        <v>1184</v>
      </c>
      <c r="F820" s="67" t="s">
        <v>49</v>
      </c>
      <c r="G820" s="56" t="s">
        <v>36</v>
      </c>
      <c r="H820" s="57" t="s">
        <v>340</v>
      </c>
      <c r="I820" s="53" t="s">
        <v>637</v>
      </c>
      <c r="J820" s="57" t="e">
        <f>ROUND(#REF!*2.4,-1)</f>
        <v>#REF!</v>
      </c>
      <c r="K820" s="58"/>
      <c r="L820" s="114">
        <f>1-1</f>
        <v>0</v>
      </c>
      <c r="M820" s="60"/>
      <c r="N820" s="61"/>
      <c r="O820" s="61"/>
      <c r="P820" s="77"/>
      <c r="Q820" s="77"/>
      <c r="R820" s="77">
        <f>1-1</f>
        <v>0</v>
      </c>
      <c r="S820" s="77">
        <f>1-1</f>
        <v>0</v>
      </c>
      <c r="T820" s="62"/>
      <c r="U820" s="62"/>
      <c r="V820" s="62"/>
      <c r="W820" s="63"/>
      <c r="X820" s="63"/>
      <c r="Z820" s="63"/>
      <c r="AA820" s="113"/>
      <c r="AB820" s="113"/>
      <c r="AC820" s="113"/>
    </row>
    <row r="821" spans="1:29" ht="60" hidden="1" customHeight="1" x14ac:dyDescent="0.2">
      <c r="A821" s="50" t="s">
        <v>1231</v>
      </c>
      <c r="B821" s="51"/>
      <c r="C821" s="66" t="s">
        <v>1232</v>
      </c>
      <c r="D821" s="53" t="s">
        <v>48</v>
      </c>
      <c r="E821" s="54" t="s">
        <v>1184</v>
      </c>
      <c r="F821" s="67" t="s">
        <v>49</v>
      </c>
      <c r="G821" s="56" t="s">
        <v>36</v>
      </c>
      <c r="H821" s="57" t="s">
        <v>84</v>
      </c>
      <c r="I821" s="53" t="s">
        <v>637</v>
      </c>
      <c r="J821" s="57" t="e">
        <f>ROUND(#REF!*2.4,-1)</f>
        <v>#REF!</v>
      </c>
      <c r="K821" s="58"/>
      <c r="L821" s="114">
        <f>4-4</f>
        <v>0</v>
      </c>
      <c r="M821" s="60"/>
      <c r="N821" s="61"/>
      <c r="O821" s="61"/>
      <c r="P821" s="77"/>
      <c r="Q821" s="77"/>
      <c r="R821" s="77">
        <f>4-4</f>
        <v>0</v>
      </c>
      <c r="S821" s="77">
        <f>1-1</f>
        <v>0</v>
      </c>
      <c r="T821" s="62"/>
      <c r="U821" s="62"/>
      <c r="V821" s="62"/>
      <c r="W821" s="63"/>
      <c r="X821" s="63"/>
      <c r="Z821" s="63"/>
      <c r="AA821" s="113"/>
      <c r="AB821" s="113"/>
      <c r="AC821" s="113"/>
    </row>
    <row r="822" spans="1:29" ht="60" hidden="1" customHeight="1" x14ac:dyDescent="0.2">
      <c r="A822" s="50" t="s">
        <v>1233</v>
      </c>
      <c r="B822" s="51"/>
      <c r="C822" s="66" t="s">
        <v>1232</v>
      </c>
      <c r="D822" s="53" t="s">
        <v>48</v>
      </c>
      <c r="E822" s="54" t="s">
        <v>1184</v>
      </c>
      <c r="F822" s="67" t="s">
        <v>49</v>
      </c>
      <c r="G822" s="56" t="s">
        <v>36</v>
      </c>
      <c r="H822" s="57" t="s">
        <v>60</v>
      </c>
      <c r="I822" s="53" t="s">
        <v>637</v>
      </c>
      <c r="J822" s="57" t="e">
        <f>ROUND(#REF!*2.4,-1)</f>
        <v>#REF!</v>
      </c>
      <c r="K822" s="58"/>
      <c r="L822" s="114">
        <f>2-2</f>
        <v>0</v>
      </c>
      <c r="M822" s="60"/>
      <c r="N822" s="61"/>
      <c r="O822" s="61"/>
      <c r="P822" s="77"/>
      <c r="Q822" s="77"/>
      <c r="R822" s="77">
        <f>2-2</f>
        <v>0</v>
      </c>
      <c r="S822" s="77">
        <f>1-1</f>
        <v>0</v>
      </c>
      <c r="T822" s="62"/>
      <c r="U822" s="62"/>
      <c r="V822" s="62"/>
      <c r="W822" s="63"/>
      <c r="X822" s="63"/>
      <c r="Z822" s="63"/>
      <c r="AA822" s="113"/>
      <c r="AB822" s="113"/>
      <c r="AC822" s="113"/>
    </row>
    <row r="823" spans="1:29" ht="60" hidden="1" customHeight="1" x14ac:dyDescent="0.2">
      <c r="A823" s="50" t="s">
        <v>1234</v>
      </c>
      <c r="B823" s="51"/>
      <c r="C823" s="66" t="s">
        <v>1230</v>
      </c>
      <c r="D823" s="53" t="s">
        <v>58</v>
      </c>
      <c r="E823" s="54" t="s">
        <v>1184</v>
      </c>
      <c r="F823" s="67" t="s">
        <v>59</v>
      </c>
      <c r="G823" s="56" t="s">
        <v>36</v>
      </c>
      <c r="H823" s="57" t="s">
        <v>340</v>
      </c>
      <c r="I823" s="53" t="s">
        <v>637</v>
      </c>
      <c r="J823" s="57" t="e">
        <f>ROUND(#REF!*2.4,-1)</f>
        <v>#REF!</v>
      </c>
      <c r="K823" s="58"/>
      <c r="L823" s="114">
        <f>3-3</f>
        <v>0</v>
      </c>
      <c r="M823" s="60"/>
      <c r="N823" s="61"/>
      <c r="O823" s="61"/>
      <c r="P823" s="77"/>
      <c r="Q823" s="77">
        <f>3-3</f>
        <v>0</v>
      </c>
      <c r="R823" s="77">
        <f>7-7</f>
        <v>0</v>
      </c>
      <c r="S823" s="62"/>
      <c r="T823" s="62"/>
      <c r="U823" s="62"/>
      <c r="V823" s="62"/>
      <c r="W823" s="63"/>
      <c r="X823" s="63"/>
      <c r="Z823" s="63"/>
      <c r="AA823" s="113"/>
      <c r="AB823" s="113"/>
      <c r="AC823" s="113"/>
    </row>
    <row r="824" spans="1:29" ht="60" hidden="1" customHeight="1" x14ac:dyDescent="0.2">
      <c r="A824" s="50" t="s">
        <v>1235</v>
      </c>
      <c r="B824" s="51"/>
      <c r="C824" s="66" t="s">
        <v>1230</v>
      </c>
      <c r="D824" s="53" t="s">
        <v>58</v>
      </c>
      <c r="E824" s="54" t="s">
        <v>1184</v>
      </c>
      <c r="F824" s="67" t="s">
        <v>59</v>
      </c>
      <c r="G824" s="56" t="s">
        <v>36</v>
      </c>
      <c r="H824" s="57" t="s">
        <v>84</v>
      </c>
      <c r="I824" s="53" t="s">
        <v>637</v>
      </c>
      <c r="J824" s="57" t="e">
        <f>ROUND(#REF!*2.4,-1)</f>
        <v>#REF!</v>
      </c>
      <c r="K824" s="58"/>
      <c r="L824" s="88">
        <f>1-1</f>
        <v>0</v>
      </c>
      <c r="M824" s="60"/>
      <c r="N824" s="61"/>
      <c r="O824" s="61"/>
      <c r="P824" s="62"/>
      <c r="Q824" s="62">
        <f>1-1</f>
        <v>0</v>
      </c>
      <c r="R824" s="62">
        <f>1-1</f>
        <v>0</v>
      </c>
      <c r="S824" s="62"/>
      <c r="T824" s="62"/>
      <c r="U824" s="62"/>
      <c r="V824" s="62"/>
      <c r="W824" s="63"/>
      <c r="X824" s="63"/>
      <c r="Z824" s="63"/>
      <c r="AA824" s="113"/>
      <c r="AB824" s="113"/>
      <c r="AC824" s="113"/>
    </row>
    <row r="825" spans="1:29" ht="60" customHeight="1" x14ac:dyDescent="0.2">
      <c r="A825" s="50" t="s">
        <v>1236</v>
      </c>
      <c r="B825" s="74"/>
      <c r="C825" s="87" t="s">
        <v>1237</v>
      </c>
      <c r="D825" s="57" t="s">
        <v>48</v>
      </c>
      <c r="E825" s="54" t="s">
        <v>1184</v>
      </c>
      <c r="F825" s="67" t="s">
        <v>1223</v>
      </c>
      <c r="G825" s="56" t="s">
        <v>36</v>
      </c>
      <c r="H825" s="57" t="s">
        <v>60</v>
      </c>
      <c r="I825" s="53" t="s">
        <v>637</v>
      </c>
      <c r="J825" s="57" t="e">
        <f>ROUND(#REF!*2.4,-1)</f>
        <v>#REF!</v>
      </c>
      <c r="K825" s="58"/>
      <c r="L825" s="114">
        <f>2-1</f>
        <v>1</v>
      </c>
      <c r="M825" s="60"/>
      <c r="N825" s="61"/>
      <c r="O825" s="61"/>
      <c r="P825" s="77"/>
      <c r="Q825" s="77"/>
      <c r="R825" s="77">
        <f>2-1</f>
        <v>1</v>
      </c>
      <c r="S825" s="77">
        <f>1-1</f>
        <v>0</v>
      </c>
      <c r="T825" s="62"/>
      <c r="U825" s="62"/>
      <c r="V825" s="62"/>
      <c r="W825" s="63"/>
      <c r="X825" s="63"/>
      <c r="Z825" s="63"/>
      <c r="AA825" s="113"/>
      <c r="AB825" s="113"/>
      <c r="AC825" s="113"/>
    </row>
    <row r="826" spans="1:29" ht="60" customHeight="1" x14ac:dyDescent="0.2">
      <c r="A826" s="50" t="s">
        <v>1238</v>
      </c>
      <c r="B826" s="74"/>
      <c r="C826" s="87" t="s">
        <v>1239</v>
      </c>
      <c r="D826" s="57" t="s">
        <v>48</v>
      </c>
      <c r="E826" s="54" t="s">
        <v>1184</v>
      </c>
      <c r="F826" s="67" t="s">
        <v>1240</v>
      </c>
      <c r="G826" s="56" t="s">
        <v>36</v>
      </c>
      <c r="H826" s="57" t="s">
        <v>84</v>
      </c>
      <c r="I826" s="53" t="s">
        <v>637</v>
      </c>
      <c r="J826" s="57" t="e">
        <f>ROUND(#REF!*2.4,-1)</f>
        <v>#REF!</v>
      </c>
      <c r="K826" s="58"/>
      <c r="L826" s="112">
        <f>15-3</f>
        <v>12</v>
      </c>
      <c r="M826" s="60"/>
      <c r="N826" s="61"/>
      <c r="O826" s="61"/>
      <c r="P826" s="77"/>
      <c r="Q826" s="77"/>
      <c r="R826" s="77"/>
      <c r="S826" s="77">
        <f>15-3</f>
        <v>12</v>
      </c>
      <c r="T826" s="62"/>
      <c r="U826" s="62"/>
      <c r="V826" s="62"/>
      <c r="W826" s="63"/>
      <c r="X826" s="63"/>
      <c r="Z826" s="63"/>
      <c r="AA826" s="113"/>
      <c r="AB826" s="113"/>
      <c r="AC826" s="113"/>
    </row>
    <row r="827" spans="1:29" ht="60" customHeight="1" x14ac:dyDescent="0.2">
      <c r="A827" s="50" t="s">
        <v>1241</v>
      </c>
      <c r="B827" s="74"/>
      <c r="C827" s="87" t="s">
        <v>1239</v>
      </c>
      <c r="D827" s="57" t="s">
        <v>48</v>
      </c>
      <c r="E827" s="54" t="s">
        <v>1184</v>
      </c>
      <c r="F827" s="67" t="s">
        <v>1240</v>
      </c>
      <c r="G827" s="56" t="s">
        <v>36</v>
      </c>
      <c r="H827" s="57" t="s">
        <v>151</v>
      </c>
      <c r="I827" s="53" t="s">
        <v>637</v>
      </c>
      <c r="J827" s="57" t="e">
        <f>ROUND(#REF!*2.4,-1)</f>
        <v>#REF!</v>
      </c>
      <c r="K827" s="58"/>
      <c r="L827" s="114">
        <f>12-3</f>
        <v>9</v>
      </c>
      <c r="M827" s="60"/>
      <c r="N827" s="61"/>
      <c r="O827" s="61"/>
      <c r="P827" s="77"/>
      <c r="Q827" s="77"/>
      <c r="R827" s="77">
        <f>12-3</f>
        <v>9</v>
      </c>
      <c r="S827" s="77"/>
      <c r="T827" s="62"/>
      <c r="U827" s="62"/>
      <c r="V827" s="62"/>
      <c r="W827" s="63"/>
      <c r="X827" s="63"/>
      <c r="Z827" s="63"/>
      <c r="AA827" s="113"/>
      <c r="AB827" s="113"/>
      <c r="AC827" s="113"/>
    </row>
    <row r="828" spans="1:29" ht="60" customHeight="1" x14ac:dyDescent="0.2">
      <c r="A828" s="50" t="s">
        <v>1242</v>
      </c>
      <c r="B828" s="74"/>
      <c r="C828" s="87" t="s">
        <v>1243</v>
      </c>
      <c r="D828" s="57" t="s">
        <v>48</v>
      </c>
      <c r="E828" s="54" t="s">
        <v>1184</v>
      </c>
      <c r="F828" s="67" t="s">
        <v>1240</v>
      </c>
      <c r="G828" s="56" t="s">
        <v>36</v>
      </c>
      <c r="H828" s="57" t="s">
        <v>340</v>
      </c>
      <c r="I828" s="53" t="s">
        <v>637</v>
      </c>
      <c r="J828" s="57" t="e">
        <f>ROUND(#REF!*2.4,-1)</f>
        <v>#REF!</v>
      </c>
      <c r="K828" s="58"/>
      <c r="L828" s="114">
        <f>29-1</f>
        <v>28</v>
      </c>
      <c r="M828" s="60"/>
      <c r="N828" s="61"/>
      <c r="O828" s="61"/>
      <c r="P828" s="77"/>
      <c r="Q828" s="77"/>
      <c r="R828" s="77">
        <f>29-1</f>
        <v>28</v>
      </c>
      <c r="S828" s="77"/>
      <c r="T828" s="62"/>
      <c r="U828" s="62"/>
      <c r="V828" s="62"/>
      <c r="W828" s="63"/>
      <c r="X828" s="63"/>
      <c r="Z828" s="63"/>
      <c r="AA828" s="113"/>
      <c r="AB828" s="113"/>
      <c r="AC828" s="113"/>
    </row>
    <row r="829" spans="1:29" ht="60" customHeight="1" x14ac:dyDescent="0.2">
      <c r="A829" s="50" t="s">
        <v>1244</v>
      </c>
      <c r="B829" s="74"/>
      <c r="C829" s="87" t="s">
        <v>1243</v>
      </c>
      <c r="D829" s="57" t="s">
        <v>48</v>
      </c>
      <c r="E829" s="54" t="s">
        <v>1184</v>
      </c>
      <c r="F829" s="67" t="s">
        <v>1240</v>
      </c>
      <c r="G829" s="56" t="s">
        <v>36</v>
      </c>
      <c r="H829" s="57" t="s">
        <v>84</v>
      </c>
      <c r="I829" s="53" t="s">
        <v>637</v>
      </c>
      <c r="J829" s="57" t="e">
        <f>ROUND(#REF!*2.4,-1)</f>
        <v>#REF!</v>
      </c>
      <c r="K829" s="58"/>
      <c r="L829" s="114">
        <f>24-1</f>
        <v>23</v>
      </c>
      <c r="M829" s="60"/>
      <c r="N829" s="61"/>
      <c r="O829" s="61"/>
      <c r="P829" s="77"/>
      <c r="Q829" s="77"/>
      <c r="R829" s="77"/>
      <c r="S829" s="77">
        <f>24-1</f>
        <v>23</v>
      </c>
      <c r="T829" s="77"/>
      <c r="U829" s="62"/>
      <c r="V829" s="62"/>
      <c r="W829" s="63"/>
      <c r="X829" s="63"/>
      <c r="Z829" s="63"/>
      <c r="AA829" s="113"/>
      <c r="AB829" s="113"/>
      <c r="AC829" s="113"/>
    </row>
    <row r="830" spans="1:29" ht="60" hidden="1" customHeight="1" x14ac:dyDescent="0.2">
      <c r="A830" s="50" t="s">
        <v>1245</v>
      </c>
      <c r="B830" s="74"/>
      <c r="C830" s="66" t="s">
        <v>1246</v>
      </c>
      <c r="D830" s="53" t="s">
        <v>58</v>
      </c>
      <c r="E830" s="54" t="s">
        <v>1184</v>
      </c>
      <c r="F830" s="67" t="s">
        <v>1223</v>
      </c>
      <c r="G830" s="56" t="s">
        <v>36</v>
      </c>
      <c r="H830" s="57" t="s">
        <v>344</v>
      </c>
      <c r="I830" s="53" t="s">
        <v>637</v>
      </c>
      <c r="J830" s="57" t="e">
        <f>ROUND(#REF!*2.4,-1)</f>
        <v>#REF!</v>
      </c>
      <c r="K830" s="58"/>
      <c r="L830" s="114">
        <f>1-1</f>
        <v>0</v>
      </c>
      <c r="M830" s="60"/>
      <c r="N830" s="61"/>
      <c r="O830" s="61"/>
      <c r="P830" s="77"/>
      <c r="Q830" s="77">
        <f>1-1</f>
        <v>0</v>
      </c>
      <c r="R830" s="77"/>
      <c r="S830" s="77"/>
      <c r="T830" s="77"/>
      <c r="U830" s="62"/>
      <c r="V830" s="62"/>
      <c r="W830" s="63"/>
      <c r="X830" s="63"/>
      <c r="Z830" s="63"/>
      <c r="AA830" s="113"/>
      <c r="AB830" s="113"/>
      <c r="AC830" s="113"/>
    </row>
    <row r="831" spans="1:29" ht="60" customHeight="1" x14ac:dyDescent="0.2">
      <c r="A831" s="50" t="s">
        <v>1247</v>
      </c>
      <c r="B831" s="74"/>
      <c r="C831" s="87" t="s">
        <v>1248</v>
      </c>
      <c r="D831" s="53" t="s">
        <v>58</v>
      </c>
      <c r="E831" s="54" t="s">
        <v>1184</v>
      </c>
      <c r="F831" s="67" t="s">
        <v>1223</v>
      </c>
      <c r="G831" s="56" t="s">
        <v>36</v>
      </c>
      <c r="H831" s="57" t="s">
        <v>340</v>
      </c>
      <c r="I831" s="53" t="s">
        <v>637</v>
      </c>
      <c r="J831" s="57" t="e">
        <f>ROUND(#REF!*2.4,-1)</f>
        <v>#REF!</v>
      </c>
      <c r="K831" s="58"/>
      <c r="L831" s="114">
        <f>11-2</f>
        <v>9</v>
      </c>
      <c r="M831" s="60"/>
      <c r="N831" s="61"/>
      <c r="O831" s="61"/>
      <c r="P831" s="77"/>
      <c r="Q831" s="77">
        <f>11-2</f>
        <v>9</v>
      </c>
      <c r="R831" s="77"/>
      <c r="S831" s="77"/>
      <c r="T831" s="77"/>
      <c r="U831" s="62"/>
      <c r="V831" s="62"/>
      <c r="W831" s="63"/>
      <c r="X831" s="63"/>
      <c r="Z831" s="63"/>
      <c r="AA831" s="113"/>
      <c r="AB831" s="113"/>
      <c r="AC831" s="113"/>
    </row>
    <row r="832" spans="1:29" ht="60" customHeight="1" x14ac:dyDescent="0.2">
      <c r="A832" s="50" t="s">
        <v>1249</v>
      </c>
      <c r="B832" s="74"/>
      <c r="C832" s="87" t="s">
        <v>1248</v>
      </c>
      <c r="D832" s="53" t="s">
        <v>58</v>
      </c>
      <c r="E832" s="54" t="s">
        <v>1184</v>
      </c>
      <c r="F832" s="67" t="s">
        <v>1223</v>
      </c>
      <c r="G832" s="56" t="s">
        <v>36</v>
      </c>
      <c r="H832" s="57" t="s">
        <v>344</v>
      </c>
      <c r="I832" s="53" t="s">
        <v>637</v>
      </c>
      <c r="J832" s="57" t="e">
        <f>ROUND(#REF!*2.4,-1)</f>
        <v>#REF!</v>
      </c>
      <c r="K832" s="58"/>
      <c r="L832" s="112">
        <f>17-1</f>
        <v>16</v>
      </c>
      <c r="M832" s="60"/>
      <c r="N832" s="61"/>
      <c r="O832" s="61"/>
      <c r="P832" s="77"/>
      <c r="Q832" s="77">
        <f>17-1</f>
        <v>16</v>
      </c>
      <c r="R832" s="77"/>
      <c r="S832" s="77"/>
      <c r="T832" s="77"/>
      <c r="U832" s="62"/>
      <c r="V832" s="62"/>
      <c r="W832" s="63"/>
      <c r="X832" s="63"/>
      <c r="Z832" s="63"/>
      <c r="AA832" s="113"/>
      <c r="AB832" s="113"/>
      <c r="AC832" s="113"/>
    </row>
    <row r="833" spans="1:29" ht="60" hidden="1" customHeight="1" x14ac:dyDescent="0.2">
      <c r="A833" s="50" t="s">
        <v>1250</v>
      </c>
      <c r="B833" s="74"/>
      <c r="C833" s="66" t="s">
        <v>1251</v>
      </c>
      <c r="D833" s="53" t="s">
        <v>58</v>
      </c>
      <c r="E833" s="54" t="s">
        <v>1184</v>
      </c>
      <c r="F833" s="67" t="s">
        <v>1223</v>
      </c>
      <c r="G833" s="56" t="s">
        <v>36</v>
      </c>
      <c r="H833" s="57" t="s">
        <v>442</v>
      </c>
      <c r="I833" s="53" t="s">
        <v>637</v>
      </c>
      <c r="J833" s="57" t="e">
        <f>ROUND(#REF!*2.4,-1)</f>
        <v>#REF!</v>
      </c>
      <c r="K833" s="58"/>
      <c r="L833" s="114">
        <f>1-1</f>
        <v>0</v>
      </c>
      <c r="M833" s="60"/>
      <c r="N833" s="61"/>
      <c r="O833" s="61"/>
      <c r="P833" s="77"/>
      <c r="Q833" s="77">
        <f>1-1</f>
        <v>0</v>
      </c>
      <c r="R833" s="77"/>
      <c r="S833" s="77"/>
      <c r="T833" s="77"/>
      <c r="U833" s="62"/>
      <c r="V833" s="62"/>
      <c r="W833" s="63"/>
      <c r="X833" s="63"/>
      <c r="Z833" s="63"/>
      <c r="AA833" s="113"/>
      <c r="AB833" s="113"/>
      <c r="AC833" s="113"/>
    </row>
    <row r="834" spans="1:29" ht="60" customHeight="1" x14ac:dyDescent="0.2">
      <c r="A834" s="50" t="s">
        <v>1252</v>
      </c>
      <c r="B834" s="74"/>
      <c r="C834" s="87" t="s">
        <v>1251</v>
      </c>
      <c r="D834" s="53" t="s">
        <v>58</v>
      </c>
      <c r="E834" s="54" t="s">
        <v>1184</v>
      </c>
      <c r="F834" s="67" t="s">
        <v>1223</v>
      </c>
      <c r="G834" s="56" t="s">
        <v>36</v>
      </c>
      <c r="H834" s="57" t="s">
        <v>661</v>
      </c>
      <c r="I834" s="53" t="s">
        <v>637</v>
      </c>
      <c r="J834" s="57" t="e">
        <f>ROUND(#REF!*2.4,-1)</f>
        <v>#REF!</v>
      </c>
      <c r="K834" s="58"/>
      <c r="L834" s="114">
        <f>3-3+2</f>
        <v>2</v>
      </c>
      <c r="M834" s="60"/>
      <c r="N834" s="61"/>
      <c r="O834" s="61"/>
      <c r="P834" s="77"/>
      <c r="Q834" s="77">
        <f>3-3+2</f>
        <v>2</v>
      </c>
      <c r="R834" s="77"/>
      <c r="S834" s="77"/>
      <c r="T834" s="77"/>
      <c r="U834" s="62"/>
      <c r="V834" s="62"/>
      <c r="W834" s="63"/>
      <c r="X834" s="63"/>
      <c r="Z834" s="63"/>
      <c r="AA834" s="113"/>
      <c r="AB834" s="113"/>
      <c r="AC834" s="113"/>
    </row>
    <row r="835" spans="1:29" ht="60" hidden="1" customHeight="1" x14ac:dyDescent="0.2">
      <c r="A835" s="50" t="s">
        <v>1253</v>
      </c>
      <c r="B835" s="74"/>
      <c r="C835" s="87" t="s">
        <v>1248</v>
      </c>
      <c r="D835" s="53" t="s">
        <v>58</v>
      </c>
      <c r="E835" s="54" t="s">
        <v>1184</v>
      </c>
      <c r="F835" s="67" t="s">
        <v>1223</v>
      </c>
      <c r="G835" s="56" t="s">
        <v>36</v>
      </c>
      <c r="H835" s="57" t="s">
        <v>375</v>
      </c>
      <c r="I835" s="53" t="s">
        <v>637</v>
      </c>
      <c r="J835" s="57" t="e">
        <f>ROUND(#REF!*2.4,-1)</f>
        <v>#REF!</v>
      </c>
      <c r="K835" s="58"/>
      <c r="L835" s="114">
        <f>1-1</f>
        <v>0</v>
      </c>
      <c r="M835" s="60"/>
      <c r="N835" s="61"/>
      <c r="O835" s="61"/>
      <c r="P835" s="77"/>
      <c r="Q835" s="77">
        <f>1-1</f>
        <v>0</v>
      </c>
      <c r="R835" s="77"/>
      <c r="S835" s="77"/>
      <c r="T835" s="77"/>
      <c r="U835" s="62"/>
      <c r="V835" s="62"/>
      <c r="W835" s="63"/>
      <c r="X835" s="63"/>
      <c r="Z835" s="63"/>
      <c r="AA835" s="113"/>
      <c r="AB835" s="113"/>
      <c r="AC835" s="113"/>
    </row>
    <row r="836" spans="1:29" ht="60" customHeight="1" x14ac:dyDescent="0.2">
      <c r="A836" s="50" t="s">
        <v>1254</v>
      </c>
      <c r="B836" s="74"/>
      <c r="C836" s="87" t="s">
        <v>1255</v>
      </c>
      <c r="D836" s="53" t="s">
        <v>58</v>
      </c>
      <c r="E836" s="54" t="s">
        <v>1184</v>
      </c>
      <c r="F836" s="67" t="s">
        <v>1223</v>
      </c>
      <c r="G836" s="56" t="s">
        <v>36</v>
      </c>
      <c r="H836" s="57" t="s">
        <v>661</v>
      </c>
      <c r="I836" s="53" t="s">
        <v>637</v>
      </c>
      <c r="J836" s="57" t="e">
        <f>ROUND(#REF!*2.4,-1)</f>
        <v>#REF!</v>
      </c>
      <c r="K836" s="58"/>
      <c r="L836" s="114">
        <f>2-1</f>
        <v>1</v>
      </c>
      <c r="M836" s="60"/>
      <c r="N836" s="61"/>
      <c r="O836" s="61"/>
      <c r="P836" s="77"/>
      <c r="Q836" s="77">
        <f>2-1</f>
        <v>1</v>
      </c>
      <c r="R836" s="77"/>
      <c r="S836" s="77"/>
      <c r="T836" s="77"/>
      <c r="U836" s="62"/>
      <c r="V836" s="62"/>
      <c r="W836" s="63"/>
      <c r="X836" s="63"/>
      <c r="Z836" s="63"/>
      <c r="AA836" s="113"/>
      <c r="AB836" s="113"/>
      <c r="AC836" s="113"/>
    </row>
    <row r="837" spans="1:29" ht="60" hidden="1" customHeight="1" x14ac:dyDescent="0.2">
      <c r="A837" s="50" t="s">
        <v>1256</v>
      </c>
      <c r="B837" s="74"/>
      <c r="C837" s="87" t="s">
        <v>1255</v>
      </c>
      <c r="D837" s="53" t="s">
        <v>58</v>
      </c>
      <c r="E837" s="54" t="s">
        <v>1184</v>
      </c>
      <c r="F837" s="67" t="s">
        <v>1223</v>
      </c>
      <c r="G837" s="56" t="s">
        <v>36</v>
      </c>
      <c r="H837" s="57" t="s">
        <v>344</v>
      </c>
      <c r="I837" s="53" t="s">
        <v>637</v>
      </c>
      <c r="J837" s="57" t="e">
        <f>ROUND(#REF!*2.4,-1)</f>
        <v>#REF!</v>
      </c>
      <c r="K837" s="58"/>
      <c r="L837" s="114">
        <f>1-1</f>
        <v>0</v>
      </c>
      <c r="M837" s="60"/>
      <c r="N837" s="61"/>
      <c r="O837" s="61"/>
      <c r="P837" s="77"/>
      <c r="Q837" s="77">
        <f>1-1</f>
        <v>0</v>
      </c>
      <c r="R837" s="77"/>
      <c r="S837" s="77"/>
      <c r="T837" s="77"/>
      <c r="U837" s="62"/>
      <c r="V837" s="62"/>
      <c r="W837" s="63"/>
      <c r="X837" s="63"/>
      <c r="Z837" s="63"/>
      <c r="AA837" s="113"/>
      <c r="AB837" s="113"/>
      <c r="AC837" s="113"/>
    </row>
    <row r="838" spans="1:29" ht="60" hidden="1" customHeight="1" x14ac:dyDescent="0.2">
      <c r="A838" s="50" t="s">
        <v>1257</v>
      </c>
      <c r="B838" s="74"/>
      <c r="C838" s="87" t="s">
        <v>1258</v>
      </c>
      <c r="D838" s="57" t="s">
        <v>48</v>
      </c>
      <c r="E838" s="54" t="s">
        <v>1184</v>
      </c>
      <c r="F838" s="67" t="s">
        <v>49</v>
      </c>
      <c r="G838" s="56" t="s">
        <v>36</v>
      </c>
      <c r="H838" s="57" t="s">
        <v>60</v>
      </c>
      <c r="I838" s="53" t="s">
        <v>637</v>
      </c>
      <c r="J838" s="57" t="e">
        <f>ROUND(#REF!*2.4,-1)</f>
        <v>#REF!</v>
      </c>
      <c r="K838" s="58"/>
      <c r="L838" s="114">
        <f>1-1</f>
        <v>0</v>
      </c>
      <c r="M838" s="60"/>
      <c r="N838" s="61"/>
      <c r="O838" s="61"/>
      <c r="P838" s="77"/>
      <c r="Q838" s="77">
        <f>1-1</f>
        <v>0</v>
      </c>
      <c r="R838" s="77">
        <f>1-1</f>
        <v>0</v>
      </c>
      <c r="S838" s="77">
        <f>1-1+1-1</f>
        <v>0</v>
      </c>
      <c r="T838" s="77"/>
      <c r="U838" s="62"/>
      <c r="V838" s="62"/>
      <c r="W838" s="63"/>
      <c r="X838" s="63"/>
      <c r="Z838" s="63"/>
      <c r="AA838" s="113"/>
      <c r="AB838" s="113"/>
      <c r="AC838" s="113"/>
    </row>
    <row r="839" spans="1:29" ht="60" customHeight="1" x14ac:dyDescent="0.2">
      <c r="A839" s="50" t="s">
        <v>1259</v>
      </c>
      <c r="B839" s="74"/>
      <c r="C839" s="87" t="s">
        <v>1260</v>
      </c>
      <c r="D839" s="57" t="s">
        <v>48</v>
      </c>
      <c r="E839" s="54" t="s">
        <v>1184</v>
      </c>
      <c r="F839" s="67" t="s">
        <v>49</v>
      </c>
      <c r="G839" s="56" t="s">
        <v>36</v>
      </c>
      <c r="H839" s="57" t="s">
        <v>60</v>
      </c>
      <c r="I839" s="53" t="s">
        <v>637</v>
      </c>
      <c r="J839" s="57" t="e">
        <f>ROUND(#REF!*2.4,-1)</f>
        <v>#REF!</v>
      </c>
      <c r="K839" s="58"/>
      <c r="L839" s="114">
        <f>15-9</f>
        <v>6</v>
      </c>
      <c r="M839" s="60"/>
      <c r="N839" s="61"/>
      <c r="O839" s="61"/>
      <c r="P839" s="77"/>
      <c r="Q839" s="77"/>
      <c r="R839" s="77">
        <f>4-2</f>
        <v>2</v>
      </c>
      <c r="S839" s="77">
        <f>11-7</f>
        <v>4</v>
      </c>
      <c r="T839" s="77"/>
      <c r="U839" s="62"/>
      <c r="V839" s="62"/>
      <c r="W839" s="63"/>
      <c r="X839" s="63"/>
      <c r="Z839" s="63"/>
      <c r="AA839" s="113"/>
      <c r="AB839" s="113"/>
      <c r="AC839" s="113"/>
    </row>
    <row r="840" spans="1:29" ht="60" hidden="1" customHeight="1" x14ac:dyDescent="0.2">
      <c r="A840" s="50" t="s">
        <v>1261</v>
      </c>
      <c r="B840" s="74"/>
      <c r="C840" s="66" t="s">
        <v>1262</v>
      </c>
      <c r="D840" s="57" t="s">
        <v>48</v>
      </c>
      <c r="E840" s="54" t="s">
        <v>1184</v>
      </c>
      <c r="F840" s="67" t="s">
        <v>49</v>
      </c>
      <c r="G840" s="56" t="s">
        <v>36</v>
      </c>
      <c r="H840" s="57" t="s">
        <v>60</v>
      </c>
      <c r="I840" s="53" t="s">
        <v>637</v>
      </c>
      <c r="J840" s="57" t="e">
        <f>ROUND(#REF!*2.4,-1)</f>
        <v>#REF!</v>
      </c>
      <c r="K840" s="58"/>
      <c r="L840" s="114">
        <f>2-2</f>
        <v>0</v>
      </c>
      <c r="M840" s="60"/>
      <c r="N840" s="61"/>
      <c r="O840" s="61"/>
      <c r="P840" s="77"/>
      <c r="Q840" s="77"/>
      <c r="R840" s="77"/>
      <c r="S840" s="77">
        <f>2-2</f>
        <v>0</v>
      </c>
      <c r="T840" s="77"/>
      <c r="U840" s="62"/>
      <c r="V840" s="62"/>
      <c r="W840" s="63"/>
      <c r="X840" s="63"/>
      <c r="Z840" s="63"/>
      <c r="AA840" s="113"/>
      <c r="AB840" s="113"/>
      <c r="AC840" s="113"/>
    </row>
    <row r="841" spans="1:29" ht="60" customHeight="1" x14ac:dyDescent="0.2">
      <c r="A841" s="50" t="s">
        <v>1263</v>
      </c>
      <c r="B841" s="74"/>
      <c r="C841" s="87" t="s">
        <v>1264</v>
      </c>
      <c r="D841" s="57" t="s">
        <v>48</v>
      </c>
      <c r="E841" s="54" t="s">
        <v>1184</v>
      </c>
      <c r="F841" s="67" t="s">
        <v>49</v>
      </c>
      <c r="G841" s="56" t="s">
        <v>36</v>
      </c>
      <c r="H841" s="57" t="s">
        <v>60</v>
      </c>
      <c r="I841" s="53" t="s">
        <v>637</v>
      </c>
      <c r="J841" s="57" t="e">
        <f>ROUND(#REF!*2.4,-1)</f>
        <v>#REF!</v>
      </c>
      <c r="K841" s="58"/>
      <c r="L841" s="88">
        <f>1-1+1</f>
        <v>1</v>
      </c>
      <c r="M841" s="60"/>
      <c r="N841" s="61"/>
      <c r="O841" s="61"/>
      <c r="P841" s="62"/>
      <c r="Q841" s="62"/>
      <c r="R841" s="62"/>
      <c r="S841" s="62">
        <f>1-1+1</f>
        <v>1</v>
      </c>
      <c r="T841" s="62"/>
      <c r="U841" s="62"/>
      <c r="V841" s="62"/>
      <c r="W841" s="63"/>
      <c r="X841" s="63"/>
      <c r="Z841" s="63"/>
      <c r="AA841" s="113"/>
      <c r="AB841" s="113"/>
      <c r="AC841" s="113"/>
    </row>
    <row r="842" spans="1:29" ht="60" hidden="1" customHeight="1" x14ac:dyDescent="0.2">
      <c r="A842" s="50" t="s">
        <v>1265</v>
      </c>
      <c r="B842" s="74"/>
      <c r="C842" s="66" t="s">
        <v>451</v>
      </c>
      <c r="D842" s="53" t="s">
        <v>1266</v>
      </c>
      <c r="E842" s="54" t="s">
        <v>34</v>
      </c>
      <c r="F842" s="55" t="s">
        <v>1267</v>
      </c>
      <c r="G842" s="67" t="s">
        <v>1268</v>
      </c>
      <c r="H842" s="57" t="s">
        <v>60</v>
      </c>
      <c r="I842" s="53" t="s">
        <v>637</v>
      </c>
      <c r="J842" s="57" t="e">
        <f>ROUND(#REF!*2.4,-1)</f>
        <v>#REF!</v>
      </c>
      <c r="K842" s="58"/>
      <c r="L842" s="88">
        <v>0</v>
      </c>
      <c r="M842" s="60"/>
      <c r="N842" s="61"/>
      <c r="O842" s="61"/>
      <c r="P842" s="62"/>
      <c r="Q842" s="62"/>
      <c r="R842" s="62"/>
      <c r="S842" s="62"/>
      <c r="T842" s="62"/>
      <c r="U842" s="62"/>
      <c r="V842" s="62"/>
      <c r="W842" s="63"/>
      <c r="X842" s="63"/>
      <c r="Z842" s="63"/>
      <c r="AA842" s="113"/>
      <c r="AB842" s="113"/>
      <c r="AC842" s="113"/>
    </row>
    <row r="843" spans="1:29" ht="60" hidden="1" customHeight="1" x14ac:dyDescent="0.2">
      <c r="A843" s="50" t="s">
        <v>1269</v>
      </c>
      <c r="B843" s="74"/>
      <c r="C843" s="66" t="s">
        <v>1270</v>
      </c>
      <c r="D843" s="53" t="s">
        <v>1266</v>
      </c>
      <c r="E843" s="54" t="s">
        <v>34</v>
      </c>
      <c r="F843" s="55" t="s">
        <v>1267</v>
      </c>
      <c r="G843" s="56" t="s">
        <v>36</v>
      </c>
      <c r="H843" s="57" t="s">
        <v>442</v>
      </c>
      <c r="I843" s="53" t="s">
        <v>637</v>
      </c>
      <c r="J843" s="57">
        <v>860</v>
      </c>
      <c r="K843" s="58"/>
      <c r="L843" s="88">
        <f>2-2</f>
        <v>0</v>
      </c>
      <c r="M843" s="60">
        <f>2-2</f>
        <v>0</v>
      </c>
      <c r="N843" s="61"/>
      <c r="O843" s="61"/>
      <c r="P843" s="62"/>
      <c r="Q843" s="62"/>
      <c r="R843" s="62"/>
      <c r="S843" s="62"/>
      <c r="T843" s="62"/>
      <c r="U843" s="62"/>
      <c r="V843" s="62"/>
      <c r="W843" s="63"/>
      <c r="X843" s="63"/>
      <c r="Z843" s="63"/>
      <c r="AA843" s="113"/>
      <c r="AB843" s="113"/>
      <c r="AC843" s="113"/>
    </row>
    <row r="844" spans="1:29" ht="60" customHeight="1" x14ac:dyDescent="0.2">
      <c r="A844" s="50" t="s">
        <v>1271</v>
      </c>
      <c r="B844" s="74"/>
      <c r="C844" s="115" t="s">
        <v>1272</v>
      </c>
      <c r="D844" s="53" t="s">
        <v>1266</v>
      </c>
      <c r="E844" s="54" t="s">
        <v>34</v>
      </c>
      <c r="F844" s="55" t="s">
        <v>1267</v>
      </c>
      <c r="G844" s="56" t="s">
        <v>36</v>
      </c>
      <c r="H844" s="57" t="s">
        <v>442</v>
      </c>
      <c r="I844" s="53" t="s">
        <v>637</v>
      </c>
      <c r="J844" s="57">
        <v>860</v>
      </c>
      <c r="K844" s="58"/>
      <c r="L844" s="88">
        <f>3-1</f>
        <v>2</v>
      </c>
      <c r="M844" s="60">
        <f>3-1</f>
        <v>2</v>
      </c>
      <c r="N844" s="61"/>
      <c r="O844" s="61"/>
      <c r="P844" s="62"/>
      <c r="Q844" s="62"/>
      <c r="R844" s="62"/>
      <c r="S844" s="62"/>
      <c r="T844" s="62"/>
      <c r="U844" s="62"/>
      <c r="V844" s="62"/>
      <c r="W844" s="63"/>
      <c r="X844" s="63"/>
      <c r="Z844" s="63"/>
      <c r="AA844" s="113"/>
      <c r="AB844" s="113"/>
      <c r="AC844" s="113"/>
    </row>
    <row r="845" spans="1:29" ht="60" hidden="1" customHeight="1" x14ac:dyDescent="0.2">
      <c r="A845" s="50" t="s">
        <v>1273</v>
      </c>
      <c r="B845" s="74"/>
      <c r="C845" s="66" t="s">
        <v>1274</v>
      </c>
      <c r="D845" s="53" t="s">
        <v>48</v>
      </c>
      <c r="E845" s="54" t="s">
        <v>1275</v>
      </c>
      <c r="F845" s="67" t="s">
        <v>49</v>
      </c>
      <c r="G845" s="56" t="s">
        <v>36</v>
      </c>
      <c r="H845" s="57" t="s">
        <v>37</v>
      </c>
      <c r="I845" s="53" t="s">
        <v>637</v>
      </c>
      <c r="J845" s="57">
        <v>2160</v>
      </c>
      <c r="K845" s="58"/>
      <c r="L845" s="112">
        <f>1-1</f>
        <v>0</v>
      </c>
      <c r="M845" s="60"/>
      <c r="N845" s="61"/>
      <c r="O845" s="61"/>
      <c r="P845" s="77"/>
      <c r="Q845" s="77"/>
      <c r="R845" s="77"/>
      <c r="S845" s="77"/>
      <c r="T845" s="77">
        <f>1-1</f>
        <v>0</v>
      </c>
      <c r="U845" s="77"/>
      <c r="V845" s="62"/>
      <c r="W845" s="63"/>
      <c r="X845" s="63"/>
      <c r="Z845" s="63"/>
      <c r="AA845" s="113"/>
      <c r="AB845" s="113"/>
      <c r="AC845" s="113"/>
    </row>
    <row r="846" spans="1:29" ht="60" hidden="1" customHeight="1" x14ac:dyDescent="0.2">
      <c r="A846" s="50" t="s">
        <v>1276</v>
      </c>
      <c r="B846" s="74"/>
      <c r="C846" s="66" t="s">
        <v>1277</v>
      </c>
      <c r="D846" s="53" t="s">
        <v>48</v>
      </c>
      <c r="E846" s="54" t="s">
        <v>1275</v>
      </c>
      <c r="F846" s="67" t="s">
        <v>49</v>
      </c>
      <c r="G846" s="56" t="s">
        <v>36</v>
      </c>
      <c r="H846" s="57" t="s">
        <v>37</v>
      </c>
      <c r="I846" s="53" t="s">
        <v>637</v>
      </c>
      <c r="J846" s="57">
        <v>2160</v>
      </c>
      <c r="K846" s="58"/>
      <c r="L846" s="112">
        <f>1-1</f>
        <v>0</v>
      </c>
      <c r="M846" s="60"/>
      <c r="N846" s="61"/>
      <c r="O846" s="61"/>
      <c r="P846" s="77"/>
      <c r="Q846" s="77"/>
      <c r="R846" s="77">
        <f>0</f>
        <v>0</v>
      </c>
      <c r="S846" s="77">
        <f>1-1</f>
        <v>0</v>
      </c>
      <c r="T846" s="77"/>
      <c r="U846" s="77"/>
      <c r="V846" s="62"/>
      <c r="W846" s="63"/>
      <c r="X846" s="63"/>
      <c r="Z846" s="63"/>
      <c r="AA846" s="113"/>
      <c r="AB846" s="113"/>
      <c r="AC846" s="113"/>
    </row>
    <row r="847" spans="1:29" ht="60" hidden="1" customHeight="1" x14ac:dyDescent="0.2">
      <c r="A847" s="50" t="s">
        <v>1278</v>
      </c>
      <c r="B847" s="74"/>
      <c r="C847" s="66" t="s">
        <v>1279</v>
      </c>
      <c r="D847" s="53" t="s">
        <v>48</v>
      </c>
      <c r="E847" s="54" t="s">
        <v>1275</v>
      </c>
      <c r="F847" s="67" t="s">
        <v>49</v>
      </c>
      <c r="G847" s="56" t="s">
        <v>36</v>
      </c>
      <c r="H847" s="57" t="s">
        <v>37</v>
      </c>
      <c r="I847" s="53" t="s">
        <v>637</v>
      </c>
      <c r="J847" s="57">
        <v>2160</v>
      </c>
      <c r="K847" s="58"/>
      <c r="L847" s="112">
        <f>1-1</f>
        <v>0</v>
      </c>
      <c r="M847" s="60"/>
      <c r="N847" s="61"/>
      <c r="O847" s="61"/>
      <c r="P847" s="77"/>
      <c r="Q847" s="77"/>
      <c r="R847" s="77">
        <f>1-1</f>
        <v>0</v>
      </c>
      <c r="S847" s="77">
        <f>1-1</f>
        <v>0</v>
      </c>
      <c r="T847" s="77">
        <f>1-1</f>
        <v>0</v>
      </c>
      <c r="U847" s="77"/>
      <c r="V847" s="62"/>
      <c r="W847" s="63"/>
      <c r="X847" s="63"/>
      <c r="Z847" s="63"/>
      <c r="AA847" s="113"/>
      <c r="AB847" s="113"/>
      <c r="AC847" s="113"/>
    </row>
    <row r="848" spans="1:29" ht="60" hidden="1" customHeight="1" x14ac:dyDescent="0.2">
      <c r="A848" s="50" t="s">
        <v>1280</v>
      </c>
      <c r="B848" s="74"/>
      <c r="C848" s="66" t="s">
        <v>1279</v>
      </c>
      <c r="D848" s="53" t="s">
        <v>48</v>
      </c>
      <c r="E848" s="54" t="s">
        <v>1275</v>
      </c>
      <c r="F848" s="67" t="s">
        <v>49</v>
      </c>
      <c r="G848" s="56" t="s">
        <v>36</v>
      </c>
      <c r="H848" s="57" t="s">
        <v>273</v>
      </c>
      <c r="I848" s="53" t="s">
        <v>637</v>
      </c>
      <c r="J848" s="57">
        <v>2160</v>
      </c>
      <c r="K848" s="58"/>
      <c r="L848" s="114">
        <f>2-2</f>
        <v>0</v>
      </c>
      <c r="M848" s="60"/>
      <c r="N848" s="61"/>
      <c r="O848" s="61"/>
      <c r="P848" s="77"/>
      <c r="Q848" s="77"/>
      <c r="R848" s="77">
        <f>1-1</f>
        <v>0</v>
      </c>
      <c r="S848" s="77">
        <f>2-2</f>
        <v>0</v>
      </c>
      <c r="T848" s="77">
        <f>1-1</f>
        <v>0</v>
      </c>
      <c r="U848" s="77"/>
      <c r="V848" s="62"/>
      <c r="W848" s="63"/>
      <c r="X848" s="63"/>
      <c r="Z848" s="63"/>
      <c r="AA848" s="54"/>
      <c r="AB848" s="54"/>
      <c r="AC848" s="113"/>
    </row>
    <row r="849" spans="1:29" ht="60" customHeight="1" x14ac:dyDescent="0.2">
      <c r="A849" s="50" t="s">
        <v>1281</v>
      </c>
      <c r="B849" s="74"/>
      <c r="C849" s="66" t="s">
        <v>1282</v>
      </c>
      <c r="D849" s="57" t="s">
        <v>1283</v>
      </c>
      <c r="E849" s="54" t="s">
        <v>34</v>
      </c>
      <c r="F849" s="67" t="s">
        <v>1284</v>
      </c>
      <c r="G849" s="56" t="s">
        <v>36</v>
      </c>
      <c r="H849" s="57" t="s">
        <v>37</v>
      </c>
      <c r="I849" s="116" t="s">
        <v>1285</v>
      </c>
      <c r="J849" s="57">
        <v>1420</v>
      </c>
      <c r="K849" s="58"/>
      <c r="L849" s="114">
        <f>3-1</f>
        <v>2</v>
      </c>
      <c r="M849" s="60"/>
      <c r="N849" s="61"/>
      <c r="O849" s="61"/>
      <c r="P849" s="77"/>
      <c r="Q849" s="77"/>
      <c r="R849" s="77"/>
      <c r="S849" s="77">
        <f>3-1</f>
        <v>2</v>
      </c>
      <c r="T849" s="77"/>
      <c r="U849" s="77"/>
      <c r="V849" s="62"/>
      <c r="W849" s="63"/>
      <c r="X849" s="63"/>
      <c r="Z849" s="63"/>
      <c r="AA849" s="54"/>
      <c r="AB849" s="54"/>
      <c r="AC849" s="113"/>
    </row>
    <row r="850" spans="1:29" ht="60" customHeight="1" x14ac:dyDescent="0.2">
      <c r="A850" s="50" t="s">
        <v>1286</v>
      </c>
      <c r="B850" s="74"/>
      <c r="C850" s="66" t="s">
        <v>1287</v>
      </c>
      <c r="D850" s="57" t="s">
        <v>1283</v>
      </c>
      <c r="E850" s="54" t="s">
        <v>34</v>
      </c>
      <c r="F850" s="67" t="s">
        <v>1284</v>
      </c>
      <c r="G850" s="56" t="s">
        <v>36</v>
      </c>
      <c r="H850" s="57" t="s">
        <v>37</v>
      </c>
      <c r="I850" s="116" t="s">
        <v>1285</v>
      </c>
      <c r="J850" s="57">
        <v>1420</v>
      </c>
      <c r="K850" s="58"/>
      <c r="L850" s="114">
        <f>1-1+1</f>
        <v>1</v>
      </c>
      <c r="M850" s="60"/>
      <c r="N850" s="61"/>
      <c r="O850" s="61"/>
      <c r="P850" s="77"/>
      <c r="Q850" s="77"/>
      <c r="R850" s="77"/>
      <c r="S850" s="77">
        <f>1-1+1</f>
        <v>1</v>
      </c>
      <c r="T850" s="77"/>
      <c r="U850" s="77"/>
      <c r="V850" s="62"/>
      <c r="W850" s="63"/>
      <c r="X850" s="63"/>
      <c r="Z850" s="63"/>
      <c r="AA850" s="54"/>
      <c r="AB850" s="54"/>
      <c r="AC850" s="113"/>
    </row>
    <row r="851" spans="1:29" ht="60" hidden="1" customHeight="1" x14ac:dyDescent="0.2">
      <c r="A851" s="50" t="s">
        <v>1288</v>
      </c>
      <c r="B851" s="74"/>
      <c r="C851" s="68" t="s">
        <v>1289</v>
      </c>
      <c r="D851" s="57" t="s">
        <v>1283</v>
      </c>
      <c r="E851" s="54" t="s">
        <v>34</v>
      </c>
      <c r="F851" s="67" t="s">
        <v>1284</v>
      </c>
      <c r="G851" s="67"/>
      <c r="H851" s="57" t="s">
        <v>37</v>
      </c>
      <c r="I851" s="116" t="s">
        <v>1285</v>
      </c>
      <c r="J851" s="57" t="e">
        <f>ROUND(#REF!*2.4,-1)</f>
        <v>#REF!</v>
      </c>
      <c r="K851" s="58"/>
      <c r="L851" s="114">
        <f>1-1</f>
        <v>0</v>
      </c>
      <c r="M851" s="60"/>
      <c r="N851" s="61"/>
      <c r="O851" s="61"/>
      <c r="P851" s="77"/>
      <c r="Q851" s="77"/>
      <c r="R851" s="77"/>
      <c r="S851" s="77">
        <f>1-1</f>
        <v>0</v>
      </c>
      <c r="T851" s="77"/>
      <c r="U851" s="77"/>
      <c r="V851" s="62"/>
      <c r="W851" s="63"/>
      <c r="X851" s="63"/>
      <c r="Z851" s="63"/>
      <c r="AA851" s="54">
        <v>8110589</v>
      </c>
      <c r="AB851" s="54">
        <v>378</v>
      </c>
      <c r="AC851" s="113"/>
    </row>
    <row r="852" spans="1:29" ht="60" customHeight="1" x14ac:dyDescent="0.2">
      <c r="A852" s="50" t="s">
        <v>1290</v>
      </c>
      <c r="B852" s="74"/>
      <c r="C852" s="68" t="s">
        <v>1291</v>
      </c>
      <c r="D852" s="57" t="s">
        <v>1283</v>
      </c>
      <c r="E852" s="54" t="s">
        <v>34</v>
      </c>
      <c r="F852" s="67" t="s">
        <v>1284</v>
      </c>
      <c r="G852" s="56" t="s">
        <v>36</v>
      </c>
      <c r="H852" s="57" t="s">
        <v>37</v>
      </c>
      <c r="I852" s="116" t="s">
        <v>1285</v>
      </c>
      <c r="J852" s="57" t="e">
        <f>ROUND(#REF!*2.4,-1)</f>
        <v>#REF!</v>
      </c>
      <c r="K852" s="58"/>
      <c r="L852" s="114">
        <f>2-1</f>
        <v>1</v>
      </c>
      <c r="M852" s="60"/>
      <c r="N852" s="61"/>
      <c r="O852" s="61"/>
      <c r="P852" s="77"/>
      <c r="Q852" s="77"/>
      <c r="R852" s="77"/>
      <c r="S852" s="77">
        <f>2-1</f>
        <v>1</v>
      </c>
      <c r="T852" s="77"/>
      <c r="U852" s="77"/>
      <c r="V852" s="62"/>
      <c r="W852" s="63"/>
      <c r="X852" s="63"/>
      <c r="Z852" s="63"/>
      <c r="AA852" s="54"/>
      <c r="AB852" s="54"/>
      <c r="AC852" s="113"/>
    </row>
    <row r="853" spans="1:29" ht="60" customHeight="1" x14ac:dyDescent="0.2">
      <c r="A853" s="50" t="s">
        <v>1292</v>
      </c>
      <c r="B853" s="74"/>
      <c r="C853" s="68" t="s">
        <v>1293</v>
      </c>
      <c r="D853" s="57" t="s">
        <v>1283</v>
      </c>
      <c r="E853" s="54" t="s">
        <v>34</v>
      </c>
      <c r="F853" s="67" t="s">
        <v>1284</v>
      </c>
      <c r="G853" s="56" t="s">
        <v>36</v>
      </c>
      <c r="H853" s="57" t="s">
        <v>37</v>
      </c>
      <c r="I853" s="116" t="s">
        <v>1285</v>
      </c>
      <c r="J853" s="57" t="e">
        <f>ROUND(#REF!*2.4,-1)</f>
        <v>#REF!</v>
      </c>
      <c r="K853" s="58"/>
      <c r="L853" s="114">
        <f>4-1+1</f>
        <v>4</v>
      </c>
      <c r="M853" s="60"/>
      <c r="N853" s="61"/>
      <c r="O853" s="61"/>
      <c r="P853" s="77"/>
      <c r="Q853" s="77"/>
      <c r="R853" s="77"/>
      <c r="S853" s="77">
        <f>4-1+1</f>
        <v>4</v>
      </c>
      <c r="T853" s="77"/>
      <c r="U853" s="77"/>
      <c r="V853" s="62"/>
      <c r="W853" s="63"/>
      <c r="X853" s="63"/>
      <c r="Z853" s="63"/>
      <c r="AA853" s="54"/>
      <c r="AB853" s="54"/>
      <c r="AC853" s="113"/>
    </row>
    <row r="854" spans="1:29" ht="60" customHeight="1" x14ac:dyDescent="0.2">
      <c r="A854" s="50" t="s">
        <v>1294</v>
      </c>
      <c r="B854" s="74"/>
      <c r="C854" s="68" t="s">
        <v>1295</v>
      </c>
      <c r="D854" s="57" t="s">
        <v>1283</v>
      </c>
      <c r="E854" s="54" t="s">
        <v>34</v>
      </c>
      <c r="F854" s="67" t="s">
        <v>1284</v>
      </c>
      <c r="G854" s="56" t="s">
        <v>36</v>
      </c>
      <c r="H854" s="57" t="s">
        <v>60</v>
      </c>
      <c r="I854" s="116" t="s">
        <v>1285</v>
      </c>
      <c r="J854" s="57" t="e">
        <f>ROUND(#REF!*2.4,-1)</f>
        <v>#REF!</v>
      </c>
      <c r="K854" s="58"/>
      <c r="L854" s="114">
        <f>2-1+1</f>
        <v>2</v>
      </c>
      <c r="M854" s="60"/>
      <c r="N854" s="61"/>
      <c r="O854" s="61"/>
      <c r="P854" s="77"/>
      <c r="Q854" s="77"/>
      <c r="R854" s="77"/>
      <c r="S854" s="77">
        <f>2-1+1</f>
        <v>2</v>
      </c>
      <c r="T854" s="77"/>
      <c r="U854" s="77"/>
      <c r="V854" s="62"/>
      <c r="W854" s="63"/>
      <c r="X854" s="63"/>
      <c r="Z854" s="63"/>
      <c r="AA854" s="54">
        <v>8155588</v>
      </c>
      <c r="AB854" s="54">
        <v>379</v>
      </c>
      <c r="AC854" s="113"/>
    </row>
    <row r="855" spans="1:29" ht="60" hidden="1" customHeight="1" x14ac:dyDescent="0.2">
      <c r="A855" s="50" t="s">
        <v>1296</v>
      </c>
      <c r="B855" s="74"/>
      <c r="C855" s="68" t="s">
        <v>1291</v>
      </c>
      <c r="D855" s="57" t="s">
        <v>1283</v>
      </c>
      <c r="E855" s="54" t="s">
        <v>34</v>
      </c>
      <c r="F855" s="67" t="s">
        <v>1284</v>
      </c>
      <c r="G855" s="67"/>
      <c r="H855" s="57" t="s">
        <v>84</v>
      </c>
      <c r="I855" s="116" t="s">
        <v>1285</v>
      </c>
      <c r="J855" s="57" t="e">
        <f>ROUND(#REF!*2.4,-1)</f>
        <v>#REF!</v>
      </c>
      <c r="K855" s="58"/>
      <c r="L855" s="114">
        <f>1-1</f>
        <v>0</v>
      </c>
      <c r="M855" s="60"/>
      <c r="N855" s="61"/>
      <c r="O855" s="61"/>
      <c r="P855" s="77"/>
      <c r="Q855" s="77"/>
      <c r="R855" s="77">
        <f>1-1</f>
        <v>0</v>
      </c>
      <c r="S855" s="77">
        <f>1-1</f>
        <v>0</v>
      </c>
      <c r="T855" s="77"/>
      <c r="U855" s="77"/>
      <c r="V855" s="62"/>
      <c r="W855" s="63"/>
      <c r="X855" s="63"/>
      <c r="Z855" s="63"/>
      <c r="AA855" s="54">
        <v>8151590</v>
      </c>
      <c r="AB855" s="54">
        <v>380</v>
      </c>
      <c r="AC855" s="113"/>
    </row>
    <row r="856" spans="1:29" ht="60" customHeight="1" x14ac:dyDescent="0.2">
      <c r="A856" s="50" t="s">
        <v>1297</v>
      </c>
      <c r="B856" s="74"/>
      <c r="C856" s="68" t="s">
        <v>1293</v>
      </c>
      <c r="D856" s="57" t="s">
        <v>1283</v>
      </c>
      <c r="E856" s="54" t="s">
        <v>34</v>
      </c>
      <c r="F856" s="67" t="s">
        <v>1284</v>
      </c>
      <c r="G856" s="56" t="s">
        <v>36</v>
      </c>
      <c r="H856" s="57" t="s">
        <v>84</v>
      </c>
      <c r="I856" s="116" t="s">
        <v>1285</v>
      </c>
      <c r="J856" s="57" t="e">
        <f>ROUND(#REF!*2.4,-1)</f>
        <v>#REF!</v>
      </c>
      <c r="K856" s="58"/>
      <c r="L856" s="114">
        <f>5-1+1</f>
        <v>5</v>
      </c>
      <c r="M856" s="60"/>
      <c r="N856" s="61"/>
      <c r="O856" s="61"/>
      <c r="P856" s="77"/>
      <c r="Q856" s="77"/>
      <c r="R856" s="77"/>
      <c r="S856" s="77">
        <f>5-1+1</f>
        <v>5</v>
      </c>
      <c r="T856" s="77"/>
      <c r="U856" s="77"/>
      <c r="V856" s="62"/>
      <c r="W856" s="63"/>
      <c r="X856" s="63"/>
      <c r="Z856" s="63"/>
      <c r="AA856" s="54"/>
      <c r="AB856" s="54"/>
      <c r="AC856" s="113"/>
    </row>
    <row r="857" spans="1:29" ht="60" customHeight="1" x14ac:dyDescent="0.2">
      <c r="A857" s="50" t="s">
        <v>1298</v>
      </c>
      <c r="B857" s="74"/>
      <c r="C857" s="68" t="s">
        <v>1299</v>
      </c>
      <c r="D857" s="57" t="s">
        <v>1283</v>
      </c>
      <c r="E857" s="54" t="s">
        <v>34</v>
      </c>
      <c r="F857" s="67" t="s">
        <v>1284</v>
      </c>
      <c r="G857" s="56" t="s">
        <v>36</v>
      </c>
      <c r="H857" s="57" t="s">
        <v>149</v>
      </c>
      <c r="I857" s="116" t="s">
        <v>1285</v>
      </c>
      <c r="J857" s="57">
        <v>1420</v>
      </c>
      <c r="K857" s="58"/>
      <c r="L857" s="114">
        <f>3-1+1</f>
        <v>3</v>
      </c>
      <c r="M857" s="60"/>
      <c r="N857" s="61"/>
      <c r="O857" s="61"/>
      <c r="P857" s="77"/>
      <c r="Q857" s="77"/>
      <c r="R857" s="77"/>
      <c r="S857" s="77">
        <f>3-1+1</f>
        <v>3</v>
      </c>
      <c r="T857" s="77"/>
      <c r="U857" s="77"/>
      <c r="V857" s="62"/>
      <c r="W857" s="63"/>
      <c r="X857" s="63"/>
      <c r="Z857" s="63"/>
      <c r="AA857" s="54"/>
      <c r="AB857" s="54"/>
      <c r="AC857" s="113"/>
    </row>
    <row r="858" spans="1:29" ht="60" customHeight="1" x14ac:dyDescent="0.2">
      <c r="A858" s="50" t="s">
        <v>1300</v>
      </c>
      <c r="B858" s="74"/>
      <c r="C858" s="68" t="s">
        <v>1301</v>
      </c>
      <c r="D858" s="57" t="s">
        <v>1283</v>
      </c>
      <c r="E858" s="54" t="s">
        <v>34</v>
      </c>
      <c r="F858" s="67" t="s">
        <v>1302</v>
      </c>
      <c r="G858" s="56" t="s">
        <v>36</v>
      </c>
      <c r="H858" s="57" t="s">
        <v>60</v>
      </c>
      <c r="I858" s="116" t="s">
        <v>1285</v>
      </c>
      <c r="J858" s="57" t="e">
        <f>ROUND(#REF!*2.4,-1)</f>
        <v>#REF!</v>
      </c>
      <c r="K858" s="58"/>
      <c r="L858" s="114">
        <f>4-1+1</f>
        <v>4</v>
      </c>
      <c r="M858" s="60"/>
      <c r="N858" s="61"/>
      <c r="O858" s="61"/>
      <c r="P858" s="77"/>
      <c r="Q858" s="77"/>
      <c r="R858" s="77">
        <f>5-5+3</f>
        <v>3</v>
      </c>
      <c r="S858" s="77">
        <f>1-1+1</f>
        <v>1</v>
      </c>
      <c r="T858" s="77"/>
      <c r="U858" s="77"/>
      <c r="V858" s="62"/>
      <c r="W858" s="63"/>
      <c r="X858" s="63"/>
      <c r="Z858" s="63"/>
      <c r="AA858" s="54">
        <v>8220592</v>
      </c>
      <c r="AB858" s="54">
        <v>381</v>
      </c>
      <c r="AC858" s="113"/>
    </row>
    <row r="859" spans="1:29" ht="60" customHeight="1" x14ac:dyDescent="0.2">
      <c r="A859" s="50" t="s">
        <v>1303</v>
      </c>
      <c r="B859" s="74"/>
      <c r="C859" s="68" t="s">
        <v>1304</v>
      </c>
      <c r="D859" s="57" t="s">
        <v>1283</v>
      </c>
      <c r="E859" s="54" t="s">
        <v>34</v>
      </c>
      <c r="F859" s="67" t="s">
        <v>1302</v>
      </c>
      <c r="G859" s="56" t="s">
        <v>36</v>
      </c>
      <c r="H859" s="57" t="s">
        <v>442</v>
      </c>
      <c r="I859" s="116" t="s">
        <v>1285</v>
      </c>
      <c r="J859" s="57">
        <v>1420</v>
      </c>
      <c r="K859" s="58"/>
      <c r="L859" s="114">
        <f>27-2</f>
        <v>25</v>
      </c>
      <c r="M859" s="60"/>
      <c r="N859" s="61"/>
      <c r="O859" s="61"/>
      <c r="P859" s="77"/>
      <c r="Q859" s="77"/>
      <c r="R859" s="77">
        <f>17-1</f>
        <v>16</v>
      </c>
      <c r="S859" s="77">
        <f>10-1</f>
        <v>9</v>
      </c>
      <c r="T859" s="112"/>
      <c r="U859" s="77"/>
      <c r="V859" s="62"/>
      <c r="W859" s="63"/>
      <c r="X859" s="63"/>
      <c r="Z859" s="63"/>
      <c r="AA859" s="54">
        <v>8260563</v>
      </c>
      <c r="AB859" s="54">
        <v>382</v>
      </c>
      <c r="AC859" s="113"/>
    </row>
    <row r="860" spans="1:29" ht="60" customHeight="1" x14ac:dyDescent="0.2">
      <c r="A860" s="50" t="s">
        <v>1305</v>
      </c>
      <c r="B860" s="74"/>
      <c r="C860" s="68" t="s">
        <v>1306</v>
      </c>
      <c r="D860" s="57" t="s">
        <v>1283</v>
      </c>
      <c r="E860" s="54" t="s">
        <v>34</v>
      </c>
      <c r="F860" s="67" t="s">
        <v>1302</v>
      </c>
      <c r="G860" s="56" t="s">
        <v>36</v>
      </c>
      <c r="H860" s="57" t="s">
        <v>344</v>
      </c>
      <c r="I860" s="116" t="s">
        <v>1285</v>
      </c>
      <c r="J860" s="57">
        <v>1420</v>
      </c>
      <c r="K860" s="58"/>
      <c r="L860" s="114">
        <f>6-1</f>
        <v>5</v>
      </c>
      <c r="M860" s="60"/>
      <c r="N860" s="61"/>
      <c r="O860" s="61"/>
      <c r="P860" s="77"/>
      <c r="Q860" s="77"/>
      <c r="R860" s="77">
        <f>5-1</f>
        <v>4</v>
      </c>
      <c r="S860" s="77">
        <f>1-1+1</f>
        <v>1</v>
      </c>
      <c r="T860" s="77"/>
      <c r="U860" s="77"/>
      <c r="V860" s="62"/>
      <c r="W860" s="63"/>
      <c r="X860" s="63"/>
      <c r="Z860" s="63"/>
      <c r="AA860" s="54">
        <v>8280516</v>
      </c>
      <c r="AB860" s="54">
        <v>383</v>
      </c>
      <c r="AC860" s="113"/>
    </row>
    <row r="861" spans="1:29" ht="60" customHeight="1" x14ac:dyDescent="0.2">
      <c r="A861" s="50" t="s">
        <v>1307</v>
      </c>
      <c r="B861" s="74"/>
      <c r="C861" s="68" t="s">
        <v>1308</v>
      </c>
      <c r="D861" s="57" t="s">
        <v>1283</v>
      </c>
      <c r="E861" s="54" t="s">
        <v>34</v>
      </c>
      <c r="F861" s="67" t="s">
        <v>1302</v>
      </c>
      <c r="G861" s="56" t="s">
        <v>36</v>
      </c>
      <c r="H861" s="57" t="s">
        <v>344</v>
      </c>
      <c r="I861" s="116" t="s">
        <v>1285</v>
      </c>
      <c r="J861" s="57">
        <v>1420</v>
      </c>
      <c r="K861" s="58"/>
      <c r="L861" s="114">
        <f>23-20+20</f>
        <v>23</v>
      </c>
      <c r="M861" s="60"/>
      <c r="N861" s="61"/>
      <c r="O861" s="61"/>
      <c r="P861" s="77"/>
      <c r="Q861" s="77"/>
      <c r="R861" s="77">
        <f>12-10+10</f>
        <v>12</v>
      </c>
      <c r="S861" s="77">
        <f>11-10+10</f>
        <v>11</v>
      </c>
      <c r="T861" s="77"/>
      <c r="U861" s="77"/>
      <c r="V861" s="62"/>
      <c r="W861" s="63"/>
      <c r="X861" s="63"/>
      <c r="Z861" s="63"/>
      <c r="AA861" s="54"/>
      <c r="AB861" s="54"/>
      <c r="AC861" s="113"/>
    </row>
    <row r="862" spans="1:29" ht="60" customHeight="1" x14ac:dyDescent="0.2">
      <c r="A862" s="50" t="s">
        <v>1309</v>
      </c>
      <c r="B862" s="74"/>
      <c r="C862" s="68" t="s">
        <v>1291</v>
      </c>
      <c r="D862" s="57" t="s">
        <v>1283</v>
      </c>
      <c r="E862" s="54" t="s">
        <v>34</v>
      </c>
      <c r="F862" s="67" t="s">
        <v>1302</v>
      </c>
      <c r="G862" s="56" t="s">
        <v>36</v>
      </c>
      <c r="H862" s="57" t="s">
        <v>344</v>
      </c>
      <c r="I862" s="116" t="s">
        <v>1285</v>
      </c>
      <c r="J862" s="57" t="e">
        <f>ROUND(#REF!*2.4,-1)</f>
        <v>#REF!</v>
      </c>
      <c r="K862" s="58"/>
      <c r="L862" s="114">
        <f>44-2</f>
        <v>42</v>
      </c>
      <c r="M862" s="60"/>
      <c r="N862" s="61"/>
      <c r="O862" s="61"/>
      <c r="P862" s="77"/>
      <c r="Q862" s="77"/>
      <c r="R862" s="77">
        <f>21-1</f>
        <v>20</v>
      </c>
      <c r="S862" s="77">
        <f>23-1</f>
        <v>22</v>
      </c>
      <c r="T862" s="77"/>
      <c r="U862" s="77"/>
      <c r="V862" s="62"/>
      <c r="W862" s="63"/>
      <c r="X862" s="63"/>
      <c r="Z862" s="63"/>
      <c r="AA862" s="54"/>
      <c r="AB862" s="54"/>
      <c r="AC862" s="113"/>
    </row>
    <row r="863" spans="1:29" ht="60" customHeight="1" x14ac:dyDescent="0.2">
      <c r="A863" s="50" t="s">
        <v>1310</v>
      </c>
      <c r="B863" s="74"/>
      <c r="C863" s="87" t="s">
        <v>1311</v>
      </c>
      <c r="D863" s="57" t="s">
        <v>1312</v>
      </c>
      <c r="E863" s="54" t="s">
        <v>34</v>
      </c>
      <c r="F863" s="116" t="s">
        <v>1313</v>
      </c>
      <c r="G863" s="56" t="s">
        <v>36</v>
      </c>
      <c r="H863" s="57" t="s">
        <v>60</v>
      </c>
      <c r="I863" s="53" t="s">
        <v>637</v>
      </c>
      <c r="J863" s="57">
        <v>1280</v>
      </c>
      <c r="K863" s="58"/>
      <c r="L863" s="114">
        <f>2-1</f>
        <v>1</v>
      </c>
      <c r="M863" s="60">
        <f>2-1</f>
        <v>1</v>
      </c>
      <c r="N863" s="61"/>
      <c r="O863" s="61"/>
      <c r="P863" s="77"/>
      <c r="Q863" s="77"/>
      <c r="R863" s="77"/>
      <c r="S863" s="77"/>
      <c r="T863" s="77"/>
      <c r="U863" s="77"/>
      <c r="V863" s="62"/>
      <c r="W863" s="63"/>
      <c r="X863" s="63"/>
      <c r="Z863" s="63"/>
      <c r="AA863" s="54">
        <v>8320207</v>
      </c>
      <c r="AB863" s="54">
        <v>440</v>
      </c>
      <c r="AC863" s="113"/>
    </row>
    <row r="864" spans="1:29" ht="60" hidden="1" customHeight="1" x14ac:dyDescent="0.2">
      <c r="A864" s="50" t="s">
        <v>1314</v>
      </c>
      <c r="B864" s="74"/>
      <c r="C864" s="66" t="s">
        <v>358</v>
      </c>
      <c r="D864" s="57" t="s">
        <v>1312</v>
      </c>
      <c r="E864" s="54" t="s">
        <v>34</v>
      </c>
      <c r="F864" s="116" t="s">
        <v>1315</v>
      </c>
      <c r="G864" s="56" t="s">
        <v>36</v>
      </c>
      <c r="H864" s="57" t="s">
        <v>60</v>
      </c>
      <c r="I864" s="53" t="s">
        <v>637</v>
      </c>
      <c r="J864" s="57">
        <v>1280</v>
      </c>
      <c r="K864" s="58"/>
      <c r="L864" s="114">
        <f t="shared" ref="L864:M866" si="68">1-1</f>
        <v>0</v>
      </c>
      <c r="M864" s="60">
        <f t="shared" si="68"/>
        <v>0</v>
      </c>
      <c r="N864" s="61"/>
      <c r="O864" s="61"/>
      <c r="P864" s="77"/>
      <c r="Q864" s="77"/>
      <c r="R864" s="77"/>
      <c r="S864" s="77"/>
      <c r="T864" s="77"/>
      <c r="U864" s="77"/>
      <c r="V864" s="62"/>
      <c r="W864" s="63"/>
      <c r="X864" s="63"/>
      <c r="Z864" s="63"/>
      <c r="AA864" s="54">
        <v>8320531</v>
      </c>
      <c r="AB864" s="54">
        <v>441</v>
      </c>
      <c r="AC864" s="113"/>
    </row>
    <row r="865" spans="1:29" ht="60" hidden="1" customHeight="1" x14ac:dyDescent="0.2">
      <c r="A865" s="50" t="s">
        <v>1316</v>
      </c>
      <c r="B865" s="74"/>
      <c r="C865" s="66" t="s">
        <v>1012</v>
      </c>
      <c r="D865" s="57" t="s">
        <v>1312</v>
      </c>
      <c r="E865" s="54" t="s">
        <v>34</v>
      </c>
      <c r="F865" s="116" t="s">
        <v>1315</v>
      </c>
      <c r="G865" s="56" t="s">
        <v>36</v>
      </c>
      <c r="H865" s="57" t="s">
        <v>60</v>
      </c>
      <c r="I865" s="53" t="s">
        <v>637</v>
      </c>
      <c r="J865" s="57">
        <v>1280</v>
      </c>
      <c r="K865" s="58"/>
      <c r="L865" s="114">
        <f t="shared" si="68"/>
        <v>0</v>
      </c>
      <c r="M865" s="60">
        <f t="shared" si="68"/>
        <v>0</v>
      </c>
      <c r="N865" s="61"/>
      <c r="O865" s="61"/>
      <c r="P865" s="77"/>
      <c r="Q865" s="77"/>
      <c r="R865" s="77"/>
      <c r="S865" s="77"/>
      <c r="T865" s="77"/>
      <c r="U865" s="77"/>
      <c r="V865" s="62"/>
      <c r="W865" s="63"/>
      <c r="X865" s="63"/>
      <c r="Z865" s="63"/>
      <c r="AA865" s="54">
        <v>8320533</v>
      </c>
      <c r="AB865" s="54">
        <v>442</v>
      </c>
      <c r="AC865" s="113"/>
    </row>
    <row r="866" spans="1:29" ht="60" hidden="1" customHeight="1" x14ac:dyDescent="0.2">
      <c r="A866" s="50" t="s">
        <v>1317</v>
      </c>
      <c r="B866" s="74"/>
      <c r="C866" s="54" t="s">
        <v>603</v>
      </c>
      <c r="D866" s="57" t="s">
        <v>1312</v>
      </c>
      <c r="E866" s="54" t="s">
        <v>34</v>
      </c>
      <c r="F866" s="116" t="s">
        <v>1313</v>
      </c>
      <c r="G866" s="56" t="s">
        <v>36</v>
      </c>
      <c r="H866" s="57" t="s">
        <v>60</v>
      </c>
      <c r="I866" s="53" t="s">
        <v>637</v>
      </c>
      <c r="J866" s="57">
        <v>1280</v>
      </c>
      <c r="K866" s="58"/>
      <c r="L866" s="114">
        <f t="shared" si="68"/>
        <v>0</v>
      </c>
      <c r="M866" s="60">
        <f t="shared" si="68"/>
        <v>0</v>
      </c>
      <c r="N866" s="61"/>
      <c r="O866" s="61"/>
      <c r="P866" s="77"/>
      <c r="Q866" s="77"/>
      <c r="R866" s="77"/>
      <c r="S866" s="77"/>
      <c r="T866" s="77"/>
      <c r="U866" s="77"/>
      <c r="V866" s="62"/>
      <c r="W866" s="63"/>
      <c r="X866" s="63"/>
      <c r="Z866" s="63"/>
      <c r="AA866" s="54">
        <v>8320259</v>
      </c>
      <c r="AB866" s="54">
        <v>443</v>
      </c>
      <c r="AC866" s="113"/>
    </row>
    <row r="867" spans="1:29" ht="60" customHeight="1" x14ac:dyDescent="0.2">
      <c r="A867" s="50" t="s">
        <v>1318</v>
      </c>
      <c r="B867" s="74"/>
      <c r="C867" s="66" t="s">
        <v>1319</v>
      </c>
      <c r="D867" s="57" t="s">
        <v>1312</v>
      </c>
      <c r="E867" s="54" t="s">
        <v>34</v>
      </c>
      <c r="F867" s="117" t="s">
        <v>1320</v>
      </c>
      <c r="G867" s="56" t="s">
        <v>36</v>
      </c>
      <c r="H867" s="57" t="s">
        <v>442</v>
      </c>
      <c r="I867" s="53" t="s">
        <v>637</v>
      </c>
      <c r="J867" s="57">
        <v>1280</v>
      </c>
      <c r="K867" s="58"/>
      <c r="L867" s="114">
        <f>21-1</f>
        <v>20</v>
      </c>
      <c r="M867" s="60">
        <f>21-1</f>
        <v>20</v>
      </c>
      <c r="N867" s="61"/>
      <c r="O867" s="61"/>
      <c r="P867" s="77"/>
      <c r="Q867" s="77"/>
      <c r="R867" s="77"/>
      <c r="S867" s="77"/>
      <c r="T867" s="77"/>
      <c r="U867" s="77"/>
      <c r="V867" s="62"/>
      <c r="W867" s="63"/>
      <c r="X867" s="63"/>
      <c r="Z867" s="63"/>
      <c r="AA867" s="54">
        <v>8350528</v>
      </c>
      <c r="AB867" s="54">
        <v>444</v>
      </c>
      <c r="AC867" s="113"/>
    </row>
    <row r="868" spans="1:29" ht="60" hidden="1" customHeight="1" x14ac:dyDescent="0.2">
      <c r="A868" s="50" t="s">
        <v>1321</v>
      </c>
      <c r="B868" s="74"/>
      <c r="C868" s="66" t="s">
        <v>838</v>
      </c>
      <c r="D868" s="57" t="s">
        <v>1312</v>
      </c>
      <c r="E868" s="54" t="s">
        <v>34</v>
      </c>
      <c r="F868" s="117" t="s">
        <v>1322</v>
      </c>
      <c r="G868" s="56" t="s">
        <v>36</v>
      </c>
      <c r="H868" s="57" t="s">
        <v>84</v>
      </c>
      <c r="I868" s="53" t="s">
        <v>637</v>
      </c>
      <c r="J868" s="57">
        <v>1280</v>
      </c>
      <c r="K868" s="58"/>
      <c r="L868" s="112">
        <f t="shared" ref="L868:M870" si="69">1-1</f>
        <v>0</v>
      </c>
      <c r="M868" s="60">
        <f t="shared" si="69"/>
        <v>0</v>
      </c>
      <c r="N868" s="61"/>
      <c r="O868" s="61"/>
      <c r="P868" s="77"/>
      <c r="Q868" s="77"/>
      <c r="R868" s="77"/>
      <c r="S868" s="77"/>
      <c r="T868" s="77"/>
      <c r="U868" s="77"/>
      <c r="V868" s="62"/>
      <c r="W868" s="63"/>
      <c r="X868" s="63"/>
      <c r="Z868" s="63"/>
      <c r="AA868" s="54">
        <v>8370524</v>
      </c>
      <c r="AB868" s="54">
        <v>445</v>
      </c>
      <c r="AC868" s="113"/>
    </row>
    <row r="869" spans="1:29" ht="60" hidden="1" customHeight="1" x14ac:dyDescent="0.2">
      <c r="A869" s="50" t="s">
        <v>1323</v>
      </c>
      <c r="B869" s="74"/>
      <c r="C869" s="66" t="s">
        <v>276</v>
      </c>
      <c r="D869" s="57" t="s">
        <v>1312</v>
      </c>
      <c r="E869" s="54" t="s">
        <v>34</v>
      </c>
      <c r="F869" s="117" t="s">
        <v>1324</v>
      </c>
      <c r="G869" s="56" t="s">
        <v>36</v>
      </c>
      <c r="H869" s="57" t="s">
        <v>84</v>
      </c>
      <c r="I869" s="53" t="s">
        <v>637</v>
      </c>
      <c r="J869" s="57">
        <v>1280</v>
      </c>
      <c r="K869" s="58"/>
      <c r="L869" s="112">
        <f t="shared" si="69"/>
        <v>0</v>
      </c>
      <c r="M869" s="60">
        <f t="shared" si="69"/>
        <v>0</v>
      </c>
      <c r="N869" s="61"/>
      <c r="O869" s="61"/>
      <c r="P869" s="77"/>
      <c r="Q869" s="77"/>
      <c r="R869" s="77">
        <f>1-1</f>
        <v>0</v>
      </c>
      <c r="S869" s="77"/>
      <c r="T869" s="77"/>
      <c r="U869" s="77"/>
      <c r="V869" s="62"/>
      <c r="W869" s="63"/>
      <c r="X869" s="63"/>
      <c r="Z869" s="63"/>
      <c r="AA869" s="54">
        <v>8370539</v>
      </c>
      <c r="AB869" s="54">
        <v>446</v>
      </c>
      <c r="AC869" s="113"/>
    </row>
    <row r="870" spans="1:29" ht="60" hidden="1" customHeight="1" x14ac:dyDescent="0.2">
      <c r="A870" s="50" t="s">
        <v>1325</v>
      </c>
      <c r="B870" s="74"/>
      <c r="C870" s="66" t="s">
        <v>893</v>
      </c>
      <c r="D870" s="57" t="s">
        <v>1312</v>
      </c>
      <c r="E870" s="54" t="s">
        <v>34</v>
      </c>
      <c r="F870" s="117" t="s">
        <v>1324</v>
      </c>
      <c r="G870" s="56" t="s">
        <v>36</v>
      </c>
      <c r="H870" s="57" t="s">
        <v>344</v>
      </c>
      <c r="I870" s="53" t="s">
        <v>637</v>
      </c>
      <c r="J870" s="57">
        <v>1280</v>
      </c>
      <c r="K870" s="58"/>
      <c r="L870" s="112">
        <f t="shared" si="69"/>
        <v>0</v>
      </c>
      <c r="M870" s="60">
        <f t="shared" si="69"/>
        <v>0</v>
      </c>
      <c r="N870" s="61"/>
      <c r="O870" s="61"/>
      <c r="P870" s="77"/>
      <c r="Q870" s="77"/>
      <c r="R870" s="77"/>
      <c r="S870" s="77"/>
      <c r="T870" s="77"/>
      <c r="U870" s="77"/>
      <c r="V870" s="62"/>
      <c r="W870" s="63"/>
      <c r="X870" s="63"/>
      <c r="Z870" s="63"/>
      <c r="AA870" s="54"/>
      <c r="AB870" s="54"/>
      <c r="AC870" s="113"/>
    </row>
    <row r="871" spans="1:29" ht="60" customHeight="1" x14ac:dyDescent="0.2">
      <c r="A871" s="50" t="s">
        <v>1326</v>
      </c>
      <c r="B871" s="74"/>
      <c r="C871" s="68" t="s">
        <v>1304</v>
      </c>
      <c r="D871" s="57" t="s">
        <v>1283</v>
      </c>
      <c r="E871" s="54" t="s">
        <v>34</v>
      </c>
      <c r="F871" s="67" t="s">
        <v>1327</v>
      </c>
      <c r="G871" s="56" t="s">
        <v>36</v>
      </c>
      <c r="H871" s="57" t="s">
        <v>442</v>
      </c>
      <c r="I871" s="116" t="s">
        <v>1285</v>
      </c>
      <c r="J871" s="57">
        <v>1420</v>
      </c>
      <c r="K871" s="58"/>
      <c r="L871" s="112">
        <f>30-1</f>
        <v>29</v>
      </c>
      <c r="M871" s="60"/>
      <c r="N871" s="61"/>
      <c r="O871" s="61"/>
      <c r="P871" s="77"/>
      <c r="Q871" s="77"/>
      <c r="R871" s="77">
        <f>9-1</f>
        <v>8</v>
      </c>
      <c r="S871" s="77">
        <f>21-20+20</f>
        <v>21</v>
      </c>
      <c r="T871" s="77"/>
      <c r="U871" s="77"/>
      <c r="V871" s="62"/>
      <c r="W871" s="63"/>
      <c r="X871" s="63"/>
      <c r="Z871" s="63"/>
      <c r="AA871" s="54"/>
      <c r="AB871" s="54"/>
      <c r="AC871" s="113"/>
    </row>
    <row r="872" spans="1:29" ht="60" customHeight="1" x14ac:dyDescent="0.2">
      <c r="A872" s="50" t="s">
        <v>1328</v>
      </c>
      <c r="B872" s="74"/>
      <c r="C872" s="68" t="s">
        <v>1306</v>
      </c>
      <c r="D872" s="57" t="s">
        <v>1283</v>
      </c>
      <c r="E872" s="54" t="s">
        <v>34</v>
      </c>
      <c r="F872" s="67" t="s">
        <v>1327</v>
      </c>
      <c r="G872" s="56" t="s">
        <v>36</v>
      </c>
      <c r="H872" s="57" t="s">
        <v>378</v>
      </c>
      <c r="I872" s="116" t="s">
        <v>1285</v>
      </c>
      <c r="J872" s="57">
        <v>1420</v>
      </c>
      <c r="K872" s="58"/>
      <c r="L872" s="112">
        <f>39-35+35</f>
        <v>39</v>
      </c>
      <c r="M872" s="60"/>
      <c r="N872" s="61"/>
      <c r="O872" s="61"/>
      <c r="P872" s="77"/>
      <c r="Q872" s="77"/>
      <c r="R872" s="77">
        <f>18-15+15</f>
        <v>18</v>
      </c>
      <c r="S872" s="77">
        <f>21-20+20</f>
        <v>21</v>
      </c>
      <c r="T872" s="77"/>
      <c r="U872" s="77"/>
      <c r="V872" s="62"/>
      <c r="W872" s="63"/>
      <c r="X872" s="63"/>
      <c r="Z872" s="63"/>
      <c r="AA872" s="54"/>
      <c r="AB872" s="54"/>
      <c r="AC872" s="113"/>
    </row>
    <row r="873" spans="1:29" ht="60" customHeight="1" x14ac:dyDescent="0.2">
      <c r="A873" s="50" t="s">
        <v>1329</v>
      </c>
      <c r="B873" s="74"/>
      <c r="C873" s="68" t="s">
        <v>1308</v>
      </c>
      <c r="D873" s="57" t="s">
        <v>1283</v>
      </c>
      <c r="E873" s="54" t="s">
        <v>34</v>
      </c>
      <c r="F873" s="67" t="s">
        <v>1302</v>
      </c>
      <c r="G873" s="56" t="s">
        <v>36</v>
      </c>
      <c r="H873" s="57" t="s">
        <v>378</v>
      </c>
      <c r="I873" s="116" t="s">
        <v>1285</v>
      </c>
      <c r="J873" s="57">
        <v>1420</v>
      </c>
      <c r="K873" s="58"/>
      <c r="L873" s="112">
        <f>6-4+4</f>
        <v>6</v>
      </c>
      <c r="M873" s="60"/>
      <c r="N873" s="61"/>
      <c r="O873" s="61"/>
      <c r="P873" s="77"/>
      <c r="Q873" s="77"/>
      <c r="R873" s="77">
        <f>3-2+2</f>
        <v>3</v>
      </c>
      <c r="S873" s="77">
        <f>3-2+2</f>
        <v>3</v>
      </c>
      <c r="T873" s="77"/>
      <c r="U873" s="77"/>
      <c r="V873" s="62"/>
      <c r="W873" s="63"/>
      <c r="X873" s="63"/>
      <c r="Z873" s="63"/>
      <c r="AA873" s="54">
        <v>8492558</v>
      </c>
      <c r="AB873" s="54">
        <v>384</v>
      </c>
      <c r="AC873" s="113"/>
    </row>
    <row r="874" spans="1:29" ht="60" hidden="1" customHeight="1" x14ac:dyDescent="0.2">
      <c r="A874" s="69" t="s">
        <v>1330</v>
      </c>
      <c r="B874" s="74"/>
      <c r="C874" s="66" t="s">
        <v>503</v>
      </c>
      <c r="D874" s="57" t="s">
        <v>1312</v>
      </c>
      <c r="E874" s="54" t="s">
        <v>34</v>
      </c>
      <c r="F874" s="118" t="s">
        <v>1331</v>
      </c>
      <c r="G874" s="56" t="s">
        <v>36</v>
      </c>
      <c r="H874" s="57" t="s">
        <v>37</v>
      </c>
      <c r="I874" s="53" t="s">
        <v>1332</v>
      </c>
      <c r="J874" s="57">
        <v>840</v>
      </c>
      <c r="K874" s="58"/>
      <c r="L874" s="59">
        <f t="shared" ref="L874:M876" si="70">1-1</f>
        <v>0</v>
      </c>
      <c r="M874" s="60">
        <f t="shared" si="70"/>
        <v>0</v>
      </c>
      <c r="N874" s="61"/>
      <c r="O874" s="61"/>
      <c r="P874" s="62"/>
      <c r="Q874" s="62"/>
      <c r="R874" s="62"/>
      <c r="S874" s="62"/>
      <c r="T874" s="62"/>
      <c r="U874" s="62"/>
      <c r="V874" s="62"/>
      <c r="W874" s="63"/>
      <c r="X874" s="63"/>
      <c r="Z874" s="63"/>
      <c r="AA874" s="54"/>
      <c r="AB874" s="54"/>
      <c r="AC874" s="113"/>
    </row>
    <row r="875" spans="1:29" ht="60" customHeight="1" x14ac:dyDescent="0.2">
      <c r="A875" s="69" t="s">
        <v>1333</v>
      </c>
      <c r="B875" s="74"/>
      <c r="C875" s="66" t="s">
        <v>316</v>
      </c>
      <c r="D875" s="57" t="s">
        <v>1312</v>
      </c>
      <c r="E875" s="54" t="s">
        <v>34</v>
      </c>
      <c r="F875" s="118" t="s">
        <v>1331</v>
      </c>
      <c r="G875" s="56" t="s">
        <v>36</v>
      </c>
      <c r="H875" s="57" t="s">
        <v>37</v>
      </c>
      <c r="I875" s="53" t="s">
        <v>1332</v>
      </c>
      <c r="J875" s="57">
        <v>840</v>
      </c>
      <c r="K875" s="58"/>
      <c r="L875" s="88">
        <f>1-1+1</f>
        <v>1</v>
      </c>
      <c r="M875" s="60">
        <f>1-1+1</f>
        <v>1</v>
      </c>
      <c r="N875" s="61"/>
      <c r="O875" s="61"/>
      <c r="P875" s="62"/>
      <c r="Q875" s="62"/>
      <c r="R875" s="62"/>
      <c r="S875" s="62"/>
      <c r="T875" s="62"/>
      <c r="U875" s="62"/>
      <c r="V875" s="62"/>
      <c r="W875" s="63"/>
      <c r="X875" s="63"/>
      <c r="Z875" s="63"/>
      <c r="AA875" s="54"/>
      <c r="AB875" s="54"/>
      <c r="AC875" s="113"/>
    </row>
    <row r="876" spans="1:29" ht="60" hidden="1" customHeight="1" x14ac:dyDescent="0.2">
      <c r="A876" s="69" t="s">
        <v>1334</v>
      </c>
      <c r="B876" s="74"/>
      <c r="C876" s="66" t="s">
        <v>40</v>
      </c>
      <c r="D876" s="57" t="s">
        <v>1312</v>
      </c>
      <c r="E876" s="68" t="s">
        <v>34</v>
      </c>
      <c r="F876" s="118" t="s">
        <v>1331</v>
      </c>
      <c r="G876" s="56" t="s">
        <v>36</v>
      </c>
      <c r="H876" s="57" t="s">
        <v>37</v>
      </c>
      <c r="I876" s="53" t="s">
        <v>1332</v>
      </c>
      <c r="J876" s="57">
        <v>840</v>
      </c>
      <c r="K876" s="58"/>
      <c r="L876" s="88">
        <f t="shared" si="70"/>
        <v>0</v>
      </c>
      <c r="M876" s="60">
        <f t="shared" si="70"/>
        <v>0</v>
      </c>
      <c r="N876" s="61"/>
      <c r="O876" s="61"/>
      <c r="P876" s="62"/>
      <c r="Q876" s="62"/>
      <c r="R876" s="62"/>
      <c r="S876" s="62"/>
      <c r="T876" s="62"/>
      <c r="U876" s="62"/>
      <c r="V876" s="62"/>
      <c r="W876" s="63"/>
      <c r="X876" s="63"/>
      <c r="Z876" s="63"/>
      <c r="AA876" s="54"/>
      <c r="AB876" s="54"/>
      <c r="AC876" s="113"/>
    </row>
    <row r="877" spans="1:29" ht="60" customHeight="1" x14ac:dyDescent="0.2">
      <c r="A877" s="69" t="s">
        <v>1335</v>
      </c>
      <c r="B877" s="74"/>
      <c r="C877" s="66" t="s">
        <v>360</v>
      </c>
      <c r="D877" s="57" t="s">
        <v>1312</v>
      </c>
      <c r="E877" s="54" t="s">
        <v>34</v>
      </c>
      <c r="F877" s="118" t="s">
        <v>1331</v>
      </c>
      <c r="G877" s="56" t="s">
        <v>36</v>
      </c>
      <c r="H877" s="57" t="s">
        <v>37</v>
      </c>
      <c r="I877" s="53" t="s">
        <v>1332</v>
      </c>
      <c r="J877" s="57">
        <v>840</v>
      </c>
      <c r="K877" s="58"/>
      <c r="L877" s="88">
        <f>30-3</f>
        <v>27</v>
      </c>
      <c r="M877" s="60">
        <f>30-3</f>
        <v>27</v>
      </c>
      <c r="N877" s="61"/>
      <c r="O877" s="61"/>
      <c r="P877" s="62"/>
      <c r="Q877" s="62"/>
      <c r="R877" s="62"/>
      <c r="S877" s="62"/>
      <c r="T877" s="62"/>
      <c r="U877" s="62"/>
      <c r="V877" s="62"/>
      <c r="W877" s="63"/>
      <c r="X877" s="63"/>
      <c r="Z877" s="63"/>
      <c r="AA877" s="54"/>
      <c r="AB877" s="54"/>
      <c r="AC877" s="113"/>
    </row>
    <row r="878" spans="1:29" ht="60" hidden="1" customHeight="1" x14ac:dyDescent="0.2">
      <c r="A878" s="69" t="s">
        <v>1336</v>
      </c>
      <c r="B878" s="74"/>
      <c r="C878" s="66" t="s">
        <v>203</v>
      </c>
      <c r="D878" s="57" t="s">
        <v>1312</v>
      </c>
      <c r="E878" s="54" t="s">
        <v>34</v>
      </c>
      <c r="F878" s="118" t="s">
        <v>1331</v>
      </c>
      <c r="G878" s="56" t="s">
        <v>36</v>
      </c>
      <c r="H878" s="57" t="s">
        <v>37</v>
      </c>
      <c r="I878" s="53" t="s">
        <v>1332</v>
      </c>
      <c r="J878" s="57">
        <v>840</v>
      </c>
      <c r="K878" s="58"/>
      <c r="L878" s="88">
        <f>1-1</f>
        <v>0</v>
      </c>
      <c r="M878" s="60">
        <f>1-1</f>
        <v>0</v>
      </c>
      <c r="N878" s="61"/>
      <c r="O878" s="61"/>
      <c r="P878" s="62"/>
      <c r="Q878" s="62"/>
      <c r="R878" s="62"/>
      <c r="S878" s="62"/>
      <c r="T878" s="62"/>
      <c r="U878" s="62"/>
      <c r="V878" s="62"/>
      <c r="W878" s="63"/>
      <c r="X878" s="63"/>
      <c r="Z878" s="63"/>
      <c r="AA878" s="54"/>
      <c r="AB878" s="54"/>
      <c r="AC878" s="113"/>
    </row>
    <row r="879" spans="1:29" ht="60" hidden="1" customHeight="1" x14ac:dyDescent="0.2">
      <c r="A879" s="50" t="s">
        <v>1337</v>
      </c>
      <c r="B879" s="74"/>
      <c r="C879" s="66" t="s">
        <v>511</v>
      </c>
      <c r="D879" s="57" t="s">
        <v>1338</v>
      </c>
      <c r="E879" s="54" t="s">
        <v>34</v>
      </c>
      <c r="F879" s="117" t="s">
        <v>1339</v>
      </c>
      <c r="G879" s="67" t="s">
        <v>1340</v>
      </c>
      <c r="H879" s="57" t="s">
        <v>37</v>
      </c>
      <c r="I879" s="55" t="s">
        <v>51</v>
      </c>
      <c r="J879" s="57" t="e">
        <f>ROUND(#REF!*2,-1)</f>
        <v>#REF!</v>
      </c>
      <c r="K879" s="58"/>
      <c r="L879" s="114">
        <f>1-1</f>
        <v>0</v>
      </c>
      <c r="M879" s="60"/>
      <c r="N879" s="61"/>
      <c r="O879" s="61"/>
      <c r="P879" s="77"/>
      <c r="Q879" s="77">
        <f>1-1</f>
        <v>0</v>
      </c>
      <c r="R879" s="77">
        <f>3-3</f>
        <v>0</v>
      </c>
      <c r="S879" s="77">
        <f>1-1</f>
        <v>0</v>
      </c>
      <c r="T879" s="119"/>
      <c r="U879" s="77"/>
      <c r="V879" s="62"/>
      <c r="W879" s="63"/>
      <c r="X879" s="63"/>
      <c r="Z879" s="63"/>
      <c r="AA879" s="54"/>
      <c r="AB879" s="54"/>
      <c r="AC879" s="113"/>
    </row>
    <row r="880" spans="1:29" ht="60" hidden="1" customHeight="1" x14ac:dyDescent="0.2">
      <c r="A880" s="50" t="s">
        <v>1341</v>
      </c>
      <c r="B880" s="74"/>
      <c r="C880" s="66" t="s">
        <v>142</v>
      </c>
      <c r="D880" s="57" t="s">
        <v>1338</v>
      </c>
      <c r="E880" s="54" t="s">
        <v>34</v>
      </c>
      <c r="F880" s="117" t="s">
        <v>1339</v>
      </c>
      <c r="G880" s="67" t="s">
        <v>1340</v>
      </c>
      <c r="H880" s="57" t="s">
        <v>37</v>
      </c>
      <c r="I880" s="55" t="s">
        <v>51</v>
      </c>
      <c r="J880" s="57" t="e">
        <f>ROUND(#REF!*2,-1)</f>
        <v>#REF!</v>
      </c>
      <c r="K880" s="58"/>
      <c r="L880" s="114">
        <f>1-1</f>
        <v>0</v>
      </c>
      <c r="M880" s="60"/>
      <c r="N880" s="61"/>
      <c r="O880" s="61"/>
      <c r="P880" s="77"/>
      <c r="Q880" s="77">
        <f>7-7</f>
        <v>0</v>
      </c>
      <c r="R880" s="77">
        <f>2-2</f>
        <v>0</v>
      </c>
      <c r="S880" s="77">
        <f>1-1</f>
        <v>0</v>
      </c>
      <c r="T880" s="119"/>
      <c r="U880" s="77"/>
      <c r="V880" s="62"/>
      <c r="W880" s="63"/>
      <c r="X880" s="63"/>
      <c r="Z880" s="63"/>
      <c r="AA880" s="113"/>
      <c r="AB880" s="113"/>
      <c r="AC880" s="113"/>
    </row>
    <row r="881" spans="1:29" ht="60" hidden="1" customHeight="1" x14ac:dyDescent="0.2">
      <c r="A881" s="50" t="s">
        <v>1342</v>
      </c>
      <c r="B881" s="74"/>
      <c r="C881" s="66" t="s">
        <v>365</v>
      </c>
      <c r="D881" s="57" t="s">
        <v>1338</v>
      </c>
      <c r="E881" s="54" t="s">
        <v>34</v>
      </c>
      <c r="F881" s="117" t="s">
        <v>1339</v>
      </c>
      <c r="G881" s="67" t="s">
        <v>1340</v>
      </c>
      <c r="H881" s="57" t="s">
        <v>60</v>
      </c>
      <c r="I881" s="55" t="s">
        <v>51</v>
      </c>
      <c r="J881" s="57" t="e">
        <f>ROUND(#REF!*2,-1)</f>
        <v>#REF!</v>
      </c>
      <c r="K881" s="58"/>
      <c r="L881" s="114">
        <f>1-1</f>
        <v>0</v>
      </c>
      <c r="M881" s="60"/>
      <c r="N881" s="61"/>
      <c r="O881" s="61"/>
      <c r="P881" s="77"/>
      <c r="Q881" s="77">
        <f>1-1</f>
        <v>0</v>
      </c>
      <c r="R881" s="77">
        <f>2-2</f>
        <v>0</v>
      </c>
      <c r="S881" s="77">
        <f>1-1</f>
        <v>0</v>
      </c>
      <c r="T881" s="77"/>
      <c r="U881" s="77"/>
      <c r="V881" s="62"/>
      <c r="W881" s="63"/>
      <c r="X881" s="63"/>
      <c r="Z881" s="63"/>
      <c r="AA881" s="113"/>
      <c r="AB881" s="113"/>
      <c r="AC881" s="113"/>
    </row>
    <row r="882" spans="1:29" ht="60" customHeight="1" x14ac:dyDescent="0.2">
      <c r="A882" s="69" t="s">
        <v>1343</v>
      </c>
      <c r="B882" s="74"/>
      <c r="C882" s="66" t="s">
        <v>1344</v>
      </c>
      <c r="D882" s="57" t="s">
        <v>1345</v>
      </c>
      <c r="E882" s="54" t="s">
        <v>34</v>
      </c>
      <c r="F882" s="118" t="s">
        <v>1346</v>
      </c>
      <c r="G882" s="56" t="s">
        <v>36</v>
      </c>
      <c r="H882" s="57" t="s">
        <v>60</v>
      </c>
      <c r="I882" s="55" t="s">
        <v>38</v>
      </c>
      <c r="J882" s="106">
        <v>2000</v>
      </c>
      <c r="K882" s="58"/>
      <c r="L882" s="88">
        <f>1-1+1+1</f>
        <v>2</v>
      </c>
      <c r="M882" s="60"/>
      <c r="N882" s="61"/>
      <c r="O882" s="61"/>
      <c r="P882" s="62"/>
      <c r="Q882" s="62"/>
      <c r="R882" s="62">
        <f>1-1+1</f>
        <v>1</v>
      </c>
      <c r="S882" s="62">
        <f>1-1</f>
        <v>0</v>
      </c>
      <c r="T882" s="62">
        <f>1-1+1</f>
        <v>1</v>
      </c>
      <c r="U882" s="62"/>
      <c r="V882" s="62"/>
      <c r="W882" s="63"/>
      <c r="X882" s="63"/>
      <c r="Z882" s="63"/>
      <c r="AA882" s="113"/>
      <c r="AB882" s="113"/>
      <c r="AC882" s="113"/>
    </row>
    <row r="883" spans="1:29" ht="60" customHeight="1" x14ac:dyDescent="0.2">
      <c r="A883" s="69" t="s">
        <v>1347</v>
      </c>
      <c r="B883" s="74"/>
      <c r="C883" s="66" t="s">
        <v>1348</v>
      </c>
      <c r="D883" s="57" t="s">
        <v>1345</v>
      </c>
      <c r="E883" s="54" t="s">
        <v>34</v>
      </c>
      <c r="F883" s="118" t="s">
        <v>1346</v>
      </c>
      <c r="G883" s="56" t="s">
        <v>36</v>
      </c>
      <c r="H883" s="57" t="s">
        <v>60</v>
      </c>
      <c r="I883" s="55" t="s">
        <v>38</v>
      </c>
      <c r="J883" s="106">
        <v>2000</v>
      </c>
      <c r="K883" s="58"/>
      <c r="L883" s="88">
        <f>1-1+2</f>
        <v>2</v>
      </c>
      <c r="M883" s="60"/>
      <c r="N883" s="61"/>
      <c r="O883" s="61"/>
      <c r="P883" s="62"/>
      <c r="Q883" s="62"/>
      <c r="R883" s="62">
        <f>1-1</f>
        <v>0</v>
      </c>
      <c r="S883" s="62">
        <f>1-1+1</f>
        <v>1</v>
      </c>
      <c r="T883" s="62">
        <f>1-1+1</f>
        <v>1</v>
      </c>
      <c r="U883" s="62"/>
      <c r="V883" s="62"/>
      <c r="W883" s="63"/>
      <c r="X883" s="63"/>
      <c r="Z883" s="63"/>
      <c r="AA883" s="113"/>
      <c r="AB883" s="113"/>
      <c r="AC883" s="113"/>
    </row>
    <row r="884" spans="1:29" ht="25.5" x14ac:dyDescent="0.2">
      <c r="A884" s="50" t="s">
        <v>1349</v>
      </c>
      <c r="B884" s="51" t="s">
        <v>329</v>
      </c>
      <c r="C884" s="54" t="s">
        <v>1350</v>
      </c>
      <c r="D884" s="53" t="s">
        <v>48</v>
      </c>
      <c r="E884" s="54" t="s">
        <v>1351</v>
      </c>
      <c r="F884" s="55" t="s">
        <v>49</v>
      </c>
      <c r="G884" s="56" t="s">
        <v>36</v>
      </c>
      <c r="H884" s="57" t="s">
        <v>37</v>
      </c>
      <c r="I884" s="53" t="s">
        <v>637</v>
      </c>
      <c r="J884" s="57" t="e">
        <f>ROUND(#REF!*2.4,-1)</f>
        <v>#REF!</v>
      </c>
      <c r="K884" s="58"/>
      <c r="L884" s="114">
        <f>9-1+1+2</f>
        <v>11</v>
      </c>
      <c r="M884" s="60"/>
      <c r="N884" s="61"/>
      <c r="O884" s="61"/>
      <c r="P884" s="77"/>
      <c r="Q884" s="77">
        <f>3</f>
        <v>3</v>
      </c>
      <c r="R884" s="77">
        <f>4-1+1</f>
        <v>4</v>
      </c>
      <c r="S884" s="77">
        <f>1+1</f>
        <v>2</v>
      </c>
      <c r="T884" s="77">
        <f>1</f>
        <v>1</v>
      </c>
      <c r="U884" s="77">
        <f>1</f>
        <v>1</v>
      </c>
      <c r="V884" s="62"/>
      <c r="W884" s="63"/>
      <c r="X884" s="63"/>
      <c r="Z884" s="63"/>
      <c r="AA884" s="113"/>
      <c r="AB884" s="113"/>
      <c r="AC884" s="113"/>
    </row>
    <row r="885" spans="1:29" ht="25.5" x14ac:dyDescent="0.2">
      <c r="A885" s="50" t="s">
        <v>1352</v>
      </c>
      <c r="B885" s="74"/>
      <c r="C885" s="54" t="s">
        <v>572</v>
      </c>
      <c r="D885" s="53" t="s">
        <v>48</v>
      </c>
      <c r="E885" s="54" t="s">
        <v>1351</v>
      </c>
      <c r="F885" s="55" t="s">
        <v>49</v>
      </c>
      <c r="G885" s="56" t="s">
        <v>36</v>
      </c>
      <c r="H885" s="57" t="s">
        <v>37</v>
      </c>
      <c r="I885" s="53" t="s">
        <v>637</v>
      </c>
      <c r="J885" s="57" t="e">
        <f>ROUND(#REF!*2.4,-1)</f>
        <v>#REF!</v>
      </c>
      <c r="K885" s="58"/>
      <c r="L885" s="114">
        <f>0+1</f>
        <v>1</v>
      </c>
      <c r="M885" s="60"/>
      <c r="N885" s="61"/>
      <c r="O885" s="61"/>
      <c r="P885" s="77"/>
      <c r="Q885" s="77">
        <f>1</f>
        <v>1</v>
      </c>
      <c r="R885" s="77"/>
      <c r="S885" s="77"/>
      <c r="T885" s="77"/>
      <c r="U885" s="77"/>
      <c r="V885" s="62"/>
      <c r="W885" s="63"/>
      <c r="X885" s="63"/>
      <c r="Z885" s="63"/>
      <c r="AA885" s="113"/>
      <c r="AB885" s="113"/>
      <c r="AC885" s="113"/>
    </row>
    <row r="886" spans="1:29" ht="60" customHeight="1" x14ac:dyDescent="0.2">
      <c r="A886" s="50" t="s">
        <v>1353</v>
      </c>
      <c r="B886" s="74"/>
      <c r="C886" s="54" t="s">
        <v>1354</v>
      </c>
      <c r="D886" s="53" t="s">
        <v>48</v>
      </c>
      <c r="E886" s="54" t="s">
        <v>1355</v>
      </c>
      <c r="F886" s="55" t="s">
        <v>49</v>
      </c>
      <c r="G886" s="56" t="s">
        <v>36</v>
      </c>
      <c r="H886" s="57" t="s">
        <v>344</v>
      </c>
      <c r="I886" s="53" t="s">
        <v>637</v>
      </c>
      <c r="J886" s="57">
        <v>620</v>
      </c>
      <c r="K886" s="58"/>
      <c r="L886" s="114">
        <f>1-1+1</f>
        <v>1</v>
      </c>
      <c r="M886" s="60"/>
      <c r="N886" s="61"/>
      <c r="O886" s="61"/>
      <c r="P886" s="77"/>
      <c r="Q886" s="77"/>
      <c r="R886" s="77"/>
      <c r="S886" s="77"/>
      <c r="T886" s="77">
        <f>1-1+1</f>
        <v>1</v>
      </c>
      <c r="U886" s="77"/>
      <c r="V886" s="62"/>
      <c r="W886" s="63"/>
      <c r="X886" s="63"/>
      <c r="Z886" s="63"/>
      <c r="AA886" s="113"/>
      <c r="AB886" s="113"/>
      <c r="AC886" s="113"/>
    </row>
    <row r="887" spans="1:29" ht="60" hidden="1" customHeight="1" x14ac:dyDescent="0.2">
      <c r="A887" s="50" t="s">
        <v>1356</v>
      </c>
      <c r="B887" s="74"/>
      <c r="C887" s="54" t="s">
        <v>1357</v>
      </c>
      <c r="D887" s="53" t="s">
        <v>48</v>
      </c>
      <c r="E887" s="54" t="s">
        <v>1355</v>
      </c>
      <c r="F887" s="55" t="s">
        <v>49</v>
      </c>
      <c r="G887" s="56" t="s">
        <v>36</v>
      </c>
      <c r="H887" s="57" t="s">
        <v>340</v>
      </c>
      <c r="I887" s="53" t="s">
        <v>637</v>
      </c>
      <c r="J887" s="57">
        <v>620</v>
      </c>
      <c r="K887" s="58"/>
      <c r="L887" s="114">
        <f>2-2</f>
        <v>0</v>
      </c>
      <c r="M887" s="60"/>
      <c r="N887" s="61"/>
      <c r="O887" s="61"/>
      <c r="P887" s="77"/>
      <c r="Q887" s="77">
        <f>1-1</f>
        <v>0</v>
      </c>
      <c r="R887" s="77">
        <f>1-1</f>
        <v>0</v>
      </c>
      <c r="S887" s="77">
        <f>1-1</f>
        <v>0</v>
      </c>
      <c r="T887" s="77">
        <f>2-2</f>
        <v>0</v>
      </c>
      <c r="U887" s="77">
        <f>1-1</f>
        <v>0</v>
      </c>
      <c r="V887" s="62"/>
      <c r="W887" s="63"/>
      <c r="X887" s="63"/>
      <c r="Z887" s="63"/>
      <c r="AA887" s="113"/>
      <c r="AB887" s="113"/>
      <c r="AC887" s="113"/>
    </row>
    <row r="888" spans="1:29" ht="60" hidden="1" customHeight="1" x14ac:dyDescent="0.2">
      <c r="A888" s="50" t="s">
        <v>1358</v>
      </c>
      <c r="B888" s="74"/>
      <c r="C888" s="54" t="s">
        <v>1357</v>
      </c>
      <c r="D888" s="53" t="s">
        <v>48</v>
      </c>
      <c r="E888" s="54" t="s">
        <v>1355</v>
      </c>
      <c r="F888" s="55" t="s">
        <v>49</v>
      </c>
      <c r="G888" s="56" t="s">
        <v>36</v>
      </c>
      <c r="H888" s="57" t="s">
        <v>123</v>
      </c>
      <c r="I888" s="53" t="s">
        <v>637</v>
      </c>
      <c r="J888" s="57">
        <v>620</v>
      </c>
      <c r="K888" s="58"/>
      <c r="L888" s="114">
        <f>1-1</f>
        <v>0</v>
      </c>
      <c r="M888" s="60"/>
      <c r="N888" s="61"/>
      <c r="O888" s="61"/>
      <c r="P888" s="77"/>
      <c r="Q888" s="77">
        <f>1-1</f>
        <v>0</v>
      </c>
      <c r="R888" s="77">
        <f>2-2</f>
        <v>0</v>
      </c>
      <c r="S888" s="77">
        <f>1-1</f>
        <v>0</v>
      </c>
      <c r="T888" s="77">
        <f>1-1</f>
        <v>0</v>
      </c>
      <c r="U888" s="77">
        <f>2-2</f>
        <v>0</v>
      </c>
      <c r="V888" s="62"/>
      <c r="W888" s="63"/>
      <c r="X888" s="63"/>
      <c r="Z888" s="63"/>
      <c r="AA888" s="113"/>
      <c r="AB888" s="113"/>
      <c r="AC888" s="113"/>
    </row>
    <row r="889" spans="1:29" ht="60" hidden="1" customHeight="1" x14ac:dyDescent="0.2">
      <c r="A889" s="50" t="s">
        <v>1359</v>
      </c>
      <c r="B889" s="74"/>
      <c r="C889" s="54" t="s">
        <v>1360</v>
      </c>
      <c r="D889" s="53" t="s">
        <v>48</v>
      </c>
      <c r="E889" s="54" t="s">
        <v>1355</v>
      </c>
      <c r="F889" s="55" t="s">
        <v>49</v>
      </c>
      <c r="G889" s="67" t="s">
        <v>50</v>
      </c>
      <c r="H889" s="57" t="s">
        <v>344</v>
      </c>
      <c r="I889" s="53" t="s">
        <v>637</v>
      </c>
      <c r="J889" s="57" t="e">
        <f>ROUND(#REF!*2.4,-1)</f>
        <v>#REF!</v>
      </c>
      <c r="K889" s="58"/>
      <c r="L889" s="114">
        <v>0</v>
      </c>
      <c r="M889" s="60"/>
      <c r="N889" s="61"/>
      <c r="O889" s="61"/>
      <c r="P889" s="77"/>
      <c r="Q889" s="77"/>
      <c r="R889" s="77"/>
      <c r="S889" s="77"/>
      <c r="T889" s="77"/>
      <c r="U889" s="77"/>
      <c r="V889" s="62"/>
      <c r="W889" s="63"/>
      <c r="X889" s="63"/>
      <c r="Z889" s="63"/>
      <c r="AA889" s="113"/>
      <c r="AB889" s="113"/>
      <c r="AC889" s="113"/>
    </row>
    <row r="890" spans="1:29" ht="51" x14ac:dyDescent="0.2">
      <c r="A890" s="50" t="s">
        <v>1361</v>
      </c>
      <c r="B890" s="74" t="s">
        <v>329</v>
      </c>
      <c r="C890" s="87" t="s">
        <v>1362</v>
      </c>
      <c r="D890" s="53" t="s">
        <v>58</v>
      </c>
      <c r="E890" s="54" t="s">
        <v>1363</v>
      </c>
      <c r="F890" s="67" t="s">
        <v>1364</v>
      </c>
      <c r="G890" s="56" t="s">
        <v>36</v>
      </c>
      <c r="H890" s="57" t="s">
        <v>378</v>
      </c>
      <c r="I890" s="55" t="s">
        <v>1365</v>
      </c>
      <c r="J890" s="57" t="e">
        <f>ROUND(#REF!*2.4,-1)</f>
        <v>#REF!</v>
      </c>
      <c r="K890" s="58"/>
      <c r="L890" s="114">
        <v>1</v>
      </c>
      <c r="M890" s="60"/>
      <c r="N890" s="61"/>
      <c r="O890" s="61"/>
      <c r="P890" s="77"/>
      <c r="Q890" s="77"/>
      <c r="R890" s="77"/>
      <c r="S890" s="77">
        <v>1</v>
      </c>
      <c r="T890" s="77"/>
      <c r="U890" s="77"/>
      <c r="V890" s="62"/>
      <c r="W890" s="63"/>
      <c r="X890" s="63"/>
      <c r="Z890" s="63"/>
      <c r="AA890" s="113"/>
      <c r="AB890" s="113"/>
      <c r="AC890" s="113"/>
    </row>
    <row r="891" spans="1:29" x14ac:dyDescent="0.2">
      <c r="A891" s="50" t="s">
        <v>1366</v>
      </c>
      <c r="B891" s="74"/>
      <c r="C891" s="87" t="s">
        <v>1367</v>
      </c>
      <c r="D891" s="53"/>
      <c r="E891" s="54"/>
      <c r="F891" s="67"/>
      <c r="G891" s="67"/>
      <c r="H891" s="57"/>
      <c r="I891" s="55"/>
      <c r="J891" s="57"/>
      <c r="K891" s="58"/>
      <c r="L891" s="114">
        <f>2-1+1</f>
        <v>2</v>
      </c>
      <c r="M891" s="60"/>
      <c r="N891" s="61"/>
      <c r="O891" s="61"/>
      <c r="P891" s="77"/>
      <c r="Q891" s="77"/>
      <c r="R891" s="77">
        <f>1</f>
        <v>1</v>
      </c>
      <c r="S891" s="77">
        <f>1-1+1</f>
        <v>1</v>
      </c>
      <c r="T891" s="77"/>
      <c r="U891" s="77"/>
      <c r="V891" s="62"/>
      <c r="W891" s="63"/>
      <c r="X891" s="63"/>
      <c r="Z891" s="63"/>
      <c r="AA891" s="113"/>
      <c r="AB891" s="113"/>
      <c r="AC891" s="113"/>
    </row>
    <row r="892" spans="1:29" x14ac:dyDescent="0.2">
      <c r="A892" s="50" t="s">
        <v>1368</v>
      </c>
      <c r="B892" s="74"/>
      <c r="C892" s="87" t="s">
        <v>1369</v>
      </c>
      <c r="D892" s="53"/>
      <c r="E892" s="54"/>
      <c r="F892" s="67"/>
      <c r="G892" s="67"/>
      <c r="H892" s="57"/>
      <c r="I892" s="55"/>
      <c r="J892" s="57"/>
      <c r="K892" s="58"/>
      <c r="L892" s="114">
        <f>2</f>
        <v>2</v>
      </c>
      <c r="M892" s="60"/>
      <c r="N892" s="61"/>
      <c r="O892" s="61"/>
      <c r="P892" s="77"/>
      <c r="Q892" s="77"/>
      <c r="R892" s="77"/>
      <c r="S892" s="77">
        <f>2</f>
        <v>2</v>
      </c>
      <c r="T892" s="77"/>
      <c r="U892" s="77"/>
      <c r="V892" s="62"/>
      <c r="W892" s="63"/>
      <c r="X892" s="63"/>
      <c r="Z892" s="63"/>
      <c r="AA892" s="113"/>
      <c r="AB892" s="113"/>
      <c r="AC892" s="113"/>
    </row>
    <row r="893" spans="1:29" x14ac:dyDescent="0.2">
      <c r="A893" s="50" t="s">
        <v>1370</v>
      </c>
      <c r="B893" s="74"/>
      <c r="C893" s="87" t="s">
        <v>1371</v>
      </c>
      <c r="D893" s="53"/>
      <c r="E893" s="54"/>
      <c r="F893" s="67"/>
      <c r="G893" s="67"/>
      <c r="H893" s="57"/>
      <c r="I893" s="55"/>
      <c r="J893" s="57"/>
      <c r="K893" s="58"/>
      <c r="L893" s="114">
        <f>1+1</f>
        <v>2</v>
      </c>
      <c r="M893" s="60"/>
      <c r="N893" s="61"/>
      <c r="O893" s="61"/>
      <c r="P893" s="77"/>
      <c r="Q893" s="77"/>
      <c r="R893" s="77">
        <f>1</f>
        <v>1</v>
      </c>
      <c r="S893" s="77">
        <f>1</f>
        <v>1</v>
      </c>
      <c r="T893" s="77"/>
      <c r="U893" s="77"/>
      <c r="V893" s="62"/>
      <c r="W893" s="63"/>
      <c r="X893" s="63"/>
      <c r="Z893" s="63"/>
      <c r="AA893" s="113"/>
      <c r="AB893" s="113"/>
      <c r="AC893" s="113"/>
    </row>
    <row r="894" spans="1:29" x14ac:dyDescent="0.2">
      <c r="A894" s="50" t="s">
        <v>1372</v>
      </c>
      <c r="B894" s="74"/>
      <c r="C894" s="87" t="s">
        <v>1373</v>
      </c>
      <c r="D894" s="53"/>
      <c r="E894" s="54"/>
      <c r="F894" s="67"/>
      <c r="G894" s="67"/>
      <c r="H894" s="57"/>
      <c r="I894" s="55"/>
      <c r="J894" s="57"/>
      <c r="K894" s="58"/>
      <c r="L894" s="114">
        <f>2-1</f>
        <v>1</v>
      </c>
      <c r="M894" s="60"/>
      <c r="N894" s="61"/>
      <c r="O894" s="61"/>
      <c r="P894" s="77"/>
      <c r="Q894" s="77"/>
      <c r="R894" s="77">
        <f>2-1</f>
        <v>1</v>
      </c>
      <c r="S894" s="77"/>
      <c r="T894" s="77"/>
      <c r="U894" s="77"/>
      <c r="V894" s="62"/>
      <c r="W894" s="63"/>
      <c r="X894" s="63"/>
      <c r="Z894" s="63"/>
      <c r="AA894" s="113"/>
      <c r="AB894" s="113"/>
      <c r="AC894" s="113"/>
    </row>
    <row r="895" spans="1:29" x14ac:dyDescent="0.2">
      <c r="A895" s="50" t="s">
        <v>1374</v>
      </c>
      <c r="B895" s="74"/>
      <c r="C895" s="87" t="s">
        <v>1375</v>
      </c>
      <c r="D895" s="53"/>
      <c r="E895" s="54"/>
      <c r="F895" s="67"/>
      <c r="G895" s="67"/>
      <c r="H895" s="57"/>
      <c r="I895" s="55"/>
      <c r="J895" s="57"/>
      <c r="K895" s="58"/>
      <c r="L895" s="114">
        <f>4+1</f>
        <v>5</v>
      </c>
      <c r="M895" s="60"/>
      <c r="N895" s="61"/>
      <c r="O895" s="61"/>
      <c r="P895" s="77"/>
      <c r="Q895" s="77"/>
      <c r="R895" s="77">
        <f>2+1</f>
        <v>3</v>
      </c>
      <c r="S895" s="77">
        <f>2</f>
        <v>2</v>
      </c>
      <c r="T895" s="77"/>
      <c r="U895" s="77"/>
      <c r="V895" s="62"/>
      <c r="W895" s="63"/>
      <c r="X895" s="63"/>
      <c r="Z895" s="63"/>
      <c r="AA895" s="113"/>
      <c r="AB895" s="113"/>
      <c r="AC895" s="113"/>
    </row>
    <row r="896" spans="1:29" x14ac:dyDescent="0.2">
      <c r="A896" s="50" t="s">
        <v>1376</v>
      </c>
      <c r="B896" s="74"/>
      <c r="C896" s="87" t="s">
        <v>1377</v>
      </c>
      <c r="D896" s="53"/>
      <c r="E896" s="54"/>
      <c r="F896" s="67"/>
      <c r="G896" s="67"/>
      <c r="H896" s="57"/>
      <c r="I896" s="55"/>
      <c r="J896" s="57"/>
      <c r="K896" s="58"/>
      <c r="L896" s="114">
        <f>5-1+1</f>
        <v>5</v>
      </c>
      <c r="M896" s="60"/>
      <c r="N896" s="61"/>
      <c r="O896" s="61"/>
      <c r="P896" s="77"/>
      <c r="Q896" s="77"/>
      <c r="R896" s="77">
        <f>3-1+1</f>
        <v>3</v>
      </c>
      <c r="S896" s="77">
        <f>1+1</f>
        <v>2</v>
      </c>
      <c r="T896" s="77"/>
      <c r="U896" s="77"/>
      <c r="V896" s="62"/>
      <c r="W896" s="63"/>
      <c r="X896" s="63"/>
      <c r="Z896" s="63"/>
      <c r="AA896" s="113"/>
      <c r="AB896" s="113"/>
      <c r="AC896" s="113"/>
    </row>
    <row r="897" spans="1:29" x14ac:dyDescent="0.2">
      <c r="A897" s="50" t="s">
        <v>1378</v>
      </c>
      <c r="B897" s="74"/>
      <c r="C897" s="87" t="s">
        <v>1379</v>
      </c>
      <c r="D897" s="53"/>
      <c r="E897" s="54"/>
      <c r="F897" s="67"/>
      <c r="G897" s="67"/>
      <c r="H897" s="57"/>
      <c r="I897" s="55"/>
      <c r="J897" s="57"/>
      <c r="K897" s="58"/>
      <c r="L897" s="114">
        <f>2+1</f>
        <v>3</v>
      </c>
      <c r="M897" s="60"/>
      <c r="N897" s="61"/>
      <c r="O897" s="61"/>
      <c r="P897" s="77"/>
      <c r="Q897" s="77"/>
      <c r="R897" s="77">
        <f>1+1</f>
        <v>2</v>
      </c>
      <c r="S897" s="77">
        <f>1</f>
        <v>1</v>
      </c>
      <c r="T897" s="77"/>
      <c r="U897" s="77"/>
      <c r="V897" s="62"/>
      <c r="W897" s="63"/>
      <c r="X897" s="63"/>
      <c r="Z897" s="63"/>
      <c r="AA897" s="113"/>
      <c r="AB897" s="113"/>
      <c r="AC897" s="113"/>
    </row>
    <row r="898" spans="1:29" x14ac:dyDescent="0.2">
      <c r="A898" s="50" t="s">
        <v>1380</v>
      </c>
      <c r="B898" s="74"/>
      <c r="C898" s="87" t="s">
        <v>1381</v>
      </c>
      <c r="D898" s="53"/>
      <c r="E898" s="54"/>
      <c r="F898" s="67"/>
      <c r="G898" s="67"/>
      <c r="H898" s="57"/>
      <c r="I898" s="55"/>
      <c r="J898" s="57"/>
      <c r="K898" s="58"/>
      <c r="L898" s="114">
        <f>2-1+1</f>
        <v>2</v>
      </c>
      <c r="M898" s="60"/>
      <c r="N898" s="61"/>
      <c r="O898" s="61"/>
      <c r="P898" s="77"/>
      <c r="Q898" s="77"/>
      <c r="R898" s="77">
        <f>2-1+1</f>
        <v>2</v>
      </c>
      <c r="S898" s="77">
        <f>1-1</f>
        <v>0</v>
      </c>
      <c r="T898" s="77"/>
      <c r="U898" s="77"/>
      <c r="V898" s="62"/>
      <c r="W898" s="63"/>
      <c r="X898" s="63"/>
      <c r="Z898" s="63"/>
      <c r="AA898" s="113"/>
      <c r="AB898" s="113"/>
      <c r="AC898" s="113"/>
    </row>
    <row r="899" spans="1:29" ht="25.5" x14ac:dyDescent="0.2">
      <c r="A899" s="50" t="s">
        <v>1382</v>
      </c>
      <c r="B899" s="74"/>
      <c r="C899" s="87" t="s">
        <v>1383</v>
      </c>
      <c r="D899" s="53"/>
      <c r="E899" s="54"/>
      <c r="F899" s="67"/>
      <c r="G899" s="67"/>
      <c r="H899" s="57"/>
      <c r="I899" s="55"/>
      <c r="J899" s="57"/>
      <c r="K899" s="58"/>
      <c r="L899" s="114">
        <f>3-1</f>
        <v>2</v>
      </c>
      <c r="M899" s="60"/>
      <c r="N899" s="61"/>
      <c r="O899" s="61"/>
      <c r="P899" s="77"/>
      <c r="Q899" s="77"/>
      <c r="R899" s="77">
        <f>2</f>
        <v>2</v>
      </c>
      <c r="S899" s="77">
        <f>1-1</f>
        <v>0</v>
      </c>
      <c r="T899" s="77"/>
      <c r="U899" s="77"/>
      <c r="V899" s="62"/>
      <c r="W899" s="63"/>
      <c r="X899" s="63"/>
      <c r="Z899" s="63"/>
      <c r="AA899" s="113"/>
      <c r="AB899" s="113"/>
      <c r="AC899" s="113"/>
    </row>
    <row r="900" spans="1:29" x14ac:dyDescent="0.2">
      <c r="A900" s="50" t="s">
        <v>1384</v>
      </c>
      <c r="B900" s="74"/>
      <c r="C900" s="87" t="s">
        <v>1385</v>
      </c>
      <c r="D900" s="53"/>
      <c r="E900" s="54"/>
      <c r="F900" s="67"/>
      <c r="G900" s="67"/>
      <c r="H900" s="57"/>
      <c r="I900" s="55"/>
      <c r="J900" s="57"/>
      <c r="K900" s="58"/>
      <c r="L900" s="114">
        <f>3-1</f>
        <v>2</v>
      </c>
      <c r="M900" s="60"/>
      <c r="N900" s="61"/>
      <c r="O900" s="61"/>
      <c r="P900" s="77"/>
      <c r="Q900" s="77"/>
      <c r="R900" s="77">
        <f>1</f>
        <v>1</v>
      </c>
      <c r="S900" s="77">
        <f>2-1</f>
        <v>1</v>
      </c>
      <c r="T900" s="77"/>
      <c r="U900" s="77"/>
      <c r="V900" s="62"/>
      <c r="W900" s="63"/>
      <c r="X900" s="63"/>
      <c r="Z900" s="63"/>
      <c r="AA900" s="113"/>
      <c r="AB900" s="113"/>
      <c r="AC900" s="113"/>
    </row>
    <row r="901" spans="1:29" x14ac:dyDescent="0.2">
      <c r="A901" s="50" t="s">
        <v>1386</v>
      </c>
      <c r="B901" s="74"/>
      <c r="C901" s="87" t="s">
        <v>1387</v>
      </c>
      <c r="D901" s="53"/>
      <c r="E901" s="54"/>
      <c r="F901" s="67"/>
      <c r="G901" s="67"/>
      <c r="H901" s="57"/>
      <c r="I901" s="55"/>
      <c r="J901" s="57"/>
      <c r="K901" s="58"/>
      <c r="L901" s="114">
        <f>3</f>
        <v>3</v>
      </c>
      <c r="M901" s="60"/>
      <c r="N901" s="61"/>
      <c r="O901" s="61"/>
      <c r="P901" s="77"/>
      <c r="Q901" s="77"/>
      <c r="R901" s="77">
        <f>2</f>
        <v>2</v>
      </c>
      <c r="S901" s="77">
        <f>1</f>
        <v>1</v>
      </c>
      <c r="T901" s="77"/>
      <c r="U901" s="77"/>
      <c r="V901" s="62"/>
      <c r="W901" s="63"/>
      <c r="X901" s="63"/>
      <c r="Z901" s="63"/>
      <c r="AA901" s="113"/>
      <c r="AB901" s="113"/>
      <c r="AC901" s="113"/>
    </row>
    <row r="902" spans="1:29" x14ac:dyDescent="0.2">
      <c r="A902" s="50" t="s">
        <v>1388</v>
      </c>
      <c r="B902" s="74"/>
      <c r="C902" s="66" t="s">
        <v>1389</v>
      </c>
      <c r="D902" s="53" t="s">
        <v>1390</v>
      </c>
      <c r="E902" s="68" t="s">
        <v>34</v>
      </c>
      <c r="F902" s="53" t="s">
        <v>1391</v>
      </c>
      <c r="G902" s="57" t="s">
        <v>1391</v>
      </c>
      <c r="H902" s="57" t="s">
        <v>1339</v>
      </c>
      <c r="I902" s="53" t="s">
        <v>1391</v>
      </c>
      <c r="J902" s="120">
        <v>199</v>
      </c>
      <c r="K902" s="58"/>
      <c r="L902" s="114">
        <f>84+1+1</f>
        <v>86</v>
      </c>
      <c r="M902" s="60">
        <f>84+1+1</f>
        <v>86</v>
      </c>
      <c r="N902" s="61"/>
      <c r="O902" s="61"/>
      <c r="P902" s="77"/>
      <c r="Q902" s="77"/>
      <c r="R902" s="77"/>
      <c r="S902" s="77"/>
      <c r="T902" s="77"/>
      <c r="U902" s="77"/>
      <c r="V902" s="62"/>
      <c r="W902" s="63"/>
      <c r="X902" s="63"/>
      <c r="Z902" s="63"/>
      <c r="AA902" s="113"/>
      <c r="AB902" s="113"/>
      <c r="AC902" s="113"/>
    </row>
    <row r="903" spans="1:29" ht="60" hidden="1" customHeight="1" x14ac:dyDescent="0.2">
      <c r="A903" s="50" t="s">
        <v>1392</v>
      </c>
      <c r="B903" s="74"/>
      <c r="C903" s="66" t="s">
        <v>1393</v>
      </c>
      <c r="D903" s="53" t="s">
        <v>1166</v>
      </c>
      <c r="E903" s="68" t="s">
        <v>1394</v>
      </c>
      <c r="F903" s="55" t="s">
        <v>1167</v>
      </c>
      <c r="G903" s="56" t="s">
        <v>36</v>
      </c>
      <c r="H903" s="57" t="s">
        <v>84</v>
      </c>
      <c r="I903" s="53" t="s">
        <v>637</v>
      </c>
      <c r="J903" s="106">
        <v>1580</v>
      </c>
      <c r="K903" s="58"/>
      <c r="L903" s="114"/>
      <c r="M903" s="60"/>
      <c r="N903" s="61"/>
      <c r="O903" s="61"/>
      <c r="P903" s="77"/>
      <c r="Q903" s="77"/>
      <c r="R903" s="77"/>
      <c r="S903" s="77"/>
      <c r="T903" s="77"/>
      <c r="U903" s="77"/>
      <c r="V903" s="62"/>
      <c r="W903" s="63"/>
      <c r="X903" s="63"/>
      <c r="Z903" s="63"/>
      <c r="AA903" s="113"/>
      <c r="AB903" s="113"/>
      <c r="AC903" s="113"/>
    </row>
    <row r="904" spans="1:29" ht="60" customHeight="1" x14ac:dyDescent="0.2">
      <c r="A904" s="50" t="s">
        <v>1395</v>
      </c>
      <c r="B904" s="74"/>
      <c r="C904" s="66" t="s">
        <v>1396</v>
      </c>
      <c r="D904" s="53" t="s">
        <v>48</v>
      </c>
      <c r="E904" s="68" t="s">
        <v>1394</v>
      </c>
      <c r="F904" s="55" t="s">
        <v>49</v>
      </c>
      <c r="G904" s="67" t="s">
        <v>50</v>
      </c>
      <c r="H904" s="57" t="s">
        <v>37</v>
      </c>
      <c r="I904" s="53" t="s">
        <v>637</v>
      </c>
      <c r="J904" s="106">
        <v>1120</v>
      </c>
      <c r="K904" s="58"/>
      <c r="L904" s="114">
        <f>6-1</f>
        <v>5</v>
      </c>
      <c r="M904" s="60"/>
      <c r="N904" s="61"/>
      <c r="O904" s="61"/>
      <c r="P904" s="77"/>
      <c r="Q904" s="77"/>
      <c r="R904" s="77">
        <v>2</v>
      </c>
      <c r="S904" s="77">
        <f>2-1</f>
        <v>1</v>
      </c>
      <c r="T904" s="77">
        <v>2</v>
      </c>
      <c r="U904" s="77"/>
      <c r="V904" s="62"/>
      <c r="W904" s="63"/>
      <c r="X904" s="63"/>
      <c r="Z904" s="63"/>
      <c r="AA904" s="113"/>
      <c r="AB904" s="113"/>
      <c r="AC904" s="113"/>
    </row>
    <row r="905" spans="1:29" ht="60" hidden="1" customHeight="1" x14ac:dyDescent="0.2">
      <c r="A905" s="50" t="s">
        <v>1397</v>
      </c>
      <c r="B905" s="74"/>
      <c r="C905" s="66" t="s">
        <v>1398</v>
      </c>
      <c r="D905" s="53" t="s">
        <v>48</v>
      </c>
      <c r="E905" s="68" t="s">
        <v>1394</v>
      </c>
      <c r="F905" s="55" t="s">
        <v>49</v>
      </c>
      <c r="G905" s="56" t="s">
        <v>36</v>
      </c>
      <c r="H905" s="57" t="s">
        <v>37</v>
      </c>
      <c r="I905" s="53" t="s">
        <v>637</v>
      </c>
      <c r="J905" s="106">
        <v>1340</v>
      </c>
      <c r="K905" s="58"/>
      <c r="L905" s="114"/>
      <c r="M905" s="60"/>
      <c r="N905" s="61"/>
      <c r="O905" s="61"/>
      <c r="P905" s="77"/>
      <c r="Q905" s="77"/>
      <c r="R905" s="77"/>
      <c r="S905" s="77"/>
      <c r="T905" s="77"/>
      <c r="U905" s="77"/>
      <c r="V905" s="62"/>
      <c r="W905" s="63"/>
      <c r="X905" s="63"/>
      <c r="Z905" s="63"/>
      <c r="AA905" s="113"/>
      <c r="AB905" s="113"/>
      <c r="AC905" s="113"/>
    </row>
    <row r="906" spans="1:29" ht="60" hidden="1" customHeight="1" x14ac:dyDescent="0.2">
      <c r="A906" s="50" t="s">
        <v>1399</v>
      </c>
      <c r="B906" s="74"/>
      <c r="C906" s="66" t="s">
        <v>1398</v>
      </c>
      <c r="D906" s="53" t="s">
        <v>48</v>
      </c>
      <c r="E906" s="68" t="s">
        <v>1394</v>
      </c>
      <c r="F906" s="55" t="s">
        <v>49</v>
      </c>
      <c r="G906" s="56" t="s">
        <v>36</v>
      </c>
      <c r="H906" s="57" t="s">
        <v>149</v>
      </c>
      <c r="I906" s="53" t="s">
        <v>637</v>
      </c>
      <c r="J906" s="106">
        <v>1340</v>
      </c>
      <c r="K906" s="58"/>
      <c r="L906" s="114"/>
      <c r="M906" s="60"/>
      <c r="N906" s="61"/>
      <c r="O906" s="61"/>
      <c r="P906" s="77"/>
      <c r="Q906" s="77"/>
      <c r="R906" s="77"/>
      <c r="S906" s="77"/>
      <c r="T906" s="77"/>
      <c r="U906" s="77"/>
      <c r="V906" s="62"/>
      <c r="W906" s="63"/>
      <c r="X906" s="63"/>
      <c r="Z906" s="63"/>
      <c r="AA906" s="113"/>
      <c r="AB906" s="113"/>
      <c r="AC906" s="113"/>
    </row>
    <row r="907" spans="1:29" ht="60" customHeight="1" x14ac:dyDescent="0.2">
      <c r="A907" s="50" t="s">
        <v>1400</v>
      </c>
      <c r="B907" s="74"/>
      <c r="C907" s="66" t="s">
        <v>1396</v>
      </c>
      <c r="D907" s="53" t="s">
        <v>48</v>
      </c>
      <c r="E907" s="68" t="s">
        <v>1394</v>
      </c>
      <c r="F907" s="55" t="s">
        <v>49</v>
      </c>
      <c r="G907" s="67" t="s">
        <v>50</v>
      </c>
      <c r="H907" s="57" t="s">
        <v>273</v>
      </c>
      <c r="I907" s="53" t="s">
        <v>637</v>
      </c>
      <c r="J907" s="106">
        <v>1120</v>
      </c>
      <c r="K907" s="58"/>
      <c r="L907" s="114">
        <v>6</v>
      </c>
      <c r="M907" s="60"/>
      <c r="N907" s="61"/>
      <c r="O907" s="61"/>
      <c r="P907" s="77"/>
      <c r="Q907" s="77"/>
      <c r="R907" s="77">
        <v>2</v>
      </c>
      <c r="S907" s="77">
        <v>2</v>
      </c>
      <c r="T907" s="77">
        <v>2</v>
      </c>
      <c r="U907" s="77"/>
      <c r="V907" s="62"/>
      <c r="W907" s="63"/>
      <c r="X907" s="63"/>
      <c r="Z907" s="63"/>
      <c r="AA907" s="113"/>
      <c r="AB907" s="113"/>
      <c r="AC907" s="113"/>
    </row>
    <row r="908" spans="1:29" ht="60" customHeight="1" x14ac:dyDescent="0.2">
      <c r="A908" s="50" t="s">
        <v>1401</v>
      </c>
      <c r="B908" s="74"/>
      <c r="C908" s="66" t="s">
        <v>1396</v>
      </c>
      <c r="D908" s="53" t="s">
        <v>58</v>
      </c>
      <c r="E908" s="68" t="s">
        <v>1394</v>
      </c>
      <c r="F908" s="55" t="s">
        <v>59</v>
      </c>
      <c r="G908" s="67" t="s">
        <v>50</v>
      </c>
      <c r="H908" s="57" t="s">
        <v>37</v>
      </c>
      <c r="I908" s="53" t="s">
        <v>637</v>
      </c>
      <c r="J908" s="106">
        <v>1120</v>
      </c>
      <c r="K908" s="58"/>
      <c r="L908" s="114">
        <f>2-1</f>
        <v>1</v>
      </c>
      <c r="M908" s="60"/>
      <c r="N908" s="61"/>
      <c r="O908" s="61"/>
      <c r="P908" s="77"/>
      <c r="Q908" s="77">
        <f>1-1</f>
        <v>0</v>
      </c>
      <c r="R908" s="77">
        <f>1-1+1</f>
        <v>1</v>
      </c>
      <c r="S908" s="77">
        <f>1-1</f>
        <v>0</v>
      </c>
      <c r="T908" s="77"/>
      <c r="U908" s="77"/>
      <c r="V908" s="62"/>
      <c r="W908" s="63"/>
      <c r="X908" s="63"/>
      <c r="Z908" s="63"/>
      <c r="AA908" s="113"/>
      <c r="AB908" s="113"/>
      <c r="AC908" s="113"/>
    </row>
    <row r="909" spans="1:29" ht="60" customHeight="1" x14ac:dyDescent="0.2">
      <c r="A909" s="50" t="s">
        <v>1402</v>
      </c>
      <c r="B909" s="74"/>
      <c r="C909" s="66" t="s">
        <v>1396</v>
      </c>
      <c r="D909" s="53" t="s">
        <v>58</v>
      </c>
      <c r="E909" s="68" t="s">
        <v>1394</v>
      </c>
      <c r="F909" s="55" t="s">
        <v>59</v>
      </c>
      <c r="G909" s="67" t="s">
        <v>50</v>
      </c>
      <c r="H909" s="57" t="s">
        <v>273</v>
      </c>
      <c r="I909" s="53" t="s">
        <v>637</v>
      </c>
      <c r="J909" s="106">
        <v>1120</v>
      </c>
      <c r="K909" s="58"/>
      <c r="L909" s="114">
        <f>6-3</f>
        <v>3</v>
      </c>
      <c r="M909" s="60"/>
      <c r="N909" s="61"/>
      <c r="O909" s="61"/>
      <c r="P909" s="77"/>
      <c r="Q909" s="77">
        <f>2-1</f>
        <v>1</v>
      </c>
      <c r="R909" s="77">
        <f>2-1</f>
        <v>1</v>
      </c>
      <c r="S909" s="77">
        <f>2-1</f>
        <v>1</v>
      </c>
      <c r="T909" s="77"/>
      <c r="U909" s="77"/>
      <c r="V909" s="62"/>
      <c r="W909" s="63"/>
      <c r="X909" s="63"/>
      <c r="Z909" s="63"/>
      <c r="AA909" s="113"/>
      <c r="AB909" s="113"/>
      <c r="AC909" s="113"/>
    </row>
    <row r="910" spans="1:29" ht="60" hidden="1" customHeight="1" x14ac:dyDescent="0.2">
      <c r="A910" s="50" t="s">
        <v>1403</v>
      </c>
      <c r="B910" s="121"/>
      <c r="C910" s="87" t="s">
        <v>1404</v>
      </c>
      <c r="D910" s="122" t="s">
        <v>1390</v>
      </c>
      <c r="E910" s="54" t="s">
        <v>34</v>
      </c>
      <c r="F910" s="122" t="s">
        <v>1405</v>
      </c>
      <c r="G910" s="68" t="s">
        <v>1406</v>
      </c>
      <c r="H910" s="123" t="s">
        <v>1407</v>
      </c>
      <c r="I910" s="53" t="s">
        <v>1408</v>
      </c>
      <c r="J910" s="124">
        <v>350</v>
      </c>
      <c r="K910" s="58"/>
      <c r="L910" s="88">
        <f>1-1</f>
        <v>0</v>
      </c>
      <c r="M910" s="80">
        <f>1-1</f>
        <v>0</v>
      </c>
      <c r="N910" s="61"/>
      <c r="O910" s="61"/>
      <c r="P910" s="63"/>
      <c r="Q910" s="63"/>
      <c r="R910" s="63"/>
      <c r="S910" s="63"/>
      <c r="T910" s="63"/>
      <c r="U910" s="63"/>
      <c r="V910" s="63"/>
      <c r="W910" s="63"/>
      <c r="X910" s="63"/>
      <c r="Z910" s="63"/>
      <c r="AA910" s="113"/>
      <c r="AB910" s="113"/>
      <c r="AC910" s="113"/>
    </row>
    <row r="911" spans="1:29" ht="60" customHeight="1" x14ac:dyDescent="0.2">
      <c r="A911" s="50" t="s">
        <v>1409</v>
      </c>
      <c r="B911" s="121"/>
      <c r="C911" s="87" t="s">
        <v>1410</v>
      </c>
      <c r="D911" s="122" t="s">
        <v>1390</v>
      </c>
      <c r="E911" s="54" t="s">
        <v>34</v>
      </c>
      <c r="F911" s="122" t="s">
        <v>1405</v>
      </c>
      <c r="G911" s="68" t="s">
        <v>1406</v>
      </c>
      <c r="H911" s="123" t="s">
        <v>1411</v>
      </c>
      <c r="I911" s="53" t="s">
        <v>1408</v>
      </c>
      <c r="J911" s="124">
        <v>350</v>
      </c>
      <c r="K911" s="58"/>
      <c r="L911" s="88">
        <f>3-1+3-1</f>
        <v>4</v>
      </c>
      <c r="M911" s="80">
        <f>3-1+3-1</f>
        <v>4</v>
      </c>
      <c r="N911" s="61"/>
      <c r="O911" s="61"/>
      <c r="P911" s="63"/>
      <c r="Q911" s="63"/>
      <c r="R911" s="63"/>
      <c r="S911" s="63"/>
      <c r="T911" s="63"/>
      <c r="U911" s="63"/>
      <c r="V911" s="63"/>
      <c r="W911" s="63"/>
      <c r="X911" s="63"/>
      <c r="Z911" s="63"/>
      <c r="AA911" s="113"/>
      <c r="AB911" s="113"/>
      <c r="AC911" s="113"/>
    </row>
    <row r="912" spans="1:29" ht="60" customHeight="1" x14ac:dyDescent="0.2">
      <c r="A912" s="50" t="s">
        <v>1412</v>
      </c>
      <c r="B912" s="121"/>
      <c r="C912" s="87" t="s">
        <v>1413</v>
      </c>
      <c r="D912" s="122" t="s">
        <v>1390</v>
      </c>
      <c r="E912" s="54" t="s">
        <v>34</v>
      </c>
      <c r="F912" s="122" t="s">
        <v>1405</v>
      </c>
      <c r="G912" s="68" t="s">
        <v>1406</v>
      </c>
      <c r="H912" s="123" t="s">
        <v>1414</v>
      </c>
      <c r="I912" s="53" t="s">
        <v>1408</v>
      </c>
      <c r="J912" s="124">
        <v>350</v>
      </c>
      <c r="K912" s="58"/>
      <c r="L912" s="88">
        <f>4-1</f>
        <v>3</v>
      </c>
      <c r="M912" s="80">
        <f>4-1</f>
        <v>3</v>
      </c>
      <c r="N912" s="61"/>
      <c r="O912" s="61"/>
      <c r="P912" s="63"/>
      <c r="Q912" s="63"/>
      <c r="R912" s="63"/>
      <c r="S912" s="63"/>
      <c r="T912" s="63"/>
      <c r="U912" s="63"/>
      <c r="V912" s="63"/>
      <c r="W912" s="63"/>
      <c r="X912" s="63"/>
      <c r="Z912" s="63"/>
      <c r="AA912" s="113"/>
      <c r="AB912" s="113"/>
      <c r="AC912" s="113"/>
    </row>
    <row r="913" spans="1:29" ht="60" customHeight="1" x14ac:dyDescent="0.2">
      <c r="A913" s="50" t="s">
        <v>1415</v>
      </c>
      <c r="B913" s="121"/>
      <c r="C913" s="87" t="s">
        <v>1416</v>
      </c>
      <c r="D913" s="122" t="s">
        <v>1390</v>
      </c>
      <c r="E913" s="54" t="s">
        <v>34</v>
      </c>
      <c r="F913" s="122" t="s">
        <v>1405</v>
      </c>
      <c r="G913" s="68" t="s">
        <v>1406</v>
      </c>
      <c r="H913" s="123" t="s">
        <v>1407</v>
      </c>
      <c r="I913" s="53" t="s">
        <v>1408</v>
      </c>
      <c r="J913" s="124">
        <v>350</v>
      </c>
      <c r="K913" s="58"/>
      <c r="L913" s="88">
        <f>5-1</f>
        <v>4</v>
      </c>
      <c r="M913" s="80">
        <f>5-1</f>
        <v>4</v>
      </c>
      <c r="N913" s="61"/>
      <c r="O913" s="61"/>
      <c r="P913" s="63"/>
      <c r="Q913" s="63"/>
      <c r="R913" s="63"/>
      <c r="S913" s="63"/>
      <c r="T913" s="63"/>
      <c r="U913" s="63"/>
      <c r="V913" s="63"/>
      <c r="W913" s="63"/>
      <c r="X913" s="63"/>
      <c r="Z913" s="63"/>
      <c r="AA913" s="113"/>
      <c r="AB913" s="113"/>
      <c r="AC913" s="113"/>
    </row>
    <row r="914" spans="1:29" ht="60" hidden="1" customHeight="1" x14ac:dyDescent="0.2">
      <c r="A914" s="50" t="s">
        <v>1417</v>
      </c>
      <c r="B914" s="121"/>
      <c r="C914" s="66" t="s">
        <v>1418</v>
      </c>
      <c r="D914" s="122" t="s">
        <v>1390</v>
      </c>
      <c r="E914" s="54" t="s">
        <v>34</v>
      </c>
      <c r="F914" s="122" t="s">
        <v>1419</v>
      </c>
      <c r="G914" s="68" t="s">
        <v>1406</v>
      </c>
      <c r="H914" s="123" t="s">
        <v>1420</v>
      </c>
      <c r="I914" s="53" t="s">
        <v>1408</v>
      </c>
      <c r="J914" s="124">
        <v>400</v>
      </c>
      <c r="K914" s="58"/>
      <c r="L914" s="88">
        <f>1-1</f>
        <v>0</v>
      </c>
      <c r="M914" s="80">
        <f>1-1</f>
        <v>0</v>
      </c>
      <c r="N914" s="61"/>
      <c r="O914" s="61"/>
      <c r="P914" s="63"/>
      <c r="Q914" s="63"/>
      <c r="R914" s="63"/>
      <c r="S914" s="63"/>
      <c r="T914" s="63"/>
      <c r="U914" s="63"/>
      <c r="V914" s="63"/>
      <c r="W914" s="63"/>
      <c r="X914" s="63"/>
      <c r="Z914" s="63"/>
      <c r="AA914" s="113"/>
      <c r="AB914" s="113"/>
      <c r="AC914" s="113"/>
    </row>
    <row r="915" spans="1:29" ht="60" customHeight="1" x14ac:dyDescent="0.2">
      <c r="A915" s="50" t="s">
        <v>1421</v>
      </c>
      <c r="B915" s="121"/>
      <c r="C915" s="87" t="s">
        <v>1422</v>
      </c>
      <c r="D915" s="122" t="s">
        <v>1390</v>
      </c>
      <c r="E915" s="54" t="s">
        <v>34</v>
      </c>
      <c r="F915" s="122" t="s">
        <v>1405</v>
      </c>
      <c r="G915" s="68" t="s">
        <v>1406</v>
      </c>
      <c r="H915" s="123" t="s">
        <v>1423</v>
      </c>
      <c r="I915" s="53" t="s">
        <v>1408</v>
      </c>
      <c r="J915" s="124">
        <v>350</v>
      </c>
      <c r="K915" s="58"/>
      <c r="L915" s="88">
        <f>10-2</f>
        <v>8</v>
      </c>
      <c r="M915" s="80">
        <f>10-2</f>
        <v>8</v>
      </c>
      <c r="N915" s="61"/>
      <c r="O915" s="61"/>
      <c r="P915" s="63"/>
      <c r="Q915" s="63"/>
      <c r="R915" s="63"/>
      <c r="S915" s="63"/>
      <c r="T915" s="63"/>
      <c r="U915" s="63"/>
      <c r="V915" s="63"/>
      <c r="W915" s="63"/>
      <c r="X915" s="63"/>
      <c r="Z915" s="63"/>
      <c r="AA915" s="113"/>
      <c r="AB915" s="113"/>
      <c r="AC915" s="113"/>
    </row>
    <row r="916" spans="1:29" ht="60" hidden="1" customHeight="1" x14ac:dyDescent="0.2">
      <c r="A916" s="50" t="s">
        <v>1424</v>
      </c>
      <c r="B916" s="121"/>
      <c r="C916" s="66" t="s">
        <v>1425</v>
      </c>
      <c r="D916" s="122" t="s">
        <v>1390</v>
      </c>
      <c r="E916" s="54" t="s">
        <v>34</v>
      </c>
      <c r="F916" s="122" t="s">
        <v>1419</v>
      </c>
      <c r="G916" s="68" t="s">
        <v>1406</v>
      </c>
      <c r="H916" s="123" t="s">
        <v>1420</v>
      </c>
      <c r="I916" s="53" t="s">
        <v>1408</v>
      </c>
      <c r="J916" s="124">
        <v>400</v>
      </c>
      <c r="K916" s="58"/>
      <c r="L916" s="88">
        <f>1-1</f>
        <v>0</v>
      </c>
      <c r="M916" s="80">
        <f>1-1</f>
        <v>0</v>
      </c>
      <c r="N916" s="61"/>
      <c r="O916" s="61"/>
      <c r="P916" s="63"/>
      <c r="Q916" s="63"/>
      <c r="R916" s="63"/>
      <c r="S916" s="63"/>
      <c r="T916" s="63"/>
      <c r="U916" s="63"/>
      <c r="V916" s="63"/>
      <c r="W916" s="63"/>
      <c r="X916" s="63"/>
      <c r="Z916" s="63"/>
      <c r="AA916" s="113"/>
      <c r="AB916" s="113"/>
      <c r="AC916" s="113"/>
    </row>
    <row r="917" spans="1:29" ht="60" customHeight="1" x14ac:dyDescent="0.2">
      <c r="A917" s="50" t="s">
        <v>1426</v>
      </c>
      <c r="B917" s="121"/>
      <c r="C917" s="87" t="s">
        <v>1427</v>
      </c>
      <c r="D917" s="122" t="s">
        <v>1390</v>
      </c>
      <c r="E917" s="54" t="s">
        <v>34</v>
      </c>
      <c r="F917" s="122" t="s">
        <v>1405</v>
      </c>
      <c r="G917" s="68" t="s">
        <v>1406</v>
      </c>
      <c r="H917" s="123" t="s">
        <v>1428</v>
      </c>
      <c r="I917" s="53" t="s">
        <v>1408</v>
      </c>
      <c r="J917" s="124">
        <v>350</v>
      </c>
      <c r="K917" s="58"/>
      <c r="L917" s="88">
        <f>4-1</f>
        <v>3</v>
      </c>
      <c r="M917" s="80">
        <f>4-1</f>
        <v>3</v>
      </c>
      <c r="N917" s="61"/>
      <c r="O917" s="61"/>
      <c r="P917" s="63"/>
      <c r="Q917" s="63"/>
      <c r="R917" s="63"/>
      <c r="S917" s="63"/>
      <c r="T917" s="63"/>
      <c r="U917" s="63"/>
      <c r="V917" s="63"/>
      <c r="W917" s="63"/>
      <c r="X917" s="63"/>
      <c r="Z917" s="63"/>
      <c r="AA917" s="113"/>
      <c r="AB917" s="113"/>
      <c r="AC917" s="113"/>
    </row>
    <row r="918" spans="1:29" ht="60" hidden="1" customHeight="1" x14ac:dyDescent="0.2">
      <c r="A918" s="50" t="s">
        <v>1429</v>
      </c>
      <c r="B918" s="121"/>
      <c r="C918" s="66" t="s">
        <v>1430</v>
      </c>
      <c r="D918" s="122" t="s">
        <v>1390</v>
      </c>
      <c r="E918" s="54" t="s">
        <v>34</v>
      </c>
      <c r="F918" s="122" t="s">
        <v>1419</v>
      </c>
      <c r="G918" s="68" t="s">
        <v>1406</v>
      </c>
      <c r="H918" s="123" t="s">
        <v>1420</v>
      </c>
      <c r="I918" s="53" t="s">
        <v>1408</v>
      </c>
      <c r="J918" s="124">
        <v>400</v>
      </c>
      <c r="K918" s="58"/>
      <c r="L918" s="88">
        <f>1-1</f>
        <v>0</v>
      </c>
      <c r="M918" s="80">
        <f>1-1</f>
        <v>0</v>
      </c>
      <c r="N918" s="61"/>
      <c r="O918" s="61"/>
      <c r="P918" s="63"/>
      <c r="Q918" s="63"/>
      <c r="R918" s="63"/>
      <c r="S918" s="63"/>
      <c r="T918" s="63"/>
      <c r="U918" s="63"/>
      <c r="V918" s="63"/>
      <c r="W918" s="63"/>
      <c r="X918" s="63"/>
      <c r="Z918" s="63"/>
      <c r="AA918" s="113"/>
      <c r="AB918" s="113"/>
      <c r="AC918" s="113"/>
    </row>
    <row r="919" spans="1:29" ht="60" customHeight="1" x14ac:dyDescent="0.2">
      <c r="A919" s="50" t="s">
        <v>1431</v>
      </c>
      <c r="B919" s="121"/>
      <c r="C919" s="87" t="s">
        <v>1432</v>
      </c>
      <c r="D919" s="122" t="s">
        <v>1390</v>
      </c>
      <c r="E919" s="54" t="s">
        <v>34</v>
      </c>
      <c r="F919" s="122" t="s">
        <v>1405</v>
      </c>
      <c r="G919" s="68" t="s">
        <v>1406</v>
      </c>
      <c r="H919" s="123" t="s">
        <v>1433</v>
      </c>
      <c r="I919" s="53" t="s">
        <v>1408</v>
      </c>
      <c r="J919" s="124">
        <v>350</v>
      </c>
      <c r="K919" s="58"/>
      <c r="L919" s="88">
        <f>2-1+4-1</f>
        <v>4</v>
      </c>
      <c r="M919" s="80">
        <f>2-1+4-1</f>
        <v>4</v>
      </c>
      <c r="N919" s="61"/>
      <c r="O919" s="61"/>
      <c r="P919" s="63"/>
      <c r="Q919" s="63"/>
      <c r="R919" s="63"/>
      <c r="S919" s="63"/>
      <c r="T919" s="63"/>
      <c r="U919" s="63"/>
      <c r="V919" s="63"/>
      <c r="W919" s="63"/>
      <c r="X919" s="63"/>
      <c r="Z919" s="63"/>
      <c r="AA919" s="113"/>
      <c r="AB919" s="113"/>
      <c r="AC919" s="113"/>
    </row>
    <row r="920" spans="1:29" ht="60" customHeight="1" x14ac:dyDescent="0.2">
      <c r="A920" s="50" t="s">
        <v>1434</v>
      </c>
      <c r="B920" s="121"/>
      <c r="C920" s="87" t="s">
        <v>1435</v>
      </c>
      <c r="D920" s="122" t="s">
        <v>1390</v>
      </c>
      <c r="E920" s="54" t="s">
        <v>34</v>
      </c>
      <c r="F920" s="122" t="s">
        <v>1405</v>
      </c>
      <c r="G920" s="68" t="s">
        <v>1406</v>
      </c>
      <c r="H920" s="123" t="s">
        <v>1407</v>
      </c>
      <c r="I920" s="53" t="s">
        <v>1408</v>
      </c>
      <c r="J920" s="124">
        <v>350</v>
      </c>
      <c r="K920" s="58"/>
      <c r="L920" s="88">
        <f>6-1</f>
        <v>5</v>
      </c>
      <c r="M920" s="80">
        <f>6-1</f>
        <v>5</v>
      </c>
      <c r="N920" s="61"/>
      <c r="O920" s="61"/>
      <c r="P920" s="63"/>
      <c r="Q920" s="63"/>
      <c r="R920" s="63"/>
      <c r="S920" s="63"/>
      <c r="T920" s="63"/>
      <c r="U920" s="63"/>
      <c r="V920" s="63"/>
      <c r="W920" s="63"/>
      <c r="X920" s="63"/>
      <c r="Z920" s="63"/>
      <c r="AA920" s="113"/>
      <c r="AB920" s="113"/>
      <c r="AC920" s="113"/>
    </row>
    <row r="921" spans="1:29" ht="60" customHeight="1" x14ac:dyDescent="0.2">
      <c r="A921" s="50" t="s">
        <v>1436</v>
      </c>
      <c r="B921" s="121"/>
      <c r="C921" s="87" t="s">
        <v>1437</v>
      </c>
      <c r="D921" s="122" t="s">
        <v>1390</v>
      </c>
      <c r="E921" s="54" t="s">
        <v>34</v>
      </c>
      <c r="F921" s="122" t="s">
        <v>1405</v>
      </c>
      <c r="G921" s="68" t="s">
        <v>1406</v>
      </c>
      <c r="H921" s="123" t="s">
        <v>1407</v>
      </c>
      <c r="I921" s="53" t="s">
        <v>1408</v>
      </c>
      <c r="J921" s="124">
        <v>350</v>
      </c>
      <c r="K921" s="58"/>
      <c r="L921" s="88">
        <f>5-1</f>
        <v>4</v>
      </c>
      <c r="M921" s="80">
        <f>5-1</f>
        <v>4</v>
      </c>
      <c r="N921" s="61"/>
      <c r="O921" s="61"/>
      <c r="P921" s="63"/>
      <c r="Q921" s="63"/>
      <c r="R921" s="63"/>
      <c r="S921" s="63"/>
      <c r="T921" s="63"/>
      <c r="U921" s="63"/>
      <c r="V921" s="63"/>
      <c r="W921" s="63"/>
      <c r="X921" s="63"/>
      <c r="Z921" s="63"/>
      <c r="AA921" s="113"/>
      <c r="AB921" s="113"/>
      <c r="AC921" s="113"/>
    </row>
    <row r="922" spans="1:29" ht="60" customHeight="1" x14ac:dyDescent="0.2">
      <c r="A922" s="50" t="s">
        <v>1438</v>
      </c>
      <c r="B922" s="121"/>
      <c r="C922" s="66" t="s">
        <v>1439</v>
      </c>
      <c r="D922" s="122" t="s">
        <v>1390</v>
      </c>
      <c r="E922" s="54" t="s">
        <v>34</v>
      </c>
      <c r="F922" s="122" t="s">
        <v>1419</v>
      </c>
      <c r="G922" s="68" t="s">
        <v>1406</v>
      </c>
      <c r="H922" s="123" t="s">
        <v>1420</v>
      </c>
      <c r="I922" s="53" t="s">
        <v>1408</v>
      </c>
      <c r="J922" s="124">
        <v>400</v>
      </c>
      <c r="K922" s="58"/>
      <c r="L922" s="88">
        <f>3-1</f>
        <v>2</v>
      </c>
      <c r="M922" s="80">
        <f>3-1</f>
        <v>2</v>
      </c>
      <c r="N922" s="61"/>
      <c r="O922" s="61"/>
      <c r="P922" s="63"/>
      <c r="Q922" s="63"/>
      <c r="R922" s="63"/>
      <c r="S922" s="63"/>
      <c r="T922" s="63"/>
      <c r="U922" s="63"/>
      <c r="V922" s="63"/>
      <c r="W922" s="63"/>
      <c r="X922" s="63"/>
      <c r="Z922" s="63"/>
      <c r="AA922" s="113"/>
      <c r="AB922" s="113"/>
      <c r="AC922" s="113"/>
    </row>
    <row r="923" spans="1:29" ht="60" customHeight="1" x14ac:dyDescent="0.2">
      <c r="A923" s="50" t="s">
        <v>1440</v>
      </c>
      <c r="B923" s="121"/>
      <c r="C923" s="66" t="s">
        <v>1441</v>
      </c>
      <c r="D923" s="122" t="s">
        <v>1390</v>
      </c>
      <c r="E923" s="54" t="s">
        <v>34</v>
      </c>
      <c r="F923" s="122" t="s">
        <v>1419</v>
      </c>
      <c r="G923" s="68" t="s">
        <v>1406</v>
      </c>
      <c r="H923" s="123" t="s">
        <v>1420</v>
      </c>
      <c r="I923" s="53" t="s">
        <v>1408</v>
      </c>
      <c r="J923" s="124">
        <v>400</v>
      </c>
      <c r="K923" s="58"/>
      <c r="L923" s="88">
        <f>3-1</f>
        <v>2</v>
      </c>
      <c r="M923" s="80">
        <f>3-1</f>
        <v>2</v>
      </c>
      <c r="N923" s="61"/>
      <c r="O923" s="61"/>
      <c r="P923" s="63"/>
      <c r="Q923" s="63"/>
      <c r="R923" s="63"/>
      <c r="S923" s="63"/>
      <c r="T923" s="63"/>
      <c r="U923" s="63"/>
      <c r="V923" s="63"/>
      <c r="W923" s="63"/>
      <c r="X923" s="63"/>
      <c r="Z923" s="63"/>
      <c r="AA923" s="113"/>
      <c r="AB923" s="113"/>
      <c r="AC923" s="113"/>
    </row>
    <row r="924" spans="1:29" ht="60" customHeight="1" x14ac:dyDescent="0.2">
      <c r="A924" s="50" t="s">
        <v>1442</v>
      </c>
      <c r="B924" s="121"/>
      <c r="C924" s="87" t="s">
        <v>1443</v>
      </c>
      <c r="D924" s="122" t="s">
        <v>1390</v>
      </c>
      <c r="E924" s="54" t="s">
        <v>34</v>
      </c>
      <c r="F924" s="122" t="s">
        <v>1405</v>
      </c>
      <c r="G924" s="68" t="s">
        <v>1406</v>
      </c>
      <c r="H924" s="123" t="s">
        <v>1414</v>
      </c>
      <c r="I924" s="53" t="s">
        <v>1408</v>
      </c>
      <c r="J924" s="124">
        <v>350</v>
      </c>
      <c r="K924" s="58"/>
      <c r="L924" s="88">
        <f>4-1</f>
        <v>3</v>
      </c>
      <c r="M924" s="80">
        <f>4-1</f>
        <v>3</v>
      </c>
      <c r="N924" s="61"/>
      <c r="O924" s="61"/>
      <c r="P924" s="63"/>
      <c r="Q924" s="63"/>
      <c r="R924" s="63"/>
      <c r="S924" s="63"/>
      <c r="T924" s="63"/>
      <c r="U924" s="63"/>
      <c r="V924" s="63"/>
      <c r="W924" s="63"/>
      <c r="X924" s="63"/>
      <c r="Z924" s="63"/>
      <c r="AA924" s="113"/>
      <c r="AB924" s="113"/>
      <c r="AC924" s="113"/>
    </row>
    <row r="925" spans="1:29" ht="60" customHeight="1" x14ac:dyDescent="0.2">
      <c r="A925" s="50" t="s">
        <v>1444</v>
      </c>
      <c r="B925" s="121"/>
      <c r="C925" s="87" t="s">
        <v>1445</v>
      </c>
      <c r="D925" s="122" t="s">
        <v>1390</v>
      </c>
      <c r="E925" s="54" t="s">
        <v>34</v>
      </c>
      <c r="F925" s="122" t="s">
        <v>1405</v>
      </c>
      <c r="G925" s="68" t="s">
        <v>1406</v>
      </c>
      <c r="H925" s="123" t="s">
        <v>1411</v>
      </c>
      <c r="I925" s="53" t="s">
        <v>1408</v>
      </c>
      <c r="J925" s="124">
        <v>350</v>
      </c>
      <c r="K925" s="58"/>
      <c r="L925" s="88">
        <f>6-1</f>
        <v>5</v>
      </c>
      <c r="M925" s="80">
        <f>6-1</f>
        <v>5</v>
      </c>
      <c r="N925" s="61"/>
      <c r="O925" s="61"/>
      <c r="P925" s="63"/>
      <c r="Q925" s="63"/>
      <c r="R925" s="63"/>
      <c r="S925" s="63"/>
      <c r="T925" s="63"/>
      <c r="U925" s="63"/>
      <c r="V925" s="63"/>
      <c r="W925" s="63"/>
      <c r="X925" s="63"/>
      <c r="Z925" s="63"/>
      <c r="AA925" s="113"/>
      <c r="AB925" s="113"/>
      <c r="AC925" s="113"/>
    </row>
    <row r="926" spans="1:29" ht="60" customHeight="1" x14ac:dyDescent="0.2">
      <c r="A926" s="50" t="s">
        <v>1446</v>
      </c>
      <c r="B926" s="121"/>
      <c r="C926" s="87" t="s">
        <v>1447</v>
      </c>
      <c r="D926" s="122" t="s">
        <v>1390</v>
      </c>
      <c r="E926" s="54" t="s">
        <v>34</v>
      </c>
      <c r="F926" s="122" t="s">
        <v>1405</v>
      </c>
      <c r="G926" s="68" t="s">
        <v>1406</v>
      </c>
      <c r="H926" s="123" t="s">
        <v>1433</v>
      </c>
      <c r="I926" s="53" t="s">
        <v>1408</v>
      </c>
      <c r="J926" s="124">
        <v>350</v>
      </c>
      <c r="K926" s="58"/>
      <c r="L926" s="88">
        <f>3-1+4-1</f>
        <v>5</v>
      </c>
      <c r="M926" s="80">
        <f>3-1+4-1</f>
        <v>5</v>
      </c>
      <c r="N926" s="61"/>
      <c r="O926" s="61"/>
      <c r="P926" s="63"/>
      <c r="Q926" s="63"/>
      <c r="R926" s="63"/>
      <c r="S926" s="63"/>
      <c r="T926" s="63"/>
      <c r="U926" s="63"/>
      <c r="V926" s="63"/>
      <c r="W926" s="63"/>
      <c r="X926" s="63"/>
      <c r="Z926" s="63"/>
      <c r="AA926" s="113"/>
      <c r="AB926" s="113"/>
      <c r="AC926" s="113"/>
    </row>
    <row r="927" spans="1:29" ht="60" customHeight="1" x14ac:dyDescent="0.2">
      <c r="A927" s="50" t="s">
        <v>1448</v>
      </c>
      <c r="B927" s="121"/>
      <c r="C927" s="87" t="s">
        <v>1449</v>
      </c>
      <c r="D927" s="122" t="s">
        <v>1390</v>
      </c>
      <c r="E927" s="54" t="s">
        <v>34</v>
      </c>
      <c r="F927" s="122" t="s">
        <v>1405</v>
      </c>
      <c r="G927" s="68" t="s">
        <v>1406</v>
      </c>
      <c r="H927" s="123" t="s">
        <v>1450</v>
      </c>
      <c r="I927" s="53" t="s">
        <v>1408</v>
      </c>
      <c r="J927" s="124">
        <v>350</v>
      </c>
      <c r="K927" s="58"/>
      <c r="L927" s="88">
        <f>5-1</f>
        <v>4</v>
      </c>
      <c r="M927" s="80">
        <f>5-1</f>
        <v>4</v>
      </c>
      <c r="N927" s="61"/>
      <c r="O927" s="61"/>
      <c r="P927" s="63"/>
      <c r="Q927" s="63"/>
      <c r="R927" s="63"/>
      <c r="S927" s="63"/>
      <c r="T927" s="63"/>
      <c r="U927" s="63"/>
      <c r="V927" s="63"/>
      <c r="W927" s="63"/>
      <c r="X927" s="63"/>
      <c r="Z927" s="63"/>
      <c r="AA927" s="113"/>
      <c r="AB927" s="113"/>
      <c r="AC927" s="113"/>
    </row>
    <row r="928" spans="1:29" ht="60" customHeight="1" x14ac:dyDescent="0.2">
      <c r="A928" s="50" t="s">
        <v>1451</v>
      </c>
      <c r="B928" s="74"/>
      <c r="C928" s="66" t="s">
        <v>1452</v>
      </c>
      <c r="D928" s="57" t="s">
        <v>1390</v>
      </c>
      <c r="E928" s="68" t="s">
        <v>34</v>
      </c>
      <c r="F928" s="55"/>
      <c r="G928" s="57" t="s">
        <v>1453</v>
      </c>
      <c r="H928" s="57"/>
      <c r="I928" s="55"/>
      <c r="J928" s="57">
        <v>1100</v>
      </c>
      <c r="K928" s="58"/>
      <c r="L928" s="114">
        <f>11-1</f>
        <v>10</v>
      </c>
      <c r="M928" s="60">
        <f>11-1</f>
        <v>10</v>
      </c>
      <c r="N928" s="61"/>
      <c r="O928" s="61"/>
      <c r="P928" s="77"/>
      <c r="Q928" s="77"/>
      <c r="R928" s="77"/>
      <c r="S928" s="77"/>
      <c r="T928" s="77"/>
      <c r="U928" s="77"/>
      <c r="V928" s="62"/>
      <c r="W928" s="63"/>
      <c r="X928" s="63"/>
      <c r="Z928" s="63"/>
      <c r="AA928" s="113"/>
      <c r="AB928" s="113"/>
      <c r="AC928" s="113"/>
    </row>
    <row r="929" spans="1:29" ht="60" customHeight="1" x14ac:dyDescent="0.2">
      <c r="A929" s="50" t="s">
        <v>1454</v>
      </c>
      <c r="B929" s="74"/>
      <c r="C929" s="66" t="s">
        <v>1452</v>
      </c>
      <c r="D929" s="57" t="s">
        <v>1390</v>
      </c>
      <c r="E929" s="68" t="s">
        <v>34</v>
      </c>
      <c r="F929" s="55"/>
      <c r="G929" s="57" t="s">
        <v>1453</v>
      </c>
      <c r="H929" s="57"/>
      <c r="I929" s="55"/>
      <c r="J929" s="57">
        <v>1100</v>
      </c>
      <c r="K929" s="58"/>
      <c r="L929" s="114">
        <f>9-1</f>
        <v>8</v>
      </c>
      <c r="M929" s="60">
        <f>9-1</f>
        <v>8</v>
      </c>
      <c r="N929" s="61"/>
      <c r="O929" s="61"/>
      <c r="P929" s="77"/>
      <c r="Q929" s="77"/>
      <c r="R929" s="77"/>
      <c r="S929" s="77"/>
      <c r="T929" s="77"/>
      <c r="U929" s="77"/>
      <c r="V929" s="62"/>
      <c r="W929" s="63"/>
      <c r="X929" s="63"/>
      <c r="Z929" s="63"/>
      <c r="AA929" s="113"/>
      <c r="AB929" s="113"/>
      <c r="AC929" s="113"/>
    </row>
    <row r="930" spans="1:29" ht="60" customHeight="1" x14ac:dyDescent="0.2">
      <c r="A930" s="50" t="s">
        <v>1455</v>
      </c>
      <c r="B930" s="74"/>
      <c r="C930" s="66" t="s">
        <v>1452</v>
      </c>
      <c r="D930" s="57" t="s">
        <v>1390</v>
      </c>
      <c r="E930" s="68" t="s">
        <v>34</v>
      </c>
      <c r="F930" s="55"/>
      <c r="G930" s="57" t="s">
        <v>1453</v>
      </c>
      <c r="H930" s="57"/>
      <c r="I930" s="55"/>
      <c r="J930" s="57">
        <v>1100</v>
      </c>
      <c r="K930" s="58"/>
      <c r="L930" s="114">
        <f>11-1</f>
        <v>10</v>
      </c>
      <c r="M930" s="60">
        <f>11-1</f>
        <v>10</v>
      </c>
      <c r="N930" s="61"/>
      <c r="O930" s="61"/>
      <c r="P930" s="77"/>
      <c r="Q930" s="77"/>
      <c r="R930" s="77"/>
      <c r="S930" s="77"/>
      <c r="T930" s="77"/>
      <c r="U930" s="77"/>
      <c r="V930" s="62"/>
      <c r="W930" s="63"/>
      <c r="X930" s="63"/>
      <c r="Z930" s="63"/>
      <c r="AA930" s="113"/>
      <c r="AB930" s="113"/>
      <c r="AC930" s="113"/>
    </row>
    <row r="931" spans="1:29" ht="60" customHeight="1" x14ac:dyDescent="0.2">
      <c r="A931" s="50" t="s">
        <v>1456</v>
      </c>
      <c r="B931" s="74"/>
      <c r="C931" s="66" t="s">
        <v>1452</v>
      </c>
      <c r="D931" s="57" t="s">
        <v>1390</v>
      </c>
      <c r="E931" s="68" t="s">
        <v>34</v>
      </c>
      <c r="F931" s="55"/>
      <c r="G931" s="57" t="s">
        <v>1453</v>
      </c>
      <c r="H931" s="57"/>
      <c r="I931" s="55"/>
      <c r="J931" s="57">
        <v>1100</v>
      </c>
      <c r="K931" s="58"/>
      <c r="L931" s="114">
        <f>12-1</f>
        <v>11</v>
      </c>
      <c r="M931" s="60">
        <f>12-1</f>
        <v>11</v>
      </c>
      <c r="N931" s="61"/>
      <c r="O931" s="61"/>
      <c r="P931" s="77"/>
      <c r="Q931" s="77"/>
      <c r="R931" s="77"/>
      <c r="S931" s="77"/>
      <c r="T931" s="77"/>
      <c r="U931" s="77"/>
      <c r="V931" s="62"/>
      <c r="W931" s="63"/>
      <c r="X931" s="63"/>
      <c r="Z931" s="63"/>
      <c r="AA931" s="113"/>
      <c r="AB931" s="113"/>
      <c r="AC931" s="113"/>
    </row>
    <row r="932" spans="1:29" ht="60" customHeight="1" x14ac:dyDescent="0.2">
      <c r="A932" s="50" t="s">
        <v>1457</v>
      </c>
      <c r="B932" s="74"/>
      <c r="C932" s="66" t="s">
        <v>1458</v>
      </c>
      <c r="D932" s="57" t="s">
        <v>1390</v>
      </c>
      <c r="E932" s="68" t="s">
        <v>34</v>
      </c>
      <c r="F932" s="55" t="s">
        <v>1459</v>
      </c>
      <c r="G932" s="57" t="s">
        <v>1453</v>
      </c>
      <c r="H932" s="57" t="s">
        <v>1460</v>
      </c>
      <c r="I932" s="55"/>
      <c r="J932" s="57">
        <v>1200</v>
      </c>
      <c r="K932" s="58"/>
      <c r="L932" s="114">
        <v>11</v>
      </c>
      <c r="M932" s="60">
        <v>11</v>
      </c>
      <c r="N932" s="61"/>
      <c r="O932" s="61"/>
      <c r="P932" s="77"/>
      <c r="Q932" s="77"/>
      <c r="R932" s="77"/>
      <c r="S932" s="77"/>
      <c r="T932" s="77"/>
      <c r="U932" s="77"/>
      <c r="V932" s="62"/>
      <c r="W932" s="63"/>
      <c r="X932" s="63"/>
      <c r="Z932" s="63"/>
      <c r="AA932" s="113"/>
      <c r="AB932" s="113"/>
      <c r="AC932" s="113"/>
    </row>
    <row r="933" spans="1:29" ht="60" customHeight="1" x14ac:dyDescent="0.2">
      <c r="A933" s="50" t="s">
        <v>1461</v>
      </c>
      <c r="B933" s="74"/>
      <c r="C933" s="87" t="s">
        <v>1462</v>
      </c>
      <c r="D933" s="53" t="s">
        <v>1338</v>
      </c>
      <c r="E933" s="54" t="s">
        <v>1463</v>
      </c>
      <c r="F933" s="55" t="s">
        <v>1464</v>
      </c>
      <c r="G933" s="67" t="s">
        <v>1340</v>
      </c>
      <c r="H933" s="57" t="s">
        <v>37</v>
      </c>
      <c r="I933" s="53" t="s">
        <v>637</v>
      </c>
      <c r="J933" s="57" t="e">
        <f>ROUND(#REF!*2.4,-1)</f>
        <v>#REF!</v>
      </c>
      <c r="K933" s="58"/>
      <c r="L933" s="114">
        <f>1+1</f>
        <v>2</v>
      </c>
      <c r="M933" s="60"/>
      <c r="N933" s="61"/>
      <c r="O933" s="61"/>
      <c r="P933" s="77"/>
      <c r="Q933" s="77"/>
      <c r="R933" s="77"/>
      <c r="S933" s="77"/>
      <c r="T933" s="77">
        <f>1+1</f>
        <v>2</v>
      </c>
      <c r="U933" s="77"/>
      <c r="V933" s="62"/>
      <c r="W933" s="63"/>
      <c r="X933" s="63"/>
      <c r="Z933" s="125"/>
      <c r="AA933" s="113"/>
      <c r="AB933" s="113"/>
      <c r="AC933" s="113"/>
    </row>
    <row r="934" spans="1:29" ht="60" hidden="1" customHeight="1" x14ac:dyDescent="0.2">
      <c r="A934" s="50" t="s">
        <v>1465</v>
      </c>
      <c r="B934" s="74"/>
      <c r="C934" s="66" t="s">
        <v>1466</v>
      </c>
      <c r="D934" s="53" t="s">
        <v>1338</v>
      </c>
      <c r="E934" s="54" t="s">
        <v>1463</v>
      </c>
      <c r="F934" s="55" t="s">
        <v>1467</v>
      </c>
      <c r="G934" s="67" t="s">
        <v>1340</v>
      </c>
      <c r="H934" s="57" t="s">
        <v>84</v>
      </c>
      <c r="I934" s="53" t="s">
        <v>637</v>
      </c>
      <c r="J934" s="57" t="e">
        <f>ROUND(#REF!*2.4,-1)</f>
        <v>#REF!</v>
      </c>
      <c r="K934" s="58"/>
      <c r="L934" s="114">
        <f>1-1</f>
        <v>0</v>
      </c>
      <c r="M934" s="60"/>
      <c r="N934" s="61"/>
      <c r="O934" s="61"/>
      <c r="P934" s="77"/>
      <c r="Q934" s="77"/>
      <c r="R934" s="77"/>
      <c r="S934" s="77"/>
      <c r="T934" s="77">
        <f>1-1</f>
        <v>0</v>
      </c>
      <c r="U934" s="77"/>
      <c r="V934" s="62"/>
      <c r="W934" s="63"/>
      <c r="X934" s="63"/>
      <c r="Z934" s="125"/>
      <c r="AA934" s="113"/>
      <c r="AB934" s="113"/>
      <c r="AC934" s="113"/>
    </row>
    <row r="935" spans="1:29" ht="60" customHeight="1" x14ac:dyDescent="0.2">
      <c r="A935" s="50" t="s">
        <v>1468</v>
      </c>
      <c r="B935" s="74"/>
      <c r="C935" s="66" t="s">
        <v>1469</v>
      </c>
      <c r="D935" s="53" t="s">
        <v>1338</v>
      </c>
      <c r="E935" s="54" t="s">
        <v>1463</v>
      </c>
      <c r="F935" s="55" t="s">
        <v>1467</v>
      </c>
      <c r="G935" s="67" t="s">
        <v>1340</v>
      </c>
      <c r="H935" s="57" t="s">
        <v>1470</v>
      </c>
      <c r="I935" s="53" t="s">
        <v>637</v>
      </c>
      <c r="J935" s="57"/>
      <c r="K935" s="58"/>
      <c r="L935" s="114">
        <f>1-1+7</f>
        <v>7</v>
      </c>
      <c r="M935" s="60"/>
      <c r="N935" s="61"/>
      <c r="O935" s="61"/>
      <c r="P935" s="77"/>
      <c r="Q935" s="77">
        <f>1-1</f>
        <v>0</v>
      </c>
      <c r="R935" s="77">
        <f>2-2+3</f>
        <v>3</v>
      </c>
      <c r="S935" s="77"/>
      <c r="T935" s="77">
        <f>5-5+4</f>
        <v>4</v>
      </c>
      <c r="U935" s="77"/>
      <c r="V935" s="62"/>
      <c r="W935" s="63"/>
      <c r="X935" s="63"/>
      <c r="Z935" s="125"/>
      <c r="AA935" s="113"/>
      <c r="AB935" s="113"/>
      <c r="AC935" s="113"/>
    </row>
    <row r="936" spans="1:29" ht="60" customHeight="1" x14ac:dyDescent="0.2">
      <c r="A936" s="50" t="s">
        <v>1471</v>
      </c>
      <c r="B936" s="74"/>
      <c r="C936" s="66" t="s">
        <v>1472</v>
      </c>
      <c r="D936" s="53" t="s">
        <v>1338</v>
      </c>
      <c r="E936" s="54" t="s">
        <v>1463</v>
      </c>
      <c r="F936" s="55" t="s">
        <v>1473</v>
      </c>
      <c r="G936" s="67" t="s">
        <v>1473</v>
      </c>
      <c r="H936" s="57" t="s">
        <v>273</v>
      </c>
      <c r="I936" s="126" t="s">
        <v>1474</v>
      </c>
      <c r="J936" s="57"/>
      <c r="K936" s="58"/>
      <c r="L936" s="114">
        <f>10-10+8</f>
        <v>8</v>
      </c>
      <c r="M936" s="60"/>
      <c r="N936" s="61"/>
      <c r="O936" s="61"/>
      <c r="P936" s="77"/>
      <c r="Q936" s="77">
        <f>3-3+2</f>
        <v>2</v>
      </c>
      <c r="R936" s="77">
        <f>7-7+6</f>
        <v>6</v>
      </c>
      <c r="S936" s="77"/>
      <c r="T936" s="77"/>
      <c r="U936" s="77"/>
      <c r="V936" s="62"/>
      <c r="W936" s="63"/>
      <c r="X936" s="63"/>
      <c r="Z936" s="125"/>
      <c r="AA936" s="113"/>
      <c r="AB936" s="113"/>
      <c r="AC936" s="113"/>
    </row>
    <row r="937" spans="1:29" ht="60" customHeight="1" x14ac:dyDescent="0.2">
      <c r="A937" s="50" t="s">
        <v>1475</v>
      </c>
      <c r="B937" s="74"/>
      <c r="C937" s="66" t="s">
        <v>1476</v>
      </c>
      <c r="D937" s="53" t="s">
        <v>1338</v>
      </c>
      <c r="E937" s="54" t="s">
        <v>1463</v>
      </c>
      <c r="F937" s="55" t="s">
        <v>1477</v>
      </c>
      <c r="G937" s="67" t="s">
        <v>1477</v>
      </c>
      <c r="H937" s="57" t="s">
        <v>273</v>
      </c>
      <c r="I937" s="126" t="s">
        <v>1474</v>
      </c>
      <c r="J937" s="57"/>
      <c r="K937" s="58"/>
      <c r="L937" s="114">
        <f>8-8+7</f>
        <v>7</v>
      </c>
      <c r="M937" s="60"/>
      <c r="N937" s="61"/>
      <c r="O937" s="61"/>
      <c r="P937" s="77"/>
      <c r="Q937" s="77">
        <f>5-5+4</f>
        <v>4</v>
      </c>
      <c r="R937" s="77">
        <f>3-3+3</f>
        <v>3</v>
      </c>
      <c r="S937" s="77"/>
      <c r="T937" s="77"/>
      <c r="U937" s="77"/>
      <c r="V937" s="62"/>
      <c r="W937" s="63"/>
      <c r="X937" s="63"/>
      <c r="Z937" s="125"/>
      <c r="AA937" s="113"/>
      <c r="AB937" s="113"/>
      <c r="AC937" s="113"/>
    </row>
    <row r="938" spans="1:29" ht="60" customHeight="1" x14ac:dyDescent="0.2">
      <c r="A938" s="50" t="s">
        <v>1478</v>
      </c>
      <c r="B938" s="74"/>
      <c r="C938" s="66" t="s">
        <v>1479</v>
      </c>
      <c r="D938" s="53" t="s">
        <v>33</v>
      </c>
      <c r="E938" s="54" t="s">
        <v>1463</v>
      </c>
      <c r="F938" s="55" t="s">
        <v>1138</v>
      </c>
      <c r="G938" s="67" t="s">
        <v>41</v>
      </c>
      <c r="H938" s="57" t="s">
        <v>60</v>
      </c>
      <c r="I938" s="55" t="s">
        <v>1480</v>
      </c>
      <c r="J938" s="57" t="e">
        <f>ROUND(#REF!*2.4,-1)</f>
        <v>#REF!</v>
      </c>
      <c r="K938" s="58"/>
      <c r="L938" s="88">
        <f>2-1</f>
        <v>1</v>
      </c>
      <c r="M938" s="60"/>
      <c r="N938" s="61"/>
      <c r="O938" s="61"/>
      <c r="P938" s="62"/>
      <c r="Q938" s="62">
        <f>1-1</f>
        <v>0</v>
      </c>
      <c r="R938" s="62">
        <f>1-1</f>
        <v>0</v>
      </c>
      <c r="S938" s="62">
        <f>2-1</f>
        <v>1</v>
      </c>
      <c r="T938" s="62"/>
      <c r="U938" s="62"/>
      <c r="V938" s="62"/>
      <c r="W938" s="63"/>
      <c r="X938" s="63"/>
      <c r="Z938" s="64"/>
      <c r="AA938" s="113"/>
      <c r="AB938" s="113"/>
      <c r="AC938" s="113"/>
    </row>
    <row r="939" spans="1:29" ht="60" customHeight="1" x14ac:dyDescent="0.2">
      <c r="A939" s="50" t="s">
        <v>1481</v>
      </c>
      <c r="B939" s="74"/>
      <c r="C939" s="66" t="s">
        <v>1479</v>
      </c>
      <c r="D939" s="53" t="s">
        <v>33</v>
      </c>
      <c r="E939" s="54" t="s">
        <v>1463</v>
      </c>
      <c r="F939" s="55" t="s">
        <v>1138</v>
      </c>
      <c r="G939" s="67" t="s">
        <v>41</v>
      </c>
      <c r="H939" s="57" t="s">
        <v>132</v>
      </c>
      <c r="I939" s="55" t="s">
        <v>1480</v>
      </c>
      <c r="J939" s="57" t="e">
        <f>ROUND(#REF!*2.4,-1)</f>
        <v>#REF!</v>
      </c>
      <c r="K939" s="58"/>
      <c r="L939" s="88">
        <f>2-1</f>
        <v>1</v>
      </c>
      <c r="M939" s="60"/>
      <c r="N939" s="61"/>
      <c r="O939" s="61"/>
      <c r="P939" s="62"/>
      <c r="Q939" s="62"/>
      <c r="R939" s="62">
        <f>2-1</f>
        <v>1</v>
      </c>
      <c r="S939" s="62">
        <f>1-1</f>
        <v>0</v>
      </c>
      <c r="T939" s="62"/>
      <c r="U939" s="62"/>
      <c r="V939" s="62"/>
      <c r="W939" s="63"/>
      <c r="X939" s="63"/>
      <c r="Z939" s="64"/>
      <c r="AA939" s="113"/>
      <c r="AB939" s="113"/>
      <c r="AC939" s="113"/>
    </row>
    <row r="940" spans="1:29" ht="60" hidden="1" customHeight="1" x14ac:dyDescent="0.2">
      <c r="A940" s="50" t="s">
        <v>1482</v>
      </c>
      <c r="B940" s="74"/>
      <c r="C940" s="66" t="s">
        <v>1483</v>
      </c>
      <c r="D940" s="53" t="s">
        <v>33</v>
      </c>
      <c r="E940" s="54" t="s">
        <v>1463</v>
      </c>
      <c r="F940" s="55" t="s">
        <v>1138</v>
      </c>
      <c r="G940" s="67" t="s">
        <v>41</v>
      </c>
      <c r="H940" s="57" t="s">
        <v>84</v>
      </c>
      <c r="I940" s="55" t="s">
        <v>1480</v>
      </c>
      <c r="J940" s="57" t="e">
        <f>ROUND(#REF!*2.4,-1)</f>
        <v>#REF!</v>
      </c>
      <c r="K940" s="58"/>
      <c r="L940" s="88">
        <f>1-1</f>
        <v>0</v>
      </c>
      <c r="M940" s="60"/>
      <c r="N940" s="61"/>
      <c r="O940" s="61"/>
      <c r="P940" s="62"/>
      <c r="Q940" s="62"/>
      <c r="R940" s="62">
        <f>1-1</f>
        <v>0</v>
      </c>
      <c r="S940" s="62"/>
      <c r="T940" s="62"/>
      <c r="U940" s="62"/>
      <c r="V940" s="62"/>
      <c r="W940" s="63"/>
      <c r="X940" s="63"/>
      <c r="Z940" s="64"/>
      <c r="AA940" s="113"/>
      <c r="AB940" s="113"/>
      <c r="AC940" s="113"/>
    </row>
    <row r="941" spans="1:29" ht="60" hidden="1" customHeight="1" x14ac:dyDescent="0.2">
      <c r="A941" s="50" t="s">
        <v>1484</v>
      </c>
      <c r="B941" s="74"/>
      <c r="C941" s="66" t="s">
        <v>1479</v>
      </c>
      <c r="D941" s="53" t="s">
        <v>33</v>
      </c>
      <c r="E941" s="54" t="s">
        <v>1463</v>
      </c>
      <c r="F941" s="55" t="s">
        <v>1138</v>
      </c>
      <c r="G941" s="67" t="s">
        <v>715</v>
      </c>
      <c r="H941" s="57" t="s">
        <v>60</v>
      </c>
      <c r="I941" s="55" t="s">
        <v>1480</v>
      </c>
      <c r="J941" s="57" t="e">
        <f>ROUND(#REF!*2.4,-1)</f>
        <v>#REF!</v>
      </c>
      <c r="K941" s="58"/>
      <c r="L941" s="88">
        <f>2-2</f>
        <v>0</v>
      </c>
      <c r="M941" s="60"/>
      <c r="N941" s="61"/>
      <c r="O941" s="61"/>
      <c r="P941" s="62">
        <f>1-1</f>
        <v>0</v>
      </c>
      <c r="Q941" s="62">
        <f>1-1</f>
        <v>0</v>
      </c>
      <c r="R941" s="62">
        <f>1-1</f>
        <v>0</v>
      </c>
      <c r="S941" s="62"/>
      <c r="T941" s="62"/>
      <c r="U941" s="62"/>
      <c r="V941" s="62"/>
      <c r="W941" s="63"/>
      <c r="X941" s="63"/>
      <c r="Z941" s="64"/>
      <c r="AA941" s="113"/>
      <c r="AB941" s="113"/>
      <c r="AC941" s="113"/>
    </row>
    <row r="942" spans="1:29" ht="60" customHeight="1" x14ac:dyDescent="0.2">
      <c r="A942" s="50" t="s">
        <v>1485</v>
      </c>
      <c r="B942" s="79"/>
      <c r="C942" s="87" t="s">
        <v>1486</v>
      </c>
      <c r="D942" s="122" t="s">
        <v>1390</v>
      </c>
      <c r="E942" s="54" t="s">
        <v>34</v>
      </c>
      <c r="F942" s="122" t="s">
        <v>1487</v>
      </c>
      <c r="G942" s="68" t="s">
        <v>1390</v>
      </c>
      <c r="H942" s="68" t="s">
        <v>442</v>
      </c>
      <c r="I942" s="122" t="s">
        <v>1339</v>
      </c>
      <c r="J942" s="124">
        <v>599</v>
      </c>
      <c r="K942" s="58"/>
      <c r="L942" s="88">
        <f>15-1</f>
        <v>14</v>
      </c>
      <c r="M942" s="80">
        <f>15-1</f>
        <v>14</v>
      </c>
      <c r="N942" s="61"/>
      <c r="O942" s="61"/>
      <c r="P942" s="63"/>
      <c r="Q942" s="63"/>
      <c r="R942" s="63"/>
      <c r="S942" s="63"/>
      <c r="T942" s="63"/>
      <c r="U942" s="63"/>
      <c r="V942" s="63"/>
      <c r="W942" s="63"/>
      <c r="X942" s="63"/>
      <c r="Z942" s="63"/>
      <c r="AA942" s="127"/>
      <c r="AB942" s="127"/>
      <c r="AC942" s="127"/>
    </row>
    <row r="943" spans="1:29" ht="25.5" hidden="1" customHeight="1" x14ac:dyDescent="0.2">
      <c r="A943" s="50" t="s">
        <v>1488</v>
      </c>
      <c r="B943" s="121"/>
      <c r="C943" s="87" t="s">
        <v>1489</v>
      </c>
      <c r="D943" s="122" t="s">
        <v>1390</v>
      </c>
      <c r="E943" s="54" t="s">
        <v>34</v>
      </c>
      <c r="F943" s="128"/>
      <c r="G943" s="54" t="s">
        <v>1490</v>
      </c>
      <c r="H943" s="54"/>
      <c r="I943" s="128"/>
      <c r="J943" s="54"/>
      <c r="K943" s="58"/>
      <c r="L943" s="88">
        <f>1-1</f>
        <v>0</v>
      </c>
      <c r="M943" s="80">
        <f>1-1</f>
        <v>0</v>
      </c>
      <c r="N943" s="61"/>
      <c r="O943" s="61"/>
      <c r="P943" s="63"/>
      <c r="Q943" s="63"/>
      <c r="R943" s="63"/>
      <c r="S943" s="63"/>
      <c r="T943" s="63"/>
      <c r="U943" s="63"/>
      <c r="V943" s="63"/>
      <c r="W943" s="63"/>
      <c r="X943" s="63"/>
      <c r="Z943" s="63"/>
      <c r="AA943" s="113"/>
      <c r="AB943" s="113"/>
      <c r="AC943" s="113"/>
    </row>
    <row r="944" spans="1:29" ht="25.5" hidden="1" customHeight="1" x14ac:dyDescent="0.2">
      <c r="A944" s="50" t="s">
        <v>1491</v>
      </c>
      <c r="B944" s="121"/>
      <c r="C944" s="87" t="s">
        <v>1492</v>
      </c>
      <c r="D944" s="122" t="s">
        <v>1390</v>
      </c>
      <c r="E944" s="54" t="s">
        <v>34</v>
      </c>
      <c r="F944" s="128"/>
      <c r="G944" s="54" t="s">
        <v>1490</v>
      </c>
      <c r="H944" s="54"/>
      <c r="I944" s="128"/>
      <c r="J944" s="54"/>
      <c r="K944" s="58"/>
      <c r="L944" s="88">
        <v>0</v>
      </c>
      <c r="M944" s="80">
        <v>0</v>
      </c>
      <c r="N944" s="61"/>
      <c r="O944" s="61"/>
      <c r="P944" s="63"/>
      <c r="Q944" s="63"/>
      <c r="R944" s="63"/>
      <c r="S944" s="63"/>
      <c r="T944" s="63"/>
      <c r="U944" s="63"/>
      <c r="V944" s="63"/>
      <c r="W944" s="63"/>
      <c r="X944" s="63"/>
      <c r="Z944" s="63"/>
      <c r="AA944" s="113"/>
      <c r="AB944" s="113"/>
      <c r="AC944" s="113"/>
    </row>
    <row r="945" spans="1:29" ht="25.5" hidden="1" customHeight="1" x14ac:dyDescent="0.2">
      <c r="A945" s="50" t="s">
        <v>1493</v>
      </c>
      <c r="B945" s="121"/>
      <c r="C945" s="87" t="s">
        <v>1494</v>
      </c>
      <c r="D945" s="122" t="s">
        <v>1390</v>
      </c>
      <c r="E945" s="54" t="s">
        <v>34</v>
      </c>
      <c r="F945" s="128"/>
      <c r="G945" s="54" t="s">
        <v>1490</v>
      </c>
      <c r="H945" s="54"/>
      <c r="I945" s="128"/>
      <c r="J945" s="54"/>
      <c r="K945" s="58"/>
      <c r="L945" s="88">
        <v>0</v>
      </c>
      <c r="M945" s="80">
        <v>0</v>
      </c>
      <c r="N945" s="61"/>
      <c r="O945" s="61"/>
      <c r="P945" s="63"/>
      <c r="Q945" s="63"/>
      <c r="R945" s="63"/>
      <c r="S945" s="63"/>
      <c r="T945" s="63"/>
      <c r="U945" s="63"/>
      <c r="V945" s="63"/>
      <c r="W945" s="63"/>
      <c r="X945" s="63"/>
      <c r="Z945" s="63"/>
      <c r="AA945" s="113"/>
      <c r="AB945" s="113"/>
      <c r="AC945" s="113"/>
    </row>
    <row r="946" spans="1:29" ht="25.5" customHeight="1" x14ac:dyDescent="0.2">
      <c r="A946" s="50" t="s">
        <v>1495</v>
      </c>
      <c r="B946" s="121"/>
      <c r="C946" s="87" t="s">
        <v>1496</v>
      </c>
      <c r="D946" s="122" t="s">
        <v>1390</v>
      </c>
      <c r="E946" s="54" t="s">
        <v>34</v>
      </c>
      <c r="F946" s="128"/>
      <c r="G946" s="54" t="s">
        <v>1490</v>
      </c>
      <c r="H946" s="54"/>
      <c r="I946" s="128"/>
      <c r="J946" s="54"/>
      <c r="K946" s="58"/>
      <c r="L946" s="88">
        <f>10-1</f>
        <v>9</v>
      </c>
      <c r="M946" s="80">
        <f>10-1</f>
        <v>9</v>
      </c>
      <c r="N946" s="61"/>
      <c r="O946" s="61"/>
      <c r="P946" s="63"/>
      <c r="Q946" s="63"/>
      <c r="R946" s="63"/>
      <c r="S946" s="63"/>
      <c r="T946" s="63"/>
      <c r="U946" s="63"/>
      <c r="V946" s="63"/>
      <c r="W946" s="63"/>
      <c r="X946" s="63"/>
      <c r="Z946" s="63"/>
      <c r="AA946" s="113"/>
      <c r="AB946" s="113"/>
      <c r="AC946" s="113"/>
    </row>
    <row r="947" spans="1:29" ht="25.5" hidden="1" customHeight="1" x14ac:dyDescent="0.2">
      <c r="A947" s="50" t="s">
        <v>1497</v>
      </c>
      <c r="B947" s="121"/>
      <c r="C947" s="87" t="s">
        <v>1498</v>
      </c>
      <c r="D947" s="122" t="s">
        <v>1390</v>
      </c>
      <c r="E947" s="54" t="s">
        <v>34</v>
      </c>
      <c r="F947" s="128"/>
      <c r="G947" s="54" t="s">
        <v>1490</v>
      </c>
      <c r="H947" s="54"/>
      <c r="I947" s="128"/>
      <c r="J947" s="54"/>
      <c r="K947" s="58"/>
      <c r="L947" s="88">
        <v>0</v>
      </c>
      <c r="M947" s="80">
        <v>0</v>
      </c>
      <c r="N947" s="61"/>
      <c r="O947" s="61"/>
      <c r="P947" s="63"/>
      <c r="Q947" s="63"/>
      <c r="R947" s="63"/>
      <c r="S947" s="63"/>
      <c r="T947" s="63"/>
      <c r="U947" s="63"/>
      <c r="V947" s="63"/>
      <c r="W947" s="63"/>
      <c r="X947" s="63"/>
      <c r="Z947" s="63"/>
      <c r="AA947" s="113"/>
      <c r="AB947" s="113"/>
      <c r="AC947" s="113"/>
    </row>
    <row r="948" spans="1:29" ht="25.5" hidden="1" customHeight="1" x14ac:dyDescent="0.2">
      <c r="A948" s="50" t="s">
        <v>1499</v>
      </c>
      <c r="B948" s="121"/>
      <c r="C948" s="87" t="s">
        <v>1500</v>
      </c>
      <c r="D948" s="122" t="s">
        <v>1390</v>
      </c>
      <c r="E948" s="54" t="s">
        <v>34</v>
      </c>
      <c r="F948" s="128"/>
      <c r="G948" s="54" t="s">
        <v>1490</v>
      </c>
      <c r="H948" s="54"/>
      <c r="I948" s="128"/>
      <c r="J948" s="54"/>
      <c r="K948" s="58"/>
      <c r="L948" s="88">
        <v>0</v>
      </c>
      <c r="M948" s="80">
        <v>0</v>
      </c>
      <c r="N948" s="61"/>
      <c r="O948" s="61"/>
      <c r="P948" s="63"/>
      <c r="Q948" s="63"/>
      <c r="R948" s="63"/>
      <c r="S948" s="63"/>
      <c r="T948" s="63"/>
      <c r="U948" s="63"/>
      <c r="V948" s="63"/>
      <c r="W948" s="63"/>
      <c r="X948" s="63"/>
      <c r="Z948" s="63"/>
      <c r="AA948" s="113"/>
      <c r="AB948" s="113"/>
      <c r="AC948" s="113"/>
    </row>
    <row r="949" spans="1:29" ht="25.5" hidden="1" customHeight="1" x14ac:dyDescent="0.2">
      <c r="A949" s="50" t="s">
        <v>1501</v>
      </c>
      <c r="B949" s="121"/>
      <c r="C949" s="87" t="s">
        <v>1502</v>
      </c>
      <c r="D949" s="122" t="s">
        <v>1390</v>
      </c>
      <c r="E949" s="54" t="s">
        <v>34</v>
      </c>
      <c r="F949" s="128"/>
      <c r="G949" s="54" t="s">
        <v>1490</v>
      </c>
      <c r="H949" s="54"/>
      <c r="I949" s="128"/>
      <c r="J949" s="54"/>
      <c r="K949" s="58"/>
      <c r="L949" s="88">
        <v>0</v>
      </c>
      <c r="M949" s="80">
        <v>0</v>
      </c>
      <c r="N949" s="61"/>
      <c r="O949" s="61"/>
      <c r="P949" s="63"/>
      <c r="Q949" s="63"/>
      <c r="R949" s="63"/>
      <c r="S949" s="63"/>
      <c r="T949" s="63"/>
      <c r="U949" s="63"/>
      <c r="V949" s="63"/>
      <c r="W949" s="63"/>
      <c r="X949" s="63"/>
      <c r="Z949" s="63"/>
      <c r="AA949" s="113"/>
      <c r="AB949" s="113"/>
      <c r="AC949" s="113"/>
    </row>
    <row r="950" spans="1:29" ht="25.5" customHeight="1" x14ac:dyDescent="0.2">
      <c r="A950" s="50" t="s">
        <v>1503</v>
      </c>
      <c r="B950" s="121"/>
      <c r="C950" s="87" t="s">
        <v>1504</v>
      </c>
      <c r="D950" s="122" t="s">
        <v>1390</v>
      </c>
      <c r="E950" s="54" t="s">
        <v>34</v>
      </c>
      <c r="F950" s="128"/>
      <c r="G950" s="54" t="s">
        <v>1490</v>
      </c>
      <c r="H950" s="54"/>
      <c r="I950" s="128"/>
      <c r="J950" s="54"/>
      <c r="K950" s="58"/>
      <c r="L950" s="88">
        <v>5</v>
      </c>
      <c r="M950" s="80">
        <v>5</v>
      </c>
      <c r="N950" s="61"/>
      <c r="O950" s="61"/>
      <c r="P950" s="63"/>
      <c r="Q950" s="63"/>
      <c r="R950" s="63"/>
      <c r="S950" s="63"/>
      <c r="T950" s="63"/>
      <c r="U950" s="63"/>
      <c r="V950" s="63"/>
      <c r="W950" s="63"/>
      <c r="X950" s="63"/>
      <c r="Z950" s="63"/>
      <c r="AA950" s="113"/>
      <c r="AB950" s="113"/>
      <c r="AC950" s="113"/>
    </row>
    <row r="951" spans="1:29" ht="25.5" customHeight="1" x14ac:dyDescent="0.2">
      <c r="A951" s="50" t="s">
        <v>1505</v>
      </c>
      <c r="B951" s="121"/>
      <c r="C951" s="87" t="s">
        <v>1506</v>
      </c>
      <c r="D951" s="122" t="s">
        <v>1390</v>
      </c>
      <c r="E951" s="54" t="s">
        <v>34</v>
      </c>
      <c r="F951" s="128"/>
      <c r="G951" s="54" t="s">
        <v>1490</v>
      </c>
      <c r="H951" s="54"/>
      <c r="I951" s="128"/>
      <c r="J951" s="54"/>
      <c r="K951" s="58"/>
      <c r="L951" s="88">
        <f>2-2+1</f>
        <v>1</v>
      </c>
      <c r="M951" s="80">
        <f>2-2+1</f>
        <v>1</v>
      </c>
      <c r="N951" s="61"/>
      <c r="O951" s="61"/>
      <c r="P951" s="63"/>
      <c r="Q951" s="63"/>
      <c r="R951" s="63"/>
      <c r="S951" s="63"/>
      <c r="T951" s="63"/>
      <c r="U951" s="63"/>
      <c r="V951" s="63"/>
      <c r="W951" s="63"/>
      <c r="X951" s="63"/>
      <c r="Z951" s="63"/>
      <c r="AA951" s="113"/>
      <c r="AB951" s="113"/>
      <c r="AC951" s="113"/>
    </row>
    <row r="952" spans="1:29" ht="25.5" hidden="1" customHeight="1" x14ac:dyDescent="0.2">
      <c r="A952" s="50" t="s">
        <v>1507</v>
      </c>
      <c r="B952" s="121"/>
      <c r="C952" s="87" t="s">
        <v>1508</v>
      </c>
      <c r="D952" s="122" t="s">
        <v>1390</v>
      </c>
      <c r="E952" s="54" t="s">
        <v>34</v>
      </c>
      <c r="F952" s="128"/>
      <c r="G952" s="54" t="s">
        <v>1490</v>
      </c>
      <c r="H952" s="54"/>
      <c r="I952" s="128"/>
      <c r="J952" s="54"/>
      <c r="K952" s="58"/>
      <c r="L952" s="88">
        <v>0</v>
      </c>
      <c r="M952" s="80">
        <v>0</v>
      </c>
      <c r="N952" s="61"/>
      <c r="O952" s="61"/>
      <c r="P952" s="63"/>
      <c r="Q952" s="63"/>
      <c r="R952" s="63"/>
      <c r="S952" s="63"/>
      <c r="T952" s="63"/>
      <c r="U952" s="63"/>
      <c r="V952" s="63"/>
      <c r="W952" s="63"/>
      <c r="X952" s="63"/>
      <c r="Z952" s="63"/>
      <c r="AA952" s="113"/>
      <c r="AB952" s="113"/>
      <c r="AC952" s="113"/>
    </row>
    <row r="953" spans="1:29" ht="25.5" hidden="1" customHeight="1" x14ac:dyDescent="0.2">
      <c r="A953" s="50" t="s">
        <v>1509</v>
      </c>
      <c r="B953" s="121"/>
      <c r="C953" s="87" t="s">
        <v>1510</v>
      </c>
      <c r="D953" s="122" t="s">
        <v>1390</v>
      </c>
      <c r="E953" s="54" t="s">
        <v>34</v>
      </c>
      <c r="F953" s="128"/>
      <c r="G953" s="54" t="s">
        <v>1490</v>
      </c>
      <c r="H953" s="54"/>
      <c r="I953" s="128"/>
      <c r="J953" s="54"/>
      <c r="K953" s="58"/>
      <c r="L953" s="88">
        <v>0</v>
      </c>
      <c r="M953" s="80">
        <v>0</v>
      </c>
      <c r="N953" s="61"/>
      <c r="O953" s="61"/>
      <c r="P953" s="63"/>
      <c r="Q953" s="63"/>
      <c r="R953" s="63"/>
      <c r="S953" s="63"/>
      <c r="T953" s="63"/>
      <c r="U953" s="63"/>
      <c r="V953" s="63"/>
      <c r="W953" s="63"/>
      <c r="X953" s="63"/>
      <c r="Z953" s="63"/>
      <c r="AA953" s="113"/>
      <c r="AB953" s="113"/>
      <c r="AC953" s="113"/>
    </row>
    <row r="954" spans="1:29" ht="60" hidden="1" customHeight="1" x14ac:dyDescent="0.2">
      <c r="A954" s="50" t="s">
        <v>1511</v>
      </c>
      <c r="B954" s="74"/>
      <c r="C954" s="68" t="s">
        <v>1512</v>
      </c>
      <c r="D954" s="53" t="s">
        <v>48</v>
      </c>
      <c r="E954" s="68" t="s">
        <v>1513</v>
      </c>
      <c r="F954" s="55" t="s">
        <v>49</v>
      </c>
      <c r="G954" s="67" t="s">
        <v>50</v>
      </c>
      <c r="H954" s="57" t="s">
        <v>37</v>
      </c>
      <c r="I954" s="53" t="s">
        <v>637</v>
      </c>
      <c r="J954" s="106">
        <v>1540</v>
      </c>
      <c r="K954" s="58"/>
      <c r="L954" s="114">
        <f>1-1</f>
        <v>0</v>
      </c>
      <c r="M954" s="60"/>
      <c r="N954" s="61"/>
      <c r="O954" s="61"/>
      <c r="P954" s="77"/>
      <c r="Q954" s="77">
        <f>1-1</f>
        <v>0</v>
      </c>
      <c r="R954" s="77">
        <f>1-1</f>
        <v>0</v>
      </c>
      <c r="S954" s="77">
        <f>1-1</f>
        <v>0</v>
      </c>
      <c r="T954" s="77">
        <f>1-1</f>
        <v>0</v>
      </c>
      <c r="U954" s="77"/>
      <c r="V954" s="62"/>
      <c r="W954" s="63"/>
      <c r="X954" s="63"/>
      <c r="Z954" s="63"/>
      <c r="AA954" s="113"/>
      <c r="AB954" s="113"/>
      <c r="AC954" s="113"/>
    </row>
    <row r="955" spans="1:29" ht="60" customHeight="1" x14ac:dyDescent="0.2">
      <c r="A955" s="50" t="s">
        <v>1514</v>
      </c>
      <c r="B955" s="74"/>
      <c r="C955" s="68" t="s">
        <v>1515</v>
      </c>
      <c r="D955" s="53" t="s">
        <v>58</v>
      </c>
      <c r="E955" s="68" t="s">
        <v>1513</v>
      </c>
      <c r="F955" s="67" t="s">
        <v>59</v>
      </c>
      <c r="G955" s="67" t="s">
        <v>50</v>
      </c>
      <c r="H955" s="57" t="s">
        <v>37</v>
      </c>
      <c r="I955" s="53" t="s">
        <v>637</v>
      </c>
      <c r="J955" s="106">
        <v>1540</v>
      </c>
      <c r="K955" s="58"/>
      <c r="L955" s="114">
        <f>28-1</f>
        <v>27</v>
      </c>
      <c r="M955" s="60"/>
      <c r="N955" s="61"/>
      <c r="O955" s="61"/>
      <c r="P955" s="77">
        <f>6-5+5</f>
        <v>6</v>
      </c>
      <c r="Q955" s="77">
        <f>16-15+15</f>
        <v>16</v>
      </c>
      <c r="R955" s="77">
        <f>1-1+1</f>
        <v>1</v>
      </c>
      <c r="S955" s="77">
        <f>5-1</f>
        <v>4</v>
      </c>
      <c r="T955" s="77"/>
      <c r="U955" s="77"/>
      <c r="V955" s="62"/>
      <c r="W955" s="63"/>
      <c r="X955" s="63"/>
      <c r="Z955" s="63"/>
      <c r="AA955" s="113"/>
      <c r="AB955" s="113"/>
      <c r="AC955" s="113"/>
    </row>
    <row r="956" spans="1:29" ht="60" hidden="1" customHeight="1" x14ac:dyDescent="0.2">
      <c r="A956" s="50" t="s">
        <v>1516</v>
      </c>
      <c r="B956" s="74"/>
      <c r="C956" s="66" t="s">
        <v>1517</v>
      </c>
      <c r="D956" s="53" t="s">
        <v>48</v>
      </c>
      <c r="E956" s="68" t="s">
        <v>1513</v>
      </c>
      <c r="F956" s="55" t="s">
        <v>49</v>
      </c>
      <c r="G956" s="67" t="s">
        <v>50</v>
      </c>
      <c r="H956" s="57" t="s">
        <v>37</v>
      </c>
      <c r="I956" s="53" t="s">
        <v>637</v>
      </c>
      <c r="J956" s="106">
        <v>1400</v>
      </c>
      <c r="K956" s="58"/>
      <c r="L956" s="114">
        <f>1-1</f>
        <v>0</v>
      </c>
      <c r="M956" s="60"/>
      <c r="N956" s="61"/>
      <c r="O956" s="61"/>
      <c r="P956" s="77"/>
      <c r="Q956" s="77">
        <f>1-1</f>
        <v>0</v>
      </c>
      <c r="R956" s="77">
        <f>1-1</f>
        <v>0</v>
      </c>
      <c r="S956" s="77">
        <f>1-1</f>
        <v>0</v>
      </c>
      <c r="T956" s="77">
        <f>2-2</f>
        <v>0</v>
      </c>
      <c r="U956" s="77"/>
      <c r="V956" s="62"/>
      <c r="W956" s="63"/>
      <c r="X956" s="63"/>
      <c r="Z956" s="63"/>
      <c r="AA956" s="113"/>
      <c r="AB956" s="113"/>
      <c r="AC956" s="113"/>
    </row>
    <row r="957" spans="1:29" ht="60" hidden="1" customHeight="1" x14ac:dyDescent="0.2">
      <c r="A957" s="50" t="s">
        <v>1518</v>
      </c>
      <c r="B957" s="74"/>
      <c r="C957" s="66" t="s">
        <v>1519</v>
      </c>
      <c r="D957" s="53" t="s">
        <v>58</v>
      </c>
      <c r="E957" s="68" t="s">
        <v>1513</v>
      </c>
      <c r="F957" s="67" t="s">
        <v>59</v>
      </c>
      <c r="G957" s="67" t="s">
        <v>50</v>
      </c>
      <c r="H957" s="57" t="s">
        <v>37</v>
      </c>
      <c r="I957" s="53" t="s">
        <v>1520</v>
      </c>
      <c r="J957" s="106">
        <v>1400</v>
      </c>
      <c r="K957" s="58"/>
      <c r="L957" s="114">
        <f>1-1</f>
        <v>0</v>
      </c>
      <c r="M957" s="60"/>
      <c r="N957" s="61"/>
      <c r="O957" s="61"/>
      <c r="P957" s="77"/>
      <c r="Q957" s="77"/>
      <c r="R957" s="77">
        <f>1-1</f>
        <v>0</v>
      </c>
      <c r="S957" s="77"/>
      <c r="T957" s="77">
        <f>1-1</f>
        <v>0</v>
      </c>
      <c r="U957" s="77"/>
      <c r="V957" s="62"/>
      <c r="W957" s="63"/>
      <c r="X957" s="63"/>
      <c r="Z957" s="63"/>
      <c r="AA957" s="113"/>
      <c r="AB957" s="113"/>
      <c r="AC957" s="113"/>
    </row>
    <row r="958" spans="1:29" ht="60" customHeight="1" x14ac:dyDescent="0.2">
      <c r="A958" s="50" t="s">
        <v>1521</v>
      </c>
      <c r="B958" s="74"/>
      <c r="C958" s="68" t="s">
        <v>1522</v>
      </c>
      <c r="D958" s="53" t="s">
        <v>58</v>
      </c>
      <c r="E958" s="68" t="s">
        <v>1513</v>
      </c>
      <c r="F958" s="67" t="s">
        <v>59</v>
      </c>
      <c r="G958" s="67" t="s">
        <v>50</v>
      </c>
      <c r="H958" s="57" t="s">
        <v>60</v>
      </c>
      <c r="I958" s="53" t="s">
        <v>1523</v>
      </c>
      <c r="J958" s="106">
        <v>1540</v>
      </c>
      <c r="K958" s="58"/>
      <c r="L958" s="114">
        <f>3-1</f>
        <v>2</v>
      </c>
      <c r="M958" s="60"/>
      <c r="N958" s="61"/>
      <c r="O958" s="61"/>
      <c r="P958" s="77">
        <f>2-1</f>
        <v>1</v>
      </c>
      <c r="Q958" s="77">
        <f>1-1</f>
        <v>0</v>
      </c>
      <c r="R958" s="77">
        <f>2-1</f>
        <v>1</v>
      </c>
      <c r="S958" s="77">
        <f t="shared" ref="S958:S964" si="71">1-1</f>
        <v>0</v>
      </c>
      <c r="T958" s="77"/>
      <c r="U958" s="77"/>
      <c r="V958" s="62"/>
      <c r="W958" s="63"/>
      <c r="X958" s="63"/>
      <c r="Z958" s="63"/>
      <c r="AA958" s="113"/>
      <c r="AB958" s="113"/>
      <c r="AC958" s="113"/>
    </row>
    <row r="959" spans="1:29" ht="60" customHeight="1" x14ac:dyDescent="0.2">
      <c r="A959" s="50" t="s">
        <v>1524</v>
      </c>
      <c r="B959" s="74"/>
      <c r="C959" s="68" t="s">
        <v>1525</v>
      </c>
      <c r="D959" s="53" t="s">
        <v>58</v>
      </c>
      <c r="E959" s="68" t="s">
        <v>1513</v>
      </c>
      <c r="F959" s="67" t="s">
        <v>59</v>
      </c>
      <c r="G959" s="67" t="s">
        <v>50</v>
      </c>
      <c r="H959" s="57" t="s">
        <v>60</v>
      </c>
      <c r="I959" s="53" t="s">
        <v>1523</v>
      </c>
      <c r="J959" s="106">
        <v>1540</v>
      </c>
      <c r="K959" s="58"/>
      <c r="L959" s="114">
        <f>1-1+1+1</f>
        <v>2</v>
      </c>
      <c r="M959" s="60"/>
      <c r="N959" s="61"/>
      <c r="O959" s="61"/>
      <c r="P959" s="77"/>
      <c r="Q959" s="77">
        <f>1-1</f>
        <v>0</v>
      </c>
      <c r="R959" s="77">
        <f>1-1+1</f>
        <v>1</v>
      </c>
      <c r="S959" s="77">
        <f>1-1+1</f>
        <v>1</v>
      </c>
      <c r="T959" s="77">
        <f>1-1</f>
        <v>0</v>
      </c>
      <c r="U959" s="77">
        <f>1-1</f>
        <v>0</v>
      </c>
      <c r="V959" s="62"/>
      <c r="W959" s="63"/>
      <c r="X959" s="63"/>
      <c r="Z959" s="63"/>
      <c r="AA959" s="113"/>
      <c r="AB959" s="113"/>
      <c r="AC959" s="113"/>
    </row>
    <row r="960" spans="1:29" ht="60" hidden="1" customHeight="1" x14ac:dyDescent="0.2">
      <c r="A960" s="50" t="s">
        <v>1526</v>
      </c>
      <c r="B960" s="74"/>
      <c r="C960" s="68" t="s">
        <v>1525</v>
      </c>
      <c r="D960" s="53" t="s">
        <v>48</v>
      </c>
      <c r="E960" s="68" t="s">
        <v>1513</v>
      </c>
      <c r="F960" s="55" t="s">
        <v>49</v>
      </c>
      <c r="G960" s="67" t="s">
        <v>50</v>
      </c>
      <c r="H960" s="57" t="s">
        <v>340</v>
      </c>
      <c r="I960" s="53" t="s">
        <v>637</v>
      </c>
      <c r="J960" s="106">
        <v>1540</v>
      </c>
      <c r="K960" s="58"/>
      <c r="L960" s="114">
        <f>1-1</f>
        <v>0</v>
      </c>
      <c r="M960" s="60"/>
      <c r="N960" s="61"/>
      <c r="O960" s="61"/>
      <c r="P960" s="77"/>
      <c r="Q960" s="77">
        <f>1-1</f>
        <v>0</v>
      </c>
      <c r="R960" s="77">
        <f>1-1</f>
        <v>0</v>
      </c>
      <c r="S960" s="77">
        <f t="shared" si="71"/>
        <v>0</v>
      </c>
      <c r="T960" s="77"/>
      <c r="U960" s="77"/>
      <c r="V960" s="62"/>
      <c r="W960" s="63"/>
      <c r="X960" s="63"/>
      <c r="Z960" s="63"/>
      <c r="AA960" s="113"/>
      <c r="AB960" s="113"/>
      <c r="AC960" s="113"/>
    </row>
    <row r="961" spans="1:29" ht="60" hidden="1" customHeight="1" x14ac:dyDescent="0.2">
      <c r="A961" s="50" t="s">
        <v>1527</v>
      </c>
      <c r="B961" s="74"/>
      <c r="C961" s="68" t="s">
        <v>1525</v>
      </c>
      <c r="D961" s="53" t="s">
        <v>48</v>
      </c>
      <c r="E961" s="68" t="s">
        <v>1513</v>
      </c>
      <c r="F961" s="55" t="s">
        <v>49</v>
      </c>
      <c r="G961" s="67" t="s">
        <v>50</v>
      </c>
      <c r="H961" s="57" t="s">
        <v>132</v>
      </c>
      <c r="I961" s="53" t="s">
        <v>637</v>
      </c>
      <c r="J961" s="106">
        <v>1540</v>
      </c>
      <c r="K961" s="58"/>
      <c r="L961" s="114">
        <f>1-1</f>
        <v>0</v>
      </c>
      <c r="M961" s="60"/>
      <c r="N961" s="61"/>
      <c r="O961" s="61"/>
      <c r="P961" s="77"/>
      <c r="Q961" s="77">
        <f>1-1</f>
        <v>0</v>
      </c>
      <c r="R961" s="77">
        <f>1-1</f>
        <v>0</v>
      </c>
      <c r="S961" s="77">
        <f t="shared" si="71"/>
        <v>0</v>
      </c>
      <c r="T961" s="77"/>
      <c r="U961" s="77"/>
      <c r="V961" s="62"/>
      <c r="W961" s="63"/>
      <c r="X961" s="63"/>
      <c r="Z961" s="63"/>
      <c r="AA961" s="113"/>
      <c r="AB961" s="113"/>
      <c r="AC961" s="113"/>
    </row>
    <row r="962" spans="1:29" ht="60" hidden="1" customHeight="1" x14ac:dyDescent="0.2">
      <c r="A962" s="50" t="s">
        <v>1528</v>
      </c>
      <c r="B962" s="74"/>
      <c r="C962" s="66" t="s">
        <v>1529</v>
      </c>
      <c r="D962" s="53" t="s">
        <v>58</v>
      </c>
      <c r="E962" s="68" t="s">
        <v>1513</v>
      </c>
      <c r="F962" s="67" t="s">
        <v>59</v>
      </c>
      <c r="G962" s="67" t="s">
        <v>50</v>
      </c>
      <c r="H962" s="57" t="s">
        <v>60</v>
      </c>
      <c r="I962" s="53" t="s">
        <v>1520</v>
      </c>
      <c r="J962" s="106">
        <v>1540</v>
      </c>
      <c r="K962" s="58"/>
      <c r="L962" s="114">
        <f>1-1</f>
        <v>0</v>
      </c>
      <c r="M962" s="60"/>
      <c r="N962" s="61"/>
      <c r="O962" s="61"/>
      <c r="P962" s="77">
        <f>1-1</f>
        <v>0</v>
      </c>
      <c r="Q962" s="77">
        <f t="shared" ref="Q962:R969" si="72">1-1</f>
        <v>0</v>
      </c>
      <c r="R962" s="77">
        <f t="shared" si="72"/>
        <v>0</v>
      </c>
      <c r="S962" s="77">
        <f t="shared" si="71"/>
        <v>0</v>
      </c>
      <c r="T962" s="77">
        <f>1-1</f>
        <v>0</v>
      </c>
      <c r="U962" s="77"/>
      <c r="V962" s="62"/>
      <c r="W962" s="63"/>
      <c r="X962" s="63"/>
      <c r="Z962" s="63"/>
      <c r="AA962" s="113"/>
      <c r="AB962" s="113"/>
      <c r="AC962" s="113"/>
    </row>
    <row r="963" spans="1:29" ht="60" hidden="1" customHeight="1" x14ac:dyDescent="0.2">
      <c r="A963" s="50" t="s">
        <v>1530</v>
      </c>
      <c r="B963" s="74"/>
      <c r="C963" s="66" t="s">
        <v>1531</v>
      </c>
      <c r="D963" s="53" t="s">
        <v>58</v>
      </c>
      <c r="E963" s="68" t="s">
        <v>1513</v>
      </c>
      <c r="F963" s="67" t="s">
        <v>59</v>
      </c>
      <c r="G963" s="67" t="s">
        <v>50</v>
      </c>
      <c r="H963" s="57" t="s">
        <v>37</v>
      </c>
      <c r="I963" s="53" t="s">
        <v>1520</v>
      </c>
      <c r="J963" s="106">
        <v>1260</v>
      </c>
      <c r="K963" s="58"/>
      <c r="L963" s="114">
        <f>1-1</f>
        <v>0</v>
      </c>
      <c r="M963" s="60"/>
      <c r="N963" s="61"/>
      <c r="O963" s="61"/>
      <c r="P963" s="77">
        <f>1-1</f>
        <v>0</v>
      </c>
      <c r="Q963" s="77">
        <f t="shared" si="72"/>
        <v>0</v>
      </c>
      <c r="R963" s="77">
        <f>1-1</f>
        <v>0</v>
      </c>
      <c r="S963" s="77">
        <f t="shared" si="71"/>
        <v>0</v>
      </c>
      <c r="T963" s="77">
        <f>1-1</f>
        <v>0</v>
      </c>
      <c r="U963" s="77"/>
      <c r="V963" s="62"/>
      <c r="W963" s="63"/>
      <c r="X963" s="63"/>
      <c r="Z963" s="63"/>
      <c r="AA963" s="113"/>
      <c r="AB963" s="113"/>
      <c r="AC963" s="113"/>
    </row>
    <row r="964" spans="1:29" ht="60" hidden="1" customHeight="1" x14ac:dyDescent="0.2">
      <c r="A964" s="50" t="s">
        <v>1532</v>
      </c>
      <c r="B964" s="74"/>
      <c r="C964" s="66" t="s">
        <v>1533</v>
      </c>
      <c r="D964" s="53" t="s">
        <v>58</v>
      </c>
      <c r="E964" s="68" t="s">
        <v>1513</v>
      </c>
      <c r="F964" s="67" t="s">
        <v>59</v>
      </c>
      <c r="G964" s="67" t="s">
        <v>50</v>
      </c>
      <c r="H964" s="57" t="s">
        <v>37</v>
      </c>
      <c r="I964" s="55" t="s">
        <v>1534</v>
      </c>
      <c r="J964" s="106">
        <v>1540</v>
      </c>
      <c r="K964" s="58"/>
      <c r="L964" s="114">
        <f>1-1</f>
        <v>0</v>
      </c>
      <c r="M964" s="60"/>
      <c r="N964" s="61"/>
      <c r="O964" s="61"/>
      <c r="P964" s="77">
        <f>1-1</f>
        <v>0</v>
      </c>
      <c r="Q964" s="77">
        <f t="shared" si="72"/>
        <v>0</v>
      </c>
      <c r="R964" s="77">
        <f t="shared" si="72"/>
        <v>0</v>
      </c>
      <c r="S964" s="77">
        <f t="shared" si="71"/>
        <v>0</v>
      </c>
      <c r="T964" s="77">
        <f>1-1</f>
        <v>0</v>
      </c>
      <c r="U964" s="77"/>
      <c r="V964" s="62"/>
      <c r="W964" s="63"/>
      <c r="X964" s="63"/>
      <c r="Z964" s="63"/>
      <c r="AA964" s="113"/>
      <c r="AB964" s="113"/>
      <c r="AC964" s="113"/>
    </row>
    <row r="965" spans="1:29" ht="60" customHeight="1" x14ac:dyDescent="0.2">
      <c r="A965" s="50" t="s">
        <v>1535</v>
      </c>
      <c r="B965" s="74"/>
      <c r="C965" s="66" t="s">
        <v>1525</v>
      </c>
      <c r="D965" s="53" t="s">
        <v>48</v>
      </c>
      <c r="E965" s="68" t="s">
        <v>1513</v>
      </c>
      <c r="F965" s="55" t="s">
        <v>49</v>
      </c>
      <c r="G965" s="67" t="s">
        <v>50</v>
      </c>
      <c r="H965" s="57" t="s">
        <v>37</v>
      </c>
      <c r="I965" s="53" t="s">
        <v>637</v>
      </c>
      <c r="J965" s="106">
        <v>1540</v>
      </c>
      <c r="K965" s="58"/>
      <c r="L965" s="114">
        <f>1-1+1</f>
        <v>1</v>
      </c>
      <c r="M965" s="60"/>
      <c r="N965" s="61"/>
      <c r="O965" s="61"/>
      <c r="P965" s="77"/>
      <c r="Q965" s="77">
        <f>1-1+1</f>
        <v>1</v>
      </c>
      <c r="R965" s="77">
        <f>2-2</f>
        <v>0</v>
      </c>
      <c r="S965" s="77">
        <f>2-2</f>
        <v>0</v>
      </c>
      <c r="T965" s="77">
        <f>1-1</f>
        <v>0</v>
      </c>
      <c r="U965" s="77"/>
      <c r="V965" s="62"/>
      <c r="W965" s="63"/>
      <c r="X965" s="63"/>
      <c r="Z965" s="63"/>
      <c r="AA965" s="113"/>
      <c r="AB965" s="113"/>
      <c r="AC965" s="113"/>
    </row>
    <row r="966" spans="1:29" ht="60" customHeight="1" x14ac:dyDescent="0.2">
      <c r="A966" s="50" t="s">
        <v>1536</v>
      </c>
      <c r="B966" s="74"/>
      <c r="C966" s="66" t="s">
        <v>1522</v>
      </c>
      <c r="D966" s="53" t="s">
        <v>58</v>
      </c>
      <c r="E966" s="68" t="s">
        <v>1513</v>
      </c>
      <c r="F966" s="67" t="s">
        <v>59</v>
      </c>
      <c r="G966" s="67" t="s">
        <v>50</v>
      </c>
      <c r="H966" s="57" t="s">
        <v>37</v>
      </c>
      <c r="I966" s="55" t="s">
        <v>51</v>
      </c>
      <c r="J966" s="106">
        <v>1540</v>
      </c>
      <c r="K966" s="58"/>
      <c r="L966" s="114">
        <f>7-1</f>
        <v>6</v>
      </c>
      <c r="M966" s="60"/>
      <c r="N966" s="61"/>
      <c r="O966" s="61"/>
      <c r="P966" s="77">
        <f>3-1</f>
        <v>2</v>
      </c>
      <c r="Q966" s="77">
        <f t="shared" si="72"/>
        <v>0</v>
      </c>
      <c r="R966" s="77">
        <f>3-1</f>
        <v>2</v>
      </c>
      <c r="S966" s="77">
        <f>3-1</f>
        <v>2</v>
      </c>
      <c r="T966" s="77"/>
      <c r="U966" s="77"/>
      <c r="V966" s="62"/>
      <c r="W966" s="63"/>
      <c r="X966" s="63"/>
      <c r="Z966" s="63"/>
      <c r="AA966" s="113"/>
      <c r="AB966" s="113"/>
      <c r="AC966" s="113"/>
    </row>
    <row r="967" spans="1:29" ht="60" hidden="1" customHeight="1" x14ac:dyDescent="0.2">
      <c r="A967" s="50" t="s">
        <v>1537</v>
      </c>
      <c r="B967" s="74"/>
      <c r="C967" s="66" t="s">
        <v>1538</v>
      </c>
      <c r="D967" s="53" t="s">
        <v>48</v>
      </c>
      <c r="E967" s="68" t="s">
        <v>1513</v>
      </c>
      <c r="F967" s="55" t="s">
        <v>49</v>
      </c>
      <c r="G967" s="67" t="s">
        <v>50</v>
      </c>
      <c r="H967" s="57" t="s">
        <v>60</v>
      </c>
      <c r="I967" s="53" t="s">
        <v>637</v>
      </c>
      <c r="J967" s="106">
        <v>1540</v>
      </c>
      <c r="K967" s="58"/>
      <c r="L967" s="114">
        <f>3-3</f>
        <v>0</v>
      </c>
      <c r="M967" s="60"/>
      <c r="N967" s="61"/>
      <c r="O967" s="61"/>
      <c r="P967" s="77">
        <f>2-2</f>
        <v>0</v>
      </c>
      <c r="Q967" s="77">
        <f t="shared" si="72"/>
        <v>0</v>
      </c>
      <c r="R967" s="77">
        <f>1-1</f>
        <v>0</v>
      </c>
      <c r="S967" s="77">
        <f>2-2</f>
        <v>0</v>
      </c>
      <c r="T967" s="77">
        <f>1-1</f>
        <v>0</v>
      </c>
      <c r="U967" s="77"/>
      <c r="V967" s="62"/>
      <c r="W967" s="63"/>
      <c r="X967" s="63"/>
      <c r="Z967" s="63"/>
      <c r="AA967" s="113"/>
      <c r="AB967" s="113"/>
      <c r="AC967" s="113"/>
    </row>
    <row r="968" spans="1:29" ht="60" customHeight="1" x14ac:dyDescent="0.2">
      <c r="A968" s="50" t="s">
        <v>1539</v>
      </c>
      <c r="B968" s="74"/>
      <c r="C968" s="66" t="s">
        <v>1540</v>
      </c>
      <c r="D968" s="53" t="s">
        <v>58</v>
      </c>
      <c r="E968" s="68" t="s">
        <v>1513</v>
      </c>
      <c r="F968" s="67" t="s">
        <v>59</v>
      </c>
      <c r="G968" s="67" t="s">
        <v>50</v>
      </c>
      <c r="H968" s="57" t="s">
        <v>60</v>
      </c>
      <c r="I968" s="55" t="s">
        <v>51</v>
      </c>
      <c r="J968" s="106">
        <v>1540</v>
      </c>
      <c r="K968" s="58"/>
      <c r="L968" s="114">
        <f>6-1</f>
        <v>5</v>
      </c>
      <c r="M968" s="60"/>
      <c r="N968" s="61"/>
      <c r="O968" s="61"/>
      <c r="P968" s="77">
        <f>2-1</f>
        <v>1</v>
      </c>
      <c r="Q968" s="77">
        <f t="shared" si="72"/>
        <v>0</v>
      </c>
      <c r="R968" s="77">
        <f>2-1</f>
        <v>1</v>
      </c>
      <c r="S968" s="77">
        <f>2-1</f>
        <v>1</v>
      </c>
      <c r="T968" s="77">
        <f>2</f>
        <v>2</v>
      </c>
      <c r="U968" s="77"/>
      <c r="V968" s="62"/>
      <c r="W968" s="63"/>
      <c r="X968" s="63"/>
      <c r="Z968" s="63"/>
      <c r="AA968" s="113"/>
      <c r="AB968" s="113"/>
      <c r="AC968" s="113"/>
    </row>
    <row r="969" spans="1:29" ht="60" hidden="1" customHeight="1" x14ac:dyDescent="0.2">
      <c r="A969" s="50" t="s">
        <v>1541</v>
      </c>
      <c r="B969" s="74"/>
      <c r="C969" s="66" t="s">
        <v>1529</v>
      </c>
      <c r="D969" s="53" t="s">
        <v>58</v>
      </c>
      <c r="E969" s="68" t="s">
        <v>1513</v>
      </c>
      <c r="F969" s="67" t="s">
        <v>59</v>
      </c>
      <c r="G969" s="67" t="s">
        <v>50</v>
      </c>
      <c r="H969" s="57" t="s">
        <v>60</v>
      </c>
      <c r="I969" s="55" t="s">
        <v>51</v>
      </c>
      <c r="J969" s="106">
        <v>1540</v>
      </c>
      <c r="K969" s="58"/>
      <c r="L969" s="114">
        <f>7-7</f>
        <v>0</v>
      </c>
      <c r="M969" s="60"/>
      <c r="N969" s="61"/>
      <c r="O969" s="61"/>
      <c r="P969" s="77">
        <f>2-2</f>
        <v>0</v>
      </c>
      <c r="Q969" s="77">
        <f t="shared" si="72"/>
        <v>0</v>
      </c>
      <c r="R969" s="77">
        <f>2-2</f>
        <v>0</v>
      </c>
      <c r="S969" s="77">
        <f>1-1</f>
        <v>0</v>
      </c>
      <c r="T969" s="77">
        <f>2-2</f>
        <v>0</v>
      </c>
      <c r="U969" s="77"/>
      <c r="V969" s="62"/>
      <c r="W969" s="63"/>
      <c r="X969" s="63"/>
      <c r="Z969" s="63"/>
      <c r="AA969" s="113"/>
      <c r="AB969" s="113"/>
      <c r="AC969" s="113"/>
    </row>
    <row r="970" spans="1:29" ht="60" customHeight="1" x14ac:dyDescent="0.2">
      <c r="A970" s="69" t="s">
        <v>1542</v>
      </c>
      <c r="B970" s="74"/>
      <c r="C970" s="66" t="s">
        <v>1543</v>
      </c>
      <c r="D970" s="53" t="s">
        <v>48</v>
      </c>
      <c r="E970" s="54" t="s">
        <v>34</v>
      </c>
      <c r="F970" s="55" t="s">
        <v>49</v>
      </c>
      <c r="G970" s="67" t="s">
        <v>50</v>
      </c>
      <c r="H970" s="57" t="s">
        <v>37</v>
      </c>
      <c r="I970" s="55" t="s">
        <v>51</v>
      </c>
      <c r="J970" s="57">
        <v>1150</v>
      </c>
      <c r="K970" s="58"/>
      <c r="L970" s="88">
        <f>4-1</f>
        <v>3</v>
      </c>
      <c r="M970" s="60"/>
      <c r="N970" s="61"/>
      <c r="O970" s="61"/>
      <c r="P970" s="62"/>
      <c r="Q970" s="62"/>
      <c r="R970" s="62"/>
      <c r="S970" s="62">
        <f>1-1</f>
        <v>0</v>
      </c>
      <c r="T970" s="62">
        <f>3-1</f>
        <v>2</v>
      </c>
      <c r="U970" s="62">
        <f>1-1+1</f>
        <v>1</v>
      </c>
      <c r="V970" s="62"/>
      <c r="W970" s="63"/>
      <c r="X970" s="63"/>
      <c r="Z970" s="71"/>
      <c r="AA970" s="113"/>
      <c r="AB970" s="113"/>
      <c r="AC970" s="113"/>
    </row>
    <row r="971" spans="1:29" ht="60" customHeight="1" x14ac:dyDescent="0.2">
      <c r="A971" s="69" t="s">
        <v>1544</v>
      </c>
      <c r="B971" s="74"/>
      <c r="C971" s="66" t="s">
        <v>1545</v>
      </c>
      <c r="D971" s="53" t="s">
        <v>48</v>
      </c>
      <c r="E971" s="54" t="s">
        <v>34</v>
      </c>
      <c r="F971" s="55" t="s">
        <v>49</v>
      </c>
      <c r="G971" s="67" t="s">
        <v>50</v>
      </c>
      <c r="H971" s="57" t="s">
        <v>37</v>
      </c>
      <c r="I971" s="55" t="s">
        <v>51</v>
      </c>
      <c r="J971" s="57">
        <v>1150</v>
      </c>
      <c r="K971" s="58"/>
      <c r="L971" s="88">
        <f>2-1</f>
        <v>1</v>
      </c>
      <c r="M971" s="60"/>
      <c r="N971" s="61"/>
      <c r="O971" s="61"/>
      <c r="P971" s="62"/>
      <c r="Q971" s="62">
        <f>1-1</f>
        <v>0</v>
      </c>
      <c r="R971" s="62">
        <f>1-1+1</f>
        <v>1</v>
      </c>
      <c r="S971" s="62"/>
      <c r="T971" s="62">
        <f>1-1</f>
        <v>0</v>
      </c>
      <c r="U971" s="62">
        <f>1-1</f>
        <v>0</v>
      </c>
      <c r="V971" s="62"/>
      <c r="W971" s="63"/>
      <c r="X971" s="63"/>
      <c r="Z971" s="71"/>
      <c r="AA971" s="113"/>
      <c r="AB971" s="113"/>
      <c r="AC971" s="113"/>
    </row>
    <row r="972" spans="1:29" ht="60" hidden="1" customHeight="1" x14ac:dyDescent="0.2">
      <c r="A972" s="50" t="s">
        <v>1546</v>
      </c>
      <c r="B972" s="74"/>
      <c r="C972" s="87" t="s">
        <v>1547</v>
      </c>
      <c r="D972" s="53" t="s">
        <v>48</v>
      </c>
      <c r="E972" s="54" t="s">
        <v>1548</v>
      </c>
      <c r="F972" s="55" t="s">
        <v>1549</v>
      </c>
      <c r="G972" s="67" t="s">
        <v>50</v>
      </c>
      <c r="H972" s="57" t="s">
        <v>37</v>
      </c>
      <c r="I972" s="55" t="s">
        <v>51</v>
      </c>
      <c r="J972" s="57" t="e">
        <f>ROUND(#REF!*2.4,-1)</f>
        <v>#REF!</v>
      </c>
      <c r="K972" s="58"/>
      <c r="L972" s="114">
        <v>0</v>
      </c>
      <c r="M972" s="60"/>
      <c r="N972" s="61"/>
      <c r="O972" s="61"/>
      <c r="P972" s="77"/>
      <c r="Q972" s="77"/>
      <c r="R972" s="77"/>
      <c r="S972" s="77"/>
      <c r="T972" s="77"/>
      <c r="U972" s="77"/>
      <c r="V972" s="62"/>
      <c r="W972" s="63"/>
      <c r="X972" s="63"/>
      <c r="Z972" s="63"/>
      <c r="AA972" s="113"/>
      <c r="AB972" s="113"/>
      <c r="AC972" s="113"/>
    </row>
    <row r="973" spans="1:29" ht="60" customHeight="1" x14ac:dyDescent="0.2">
      <c r="A973" s="50" t="s">
        <v>1550</v>
      </c>
      <c r="B973" s="74"/>
      <c r="C973" s="87" t="s">
        <v>1551</v>
      </c>
      <c r="D973" s="53" t="s">
        <v>48</v>
      </c>
      <c r="E973" s="54" t="s">
        <v>1548</v>
      </c>
      <c r="F973" s="55" t="s">
        <v>1549</v>
      </c>
      <c r="G973" s="67" t="s">
        <v>50</v>
      </c>
      <c r="H973" s="57" t="s">
        <v>84</v>
      </c>
      <c r="I973" s="55" t="s">
        <v>51</v>
      </c>
      <c r="J973" s="57" t="e">
        <f>ROUND(#REF!*2.4,-1)</f>
        <v>#REF!</v>
      </c>
      <c r="K973" s="58"/>
      <c r="L973" s="114">
        <f>2-1</f>
        <v>1</v>
      </c>
      <c r="M973" s="60"/>
      <c r="N973" s="61"/>
      <c r="O973" s="61"/>
      <c r="P973" s="77"/>
      <c r="Q973" s="77"/>
      <c r="R973" s="77">
        <f>2-1</f>
        <v>1</v>
      </c>
      <c r="S973" s="77"/>
      <c r="T973" s="77"/>
      <c r="U973" s="77"/>
      <c r="V973" s="62"/>
      <c r="W973" s="63"/>
      <c r="X973" s="63"/>
      <c r="Z973" s="63"/>
      <c r="AA973" s="113"/>
      <c r="AB973" s="113"/>
      <c r="AC973" s="113"/>
    </row>
    <row r="974" spans="1:29" ht="60" hidden="1" customHeight="1" x14ac:dyDescent="0.2">
      <c r="A974" s="50" t="s">
        <v>1552</v>
      </c>
      <c r="B974" s="74"/>
      <c r="C974" s="87" t="s">
        <v>1553</v>
      </c>
      <c r="D974" s="53" t="s">
        <v>48</v>
      </c>
      <c r="E974" s="54" t="s">
        <v>1548</v>
      </c>
      <c r="F974" s="55" t="s">
        <v>1549</v>
      </c>
      <c r="G974" s="67" t="s">
        <v>50</v>
      </c>
      <c r="H974" s="57" t="s">
        <v>84</v>
      </c>
      <c r="I974" s="55" t="s">
        <v>51</v>
      </c>
      <c r="J974" s="57" t="e">
        <f>ROUND(#REF!*2.4,-1)</f>
        <v>#REF!</v>
      </c>
      <c r="K974" s="58"/>
      <c r="L974" s="114">
        <f>1-1</f>
        <v>0</v>
      </c>
      <c r="M974" s="60"/>
      <c r="N974" s="61"/>
      <c r="O974" s="61"/>
      <c r="P974" s="77"/>
      <c r="Q974" s="77">
        <f>1-1</f>
        <v>0</v>
      </c>
      <c r="R974" s="77"/>
      <c r="S974" s="77"/>
      <c r="T974" s="77"/>
      <c r="U974" s="77"/>
      <c r="V974" s="62"/>
      <c r="W974" s="63"/>
      <c r="X974" s="63"/>
      <c r="Z974" s="63"/>
      <c r="AA974" s="113"/>
      <c r="AB974" s="113"/>
      <c r="AC974" s="113"/>
    </row>
    <row r="975" spans="1:29" ht="60" hidden="1" customHeight="1" x14ac:dyDescent="0.2">
      <c r="A975" s="50" t="s">
        <v>1554</v>
      </c>
      <c r="B975" s="74"/>
      <c r="C975" s="87" t="s">
        <v>1555</v>
      </c>
      <c r="D975" s="57" t="s">
        <v>58</v>
      </c>
      <c r="E975" s="54" t="s">
        <v>1548</v>
      </c>
      <c r="F975" s="55" t="s">
        <v>1556</v>
      </c>
      <c r="G975" s="67" t="s">
        <v>50</v>
      </c>
      <c r="H975" s="57" t="s">
        <v>60</v>
      </c>
      <c r="I975" s="55" t="s">
        <v>51</v>
      </c>
      <c r="J975" s="57" t="e">
        <f>ROUND(#REF!*2.4,-1)</f>
        <v>#REF!</v>
      </c>
      <c r="K975" s="58"/>
      <c r="L975" s="114">
        <v>0</v>
      </c>
      <c r="M975" s="60"/>
      <c r="N975" s="61"/>
      <c r="O975" s="61"/>
      <c r="P975" s="77"/>
      <c r="Q975" s="77"/>
      <c r="R975" s="77"/>
      <c r="S975" s="77"/>
      <c r="T975" s="77"/>
      <c r="U975" s="77"/>
      <c r="V975" s="62"/>
      <c r="W975" s="63"/>
      <c r="X975" s="63"/>
      <c r="Z975" s="63"/>
      <c r="AA975" s="113"/>
      <c r="AB975" s="113"/>
      <c r="AC975" s="113"/>
    </row>
    <row r="976" spans="1:29" ht="60" customHeight="1" x14ac:dyDescent="0.2">
      <c r="A976" s="50" t="s">
        <v>1557</v>
      </c>
      <c r="B976" s="74"/>
      <c r="C976" s="87" t="s">
        <v>1558</v>
      </c>
      <c r="D976" s="57" t="s">
        <v>58</v>
      </c>
      <c r="E976" s="54" t="s">
        <v>1548</v>
      </c>
      <c r="F976" s="55" t="s">
        <v>1559</v>
      </c>
      <c r="G976" s="67" t="s">
        <v>50</v>
      </c>
      <c r="H976" s="57" t="s">
        <v>84</v>
      </c>
      <c r="I976" s="55" t="s">
        <v>51</v>
      </c>
      <c r="J976" s="57" t="e">
        <f>ROUND(#REF!*2.4,-1)</f>
        <v>#REF!</v>
      </c>
      <c r="K976" s="58"/>
      <c r="L976" s="114">
        <f>1-1+1</f>
        <v>1</v>
      </c>
      <c r="M976" s="60"/>
      <c r="N976" s="61"/>
      <c r="O976" s="61"/>
      <c r="P976" s="77"/>
      <c r="Q976" s="77"/>
      <c r="R976" s="77">
        <f>1-1+1</f>
        <v>1</v>
      </c>
      <c r="S976" s="77"/>
      <c r="T976" s="77"/>
      <c r="U976" s="77"/>
      <c r="V976" s="62"/>
      <c r="W976" s="63"/>
      <c r="X976" s="63"/>
      <c r="Z976" s="63"/>
      <c r="AA976" s="113"/>
      <c r="AB976" s="113"/>
      <c r="AC976" s="113"/>
    </row>
    <row r="977" spans="1:29" ht="60" hidden="1" customHeight="1" x14ac:dyDescent="0.2">
      <c r="A977" s="50" t="s">
        <v>1560</v>
      </c>
      <c r="B977" s="74"/>
      <c r="C977" s="87" t="s">
        <v>1561</v>
      </c>
      <c r="D977" s="57" t="s">
        <v>58</v>
      </c>
      <c r="E977" s="54" t="s">
        <v>1548</v>
      </c>
      <c r="F977" s="55" t="s">
        <v>1559</v>
      </c>
      <c r="G977" s="67" t="s">
        <v>50</v>
      </c>
      <c r="H977" s="57" t="s">
        <v>60</v>
      </c>
      <c r="I977" s="55" t="s">
        <v>51</v>
      </c>
      <c r="J977" s="57" t="e">
        <f>ROUND(#REF!*2.4,-1)</f>
        <v>#REF!</v>
      </c>
      <c r="K977" s="58"/>
      <c r="L977" s="114">
        <v>0</v>
      </c>
      <c r="M977" s="60"/>
      <c r="N977" s="61"/>
      <c r="O977" s="61"/>
      <c r="P977" s="77"/>
      <c r="Q977" s="77"/>
      <c r="R977" s="77"/>
      <c r="S977" s="77"/>
      <c r="T977" s="77"/>
      <c r="U977" s="77"/>
      <c r="V977" s="62"/>
      <c r="W977" s="63"/>
      <c r="X977" s="63"/>
      <c r="Z977" s="63"/>
      <c r="AA977" s="113"/>
      <c r="AB977" s="113"/>
      <c r="AC977" s="113"/>
    </row>
    <row r="978" spans="1:29" ht="25.5" customHeight="1" x14ac:dyDescent="0.2">
      <c r="A978" s="50" t="s">
        <v>1562</v>
      </c>
      <c r="B978" s="121"/>
      <c r="C978" s="67" t="s">
        <v>1563</v>
      </c>
      <c r="D978" s="122" t="s">
        <v>1312</v>
      </c>
      <c r="E978" s="128" t="s">
        <v>1564</v>
      </c>
      <c r="F978" s="128"/>
      <c r="G978" s="54"/>
      <c r="H978" s="54"/>
      <c r="I978" s="128" t="s">
        <v>1565</v>
      </c>
      <c r="J978" s="54"/>
      <c r="K978" s="58"/>
      <c r="L978" s="88">
        <f>1</f>
        <v>1</v>
      </c>
      <c r="M978" s="80">
        <f>1</f>
        <v>1</v>
      </c>
      <c r="N978" s="61"/>
      <c r="O978" s="61"/>
      <c r="P978" s="63"/>
      <c r="Q978" s="63"/>
      <c r="R978" s="63"/>
      <c r="S978" s="63"/>
      <c r="T978" s="63"/>
      <c r="U978" s="63"/>
      <c r="V978" s="63"/>
      <c r="W978" s="63"/>
      <c r="X978" s="63"/>
      <c r="Z978" s="63"/>
      <c r="AA978" s="113"/>
      <c r="AB978" s="113"/>
      <c r="AC978" s="113"/>
    </row>
    <row r="979" spans="1:29" ht="25.5" customHeight="1" x14ac:dyDescent="0.2">
      <c r="A979" s="50" t="s">
        <v>1566</v>
      </c>
      <c r="B979" s="121"/>
      <c r="C979" s="67" t="s">
        <v>1567</v>
      </c>
      <c r="D979" s="122" t="s">
        <v>1312</v>
      </c>
      <c r="E979" s="128" t="s">
        <v>1564</v>
      </c>
      <c r="F979" s="128"/>
      <c r="G979" s="54"/>
      <c r="H979" s="54"/>
      <c r="I979" s="128" t="s">
        <v>1565</v>
      </c>
      <c r="J979" s="54"/>
      <c r="K979" s="58"/>
      <c r="L979" s="88">
        <v>1</v>
      </c>
      <c r="M979" s="80">
        <v>1</v>
      </c>
      <c r="N979" s="61"/>
      <c r="O979" s="61"/>
      <c r="P979" s="63"/>
      <c r="Q979" s="63"/>
      <c r="R979" s="63"/>
      <c r="S979" s="63"/>
      <c r="T979" s="63"/>
      <c r="U979" s="63"/>
      <c r="V979" s="63"/>
      <c r="W979" s="63"/>
      <c r="X979" s="63"/>
      <c r="Z979" s="63"/>
      <c r="AA979" s="113"/>
      <c r="AB979" s="113"/>
      <c r="AC979" s="113"/>
    </row>
    <row r="980" spans="1:29" ht="25.5" customHeight="1" x14ac:dyDescent="0.2">
      <c r="A980" s="50" t="s">
        <v>1568</v>
      </c>
      <c r="B980" s="121"/>
      <c r="C980" s="67" t="s">
        <v>1569</v>
      </c>
      <c r="D980" s="122" t="s">
        <v>1312</v>
      </c>
      <c r="E980" s="128" t="s">
        <v>1564</v>
      </c>
      <c r="F980" s="128"/>
      <c r="G980" s="54"/>
      <c r="H980" s="54"/>
      <c r="I980" s="128" t="s">
        <v>1565</v>
      </c>
      <c r="J980" s="54"/>
      <c r="K980" s="58"/>
      <c r="L980" s="88">
        <f>2</f>
        <v>2</v>
      </c>
      <c r="M980" s="80">
        <f>2</f>
        <v>2</v>
      </c>
      <c r="N980" s="61"/>
      <c r="O980" s="61"/>
      <c r="P980" s="63"/>
      <c r="Q980" s="63"/>
      <c r="R980" s="63"/>
      <c r="S980" s="63"/>
      <c r="T980" s="63"/>
      <c r="U980" s="63"/>
      <c r="V980" s="63"/>
      <c r="W980" s="63"/>
      <c r="X980" s="63"/>
      <c r="Z980" s="63"/>
      <c r="AA980" s="113"/>
      <c r="AB980" s="113"/>
      <c r="AC980" s="113"/>
    </row>
    <row r="981" spans="1:29" ht="25.5" customHeight="1" x14ac:dyDescent="0.2">
      <c r="A981" s="50" t="s">
        <v>1570</v>
      </c>
      <c r="B981" s="121"/>
      <c r="C981" s="67" t="s">
        <v>1571</v>
      </c>
      <c r="D981" s="122" t="s">
        <v>1312</v>
      </c>
      <c r="E981" s="128" t="s">
        <v>1564</v>
      </c>
      <c r="F981" s="128"/>
      <c r="G981" s="54"/>
      <c r="H981" s="54"/>
      <c r="I981" s="128" t="s">
        <v>1565</v>
      </c>
      <c r="J981" s="54">
        <v>1580</v>
      </c>
      <c r="K981" s="58"/>
      <c r="L981" s="88">
        <f>1</f>
        <v>1</v>
      </c>
      <c r="M981" s="80">
        <f>1</f>
        <v>1</v>
      </c>
      <c r="N981" s="61"/>
      <c r="O981" s="61"/>
      <c r="P981" s="63"/>
      <c r="Q981" s="63"/>
      <c r="R981" s="63"/>
      <c r="S981" s="63"/>
      <c r="T981" s="63"/>
      <c r="U981" s="63"/>
      <c r="V981" s="63"/>
      <c r="W981" s="63"/>
      <c r="X981" s="63"/>
      <c r="Z981" s="63"/>
      <c r="AA981" s="113"/>
      <c r="AB981" s="113"/>
      <c r="AC981" s="113"/>
    </row>
    <row r="982" spans="1:29" ht="25.5" hidden="1" customHeight="1" x14ac:dyDescent="0.2">
      <c r="A982" s="50" t="s">
        <v>1572</v>
      </c>
      <c r="B982" s="121"/>
      <c r="C982" s="67" t="s">
        <v>1573</v>
      </c>
      <c r="D982" s="122" t="s">
        <v>1312</v>
      </c>
      <c r="E982" s="128" t="s">
        <v>1564</v>
      </c>
      <c r="F982" s="128"/>
      <c r="G982" s="54"/>
      <c r="H982" s="54"/>
      <c r="I982" s="128" t="s">
        <v>1565</v>
      </c>
      <c r="J982" s="54">
        <v>1400</v>
      </c>
      <c r="K982" s="58"/>
      <c r="L982" s="88">
        <v>0</v>
      </c>
      <c r="M982" s="80">
        <v>0</v>
      </c>
      <c r="N982" s="61"/>
      <c r="O982" s="61"/>
      <c r="P982" s="63"/>
      <c r="Q982" s="63"/>
      <c r="R982" s="63"/>
      <c r="S982" s="63"/>
      <c r="T982" s="63"/>
      <c r="U982" s="63"/>
      <c r="V982" s="63"/>
      <c r="W982" s="63"/>
      <c r="X982" s="63"/>
      <c r="Z982" s="63"/>
      <c r="AA982" s="113"/>
      <c r="AB982" s="113"/>
      <c r="AC982" s="113"/>
    </row>
    <row r="983" spans="1:29" ht="60" customHeight="1" x14ac:dyDescent="0.2">
      <c r="A983" s="50" t="s">
        <v>1574</v>
      </c>
      <c r="B983" s="121"/>
      <c r="C983" s="66" t="s">
        <v>1573</v>
      </c>
      <c r="D983" s="122" t="s">
        <v>1312</v>
      </c>
      <c r="E983" s="128" t="s">
        <v>1564</v>
      </c>
      <c r="F983" s="128"/>
      <c r="G983" s="54"/>
      <c r="H983" s="68" t="s">
        <v>123</v>
      </c>
      <c r="I983" s="128" t="s">
        <v>1565</v>
      </c>
      <c r="J983" s="57">
        <v>1400</v>
      </c>
      <c r="K983" s="58"/>
      <c r="L983" s="88">
        <f>2+1</f>
        <v>3</v>
      </c>
      <c r="M983" s="80">
        <f>2+1</f>
        <v>3</v>
      </c>
      <c r="N983" s="61"/>
      <c r="O983" s="61"/>
      <c r="P983" s="63"/>
      <c r="Q983" s="63"/>
      <c r="R983" s="63"/>
      <c r="S983" s="63"/>
      <c r="T983" s="63"/>
      <c r="U983" s="63"/>
      <c r="V983" s="63"/>
      <c r="W983" s="63"/>
      <c r="X983" s="63"/>
      <c r="Z983" s="63"/>
      <c r="AA983" s="113"/>
      <c r="AB983" s="113"/>
      <c r="AC983" s="113"/>
    </row>
    <row r="984" spans="1:29" ht="25.5" hidden="1" customHeight="1" x14ac:dyDescent="0.2">
      <c r="A984" s="50" t="s">
        <v>1575</v>
      </c>
      <c r="B984" s="121"/>
      <c r="C984" s="67" t="s">
        <v>1576</v>
      </c>
      <c r="D984" s="122" t="s">
        <v>1312</v>
      </c>
      <c r="E984" s="128" t="s">
        <v>1564</v>
      </c>
      <c r="F984" s="128"/>
      <c r="G984" s="54"/>
      <c r="H984" s="54"/>
      <c r="I984" s="128" t="s">
        <v>1565</v>
      </c>
      <c r="J984" s="57">
        <v>1400</v>
      </c>
      <c r="K984" s="58"/>
      <c r="L984" s="88">
        <f>1-1</f>
        <v>0</v>
      </c>
      <c r="M984" s="80">
        <f>1-1</f>
        <v>0</v>
      </c>
      <c r="N984" s="61"/>
      <c r="O984" s="61"/>
      <c r="P984" s="63"/>
      <c r="Q984" s="63"/>
      <c r="R984" s="63"/>
      <c r="S984" s="63"/>
      <c r="T984" s="63"/>
      <c r="U984" s="63"/>
      <c r="V984" s="63"/>
      <c r="W984" s="63"/>
      <c r="X984" s="63"/>
      <c r="Z984" s="63"/>
      <c r="AA984" s="113"/>
      <c r="AB984" s="113"/>
      <c r="AC984" s="113"/>
    </row>
    <row r="985" spans="1:29" ht="25.5" hidden="1" customHeight="1" x14ac:dyDescent="0.2">
      <c r="A985" s="50" t="s">
        <v>1577</v>
      </c>
      <c r="B985" s="121"/>
      <c r="C985" s="67" t="s">
        <v>1578</v>
      </c>
      <c r="D985" s="122" t="s">
        <v>1312</v>
      </c>
      <c r="E985" s="128" t="s">
        <v>1564</v>
      </c>
      <c r="F985" s="128"/>
      <c r="G985" s="54"/>
      <c r="H985" s="54"/>
      <c r="I985" s="128" t="s">
        <v>1565</v>
      </c>
      <c r="J985" s="54">
        <v>1580</v>
      </c>
      <c r="K985" s="58"/>
      <c r="L985" s="88">
        <v>0</v>
      </c>
      <c r="M985" s="80">
        <v>0</v>
      </c>
      <c r="N985" s="61"/>
      <c r="O985" s="61"/>
      <c r="P985" s="63"/>
      <c r="Q985" s="63"/>
      <c r="R985" s="63"/>
      <c r="S985" s="63"/>
      <c r="T985" s="63"/>
      <c r="U985" s="63"/>
      <c r="V985" s="63"/>
      <c r="W985" s="63"/>
      <c r="X985" s="63"/>
      <c r="Z985" s="63"/>
      <c r="AA985" s="113"/>
      <c r="AB985" s="113"/>
      <c r="AC985" s="113"/>
    </row>
    <row r="986" spans="1:29" ht="25.5" customHeight="1" x14ac:dyDescent="0.2">
      <c r="A986" s="50" t="s">
        <v>1579</v>
      </c>
      <c r="B986" s="121"/>
      <c r="C986" s="67" t="s">
        <v>1580</v>
      </c>
      <c r="D986" s="122" t="s">
        <v>1312</v>
      </c>
      <c r="E986" s="128" t="s">
        <v>1564</v>
      </c>
      <c r="F986" s="128"/>
      <c r="G986" s="54"/>
      <c r="H986" s="54"/>
      <c r="I986" s="128" t="s">
        <v>1565</v>
      </c>
      <c r="J986" s="54">
        <v>1930</v>
      </c>
      <c r="K986" s="58"/>
      <c r="L986" s="88">
        <f>2</f>
        <v>2</v>
      </c>
      <c r="M986" s="80">
        <f>2</f>
        <v>2</v>
      </c>
      <c r="N986" s="61"/>
      <c r="O986" s="61"/>
      <c r="P986" s="63"/>
      <c r="Q986" s="63"/>
      <c r="R986" s="63"/>
      <c r="S986" s="63"/>
      <c r="T986" s="63"/>
      <c r="U986" s="63"/>
      <c r="V986" s="63"/>
      <c r="W986" s="63"/>
      <c r="X986" s="63"/>
      <c r="Z986" s="63"/>
      <c r="AA986" s="113"/>
      <c r="AB986" s="113"/>
      <c r="AC986" s="113"/>
    </row>
    <row r="987" spans="1:29" ht="25.5" customHeight="1" x14ac:dyDescent="0.2">
      <c r="A987" s="50" t="s">
        <v>1581</v>
      </c>
      <c r="B987" s="121"/>
      <c r="C987" s="67" t="s">
        <v>1582</v>
      </c>
      <c r="D987" s="122" t="s">
        <v>1312</v>
      </c>
      <c r="E987" s="128" t="s">
        <v>1564</v>
      </c>
      <c r="F987" s="128"/>
      <c r="G987" s="54"/>
      <c r="H987" s="54"/>
      <c r="I987" s="128" t="s">
        <v>1565</v>
      </c>
      <c r="J987" s="54"/>
      <c r="K987" s="58"/>
      <c r="L987" s="88">
        <f>1</f>
        <v>1</v>
      </c>
      <c r="M987" s="80">
        <f>1</f>
        <v>1</v>
      </c>
      <c r="N987" s="61"/>
      <c r="O987" s="61"/>
      <c r="P987" s="63"/>
      <c r="Q987" s="63"/>
      <c r="R987" s="63"/>
      <c r="S987" s="63"/>
      <c r="T987" s="63"/>
      <c r="U987" s="63"/>
      <c r="V987" s="63"/>
      <c r="W987" s="63"/>
      <c r="X987" s="63"/>
      <c r="Z987" s="63"/>
      <c r="AA987" s="113"/>
      <c r="AB987" s="113"/>
      <c r="AC987" s="113"/>
    </row>
    <row r="988" spans="1:29" ht="25.5" customHeight="1" x14ac:dyDescent="0.2">
      <c r="A988" s="50" t="s">
        <v>1583</v>
      </c>
      <c r="B988" s="121"/>
      <c r="C988" s="67" t="s">
        <v>1584</v>
      </c>
      <c r="D988" s="122" t="s">
        <v>1312</v>
      </c>
      <c r="E988" s="128" t="s">
        <v>1564</v>
      </c>
      <c r="F988" s="128"/>
      <c r="G988" s="54"/>
      <c r="H988" s="54"/>
      <c r="I988" s="128" t="s">
        <v>1565</v>
      </c>
      <c r="J988" s="54">
        <v>1230</v>
      </c>
      <c r="K988" s="58"/>
      <c r="L988" s="88">
        <v>1</v>
      </c>
      <c r="M988" s="80">
        <v>1</v>
      </c>
      <c r="N988" s="61"/>
      <c r="O988" s="61"/>
      <c r="P988" s="63"/>
      <c r="Q988" s="63"/>
      <c r="R988" s="63"/>
      <c r="S988" s="63"/>
      <c r="T988" s="63"/>
      <c r="U988" s="63"/>
      <c r="V988" s="63"/>
      <c r="W988" s="63"/>
      <c r="X988" s="63"/>
      <c r="Z988" s="63"/>
      <c r="AA988" s="113"/>
      <c r="AB988" s="113"/>
      <c r="AC988" s="113"/>
    </row>
    <row r="989" spans="1:29" ht="25.5" customHeight="1" x14ac:dyDescent="0.2">
      <c r="A989" s="50" t="s">
        <v>1585</v>
      </c>
      <c r="B989" s="121"/>
      <c r="C989" s="67" t="s">
        <v>1586</v>
      </c>
      <c r="D989" s="122" t="s">
        <v>1312</v>
      </c>
      <c r="E989" s="128" t="s">
        <v>1564</v>
      </c>
      <c r="F989" s="128"/>
      <c r="G989" s="54"/>
      <c r="H989" s="54"/>
      <c r="I989" s="128" t="s">
        <v>1565</v>
      </c>
      <c r="J989" s="54">
        <v>1230</v>
      </c>
      <c r="K989" s="58"/>
      <c r="L989" s="88">
        <f t="shared" ref="L989:M991" si="73">2-1</f>
        <v>1</v>
      </c>
      <c r="M989" s="80">
        <f t="shared" si="73"/>
        <v>1</v>
      </c>
      <c r="N989" s="61"/>
      <c r="O989" s="61"/>
      <c r="P989" s="63"/>
      <c r="Q989" s="63"/>
      <c r="R989" s="63"/>
      <c r="S989" s="63"/>
      <c r="T989" s="63"/>
      <c r="U989" s="63"/>
      <c r="V989" s="63"/>
      <c r="W989" s="63"/>
      <c r="X989" s="63"/>
      <c r="Z989" s="63"/>
      <c r="AA989" s="113"/>
      <c r="AB989" s="113"/>
      <c r="AC989" s="113"/>
    </row>
    <row r="990" spans="1:29" ht="25.5" customHeight="1" x14ac:dyDescent="0.2">
      <c r="A990" s="50" t="s">
        <v>1587</v>
      </c>
      <c r="B990" s="121"/>
      <c r="C990" s="67" t="s">
        <v>1588</v>
      </c>
      <c r="D990" s="122" t="s">
        <v>1312</v>
      </c>
      <c r="E990" s="128" t="s">
        <v>1564</v>
      </c>
      <c r="F990" s="128"/>
      <c r="G990" s="54"/>
      <c r="H990" s="54"/>
      <c r="I990" s="128" t="s">
        <v>1565</v>
      </c>
      <c r="J990" s="54">
        <v>1230</v>
      </c>
      <c r="K990" s="58"/>
      <c r="L990" s="88">
        <f t="shared" si="73"/>
        <v>1</v>
      </c>
      <c r="M990" s="80">
        <f t="shared" si="73"/>
        <v>1</v>
      </c>
      <c r="N990" s="61"/>
      <c r="O990" s="61"/>
      <c r="P990" s="63"/>
      <c r="Q990" s="63"/>
      <c r="R990" s="63"/>
      <c r="S990" s="63"/>
      <c r="T990" s="63"/>
      <c r="U990" s="63"/>
      <c r="V990" s="63"/>
      <c r="W990" s="63"/>
      <c r="X990" s="63"/>
      <c r="Z990" s="63"/>
      <c r="AA990" s="113"/>
      <c r="AB990" s="113"/>
      <c r="AC990" s="113"/>
    </row>
    <row r="991" spans="1:29" ht="25.5" customHeight="1" x14ac:dyDescent="0.2">
      <c r="A991" s="50" t="s">
        <v>1589</v>
      </c>
      <c r="B991" s="121"/>
      <c r="C991" s="67" t="s">
        <v>1590</v>
      </c>
      <c r="D991" s="122" t="s">
        <v>1312</v>
      </c>
      <c r="E991" s="128" t="s">
        <v>1564</v>
      </c>
      <c r="F991" s="128"/>
      <c r="G991" s="54"/>
      <c r="H991" s="54"/>
      <c r="I991" s="128" t="s">
        <v>1565</v>
      </c>
      <c r="J991" s="54">
        <v>1750</v>
      </c>
      <c r="K991" s="58"/>
      <c r="L991" s="88">
        <f t="shared" si="73"/>
        <v>1</v>
      </c>
      <c r="M991" s="80">
        <f t="shared" si="73"/>
        <v>1</v>
      </c>
      <c r="N991" s="61"/>
      <c r="O991" s="61"/>
      <c r="P991" s="63"/>
      <c r="Q991" s="63"/>
      <c r="R991" s="63"/>
      <c r="S991" s="63"/>
      <c r="T991" s="63"/>
      <c r="U991" s="63"/>
      <c r="V991" s="63"/>
      <c r="W991" s="63"/>
      <c r="X991" s="63"/>
      <c r="Z991" s="63"/>
      <c r="AA991" s="113"/>
      <c r="AB991" s="113"/>
      <c r="AC991" s="113"/>
    </row>
    <row r="992" spans="1:29" ht="25.5" customHeight="1" x14ac:dyDescent="0.2">
      <c r="A992" s="50" t="s">
        <v>1591</v>
      </c>
      <c r="B992" s="121"/>
      <c r="C992" s="67" t="s">
        <v>1592</v>
      </c>
      <c r="D992" s="122" t="s">
        <v>1312</v>
      </c>
      <c r="E992" s="128" t="s">
        <v>1564</v>
      </c>
      <c r="F992" s="128"/>
      <c r="G992" s="54"/>
      <c r="H992" s="54"/>
      <c r="I992" s="128" t="s">
        <v>1565</v>
      </c>
      <c r="J992" s="54">
        <v>1230</v>
      </c>
      <c r="K992" s="58"/>
      <c r="L992" s="88">
        <v>2</v>
      </c>
      <c r="M992" s="80">
        <v>2</v>
      </c>
      <c r="N992" s="61"/>
      <c r="O992" s="61"/>
      <c r="P992" s="63"/>
      <c r="Q992" s="63"/>
      <c r="R992" s="63"/>
      <c r="S992" s="63"/>
      <c r="T992" s="63"/>
      <c r="U992" s="63"/>
      <c r="V992" s="63"/>
      <c r="W992" s="63"/>
      <c r="X992" s="63"/>
      <c r="Z992" s="63"/>
      <c r="AA992" s="113"/>
      <c r="AB992" s="113"/>
      <c r="AC992" s="113"/>
    </row>
    <row r="993" spans="1:29" ht="25.5" hidden="1" customHeight="1" x14ac:dyDescent="0.2">
      <c r="A993" s="50" t="s">
        <v>1593</v>
      </c>
      <c r="B993" s="121"/>
      <c r="C993" s="67" t="s">
        <v>1594</v>
      </c>
      <c r="D993" s="122" t="s">
        <v>1312</v>
      </c>
      <c r="E993" s="128" t="s">
        <v>1564</v>
      </c>
      <c r="F993" s="128"/>
      <c r="G993" s="54"/>
      <c r="H993" s="54"/>
      <c r="I993" s="128" t="s">
        <v>1565</v>
      </c>
      <c r="J993" s="54">
        <v>1580</v>
      </c>
      <c r="K993" s="58"/>
      <c r="L993" s="88">
        <f>1-1</f>
        <v>0</v>
      </c>
      <c r="M993" s="80">
        <f>1-1</f>
        <v>0</v>
      </c>
      <c r="N993" s="61"/>
      <c r="O993" s="61"/>
      <c r="P993" s="63"/>
      <c r="Q993" s="63"/>
      <c r="R993" s="63"/>
      <c r="S993" s="63"/>
      <c r="T993" s="63"/>
      <c r="U993" s="63"/>
      <c r="V993" s="63"/>
      <c r="W993" s="63"/>
      <c r="X993" s="63"/>
      <c r="Z993" s="63"/>
      <c r="AA993" s="113"/>
      <c r="AB993" s="113"/>
      <c r="AC993" s="113"/>
    </row>
    <row r="994" spans="1:29" ht="25.5" customHeight="1" x14ac:dyDescent="0.2">
      <c r="A994" s="50" t="s">
        <v>1595</v>
      </c>
      <c r="B994" s="121"/>
      <c r="C994" s="67" t="s">
        <v>1596</v>
      </c>
      <c r="D994" s="122" t="s">
        <v>1312</v>
      </c>
      <c r="E994" s="128" t="s">
        <v>1564</v>
      </c>
      <c r="F994" s="128"/>
      <c r="G994" s="54"/>
      <c r="H994" s="54"/>
      <c r="I994" s="128" t="s">
        <v>1565</v>
      </c>
      <c r="J994" s="54">
        <v>1580</v>
      </c>
      <c r="K994" s="58"/>
      <c r="L994" s="88">
        <v>3</v>
      </c>
      <c r="M994" s="80">
        <v>3</v>
      </c>
      <c r="N994" s="61"/>
      <c r="O994" s="61"/>
      <c r="P994" s="63"/>
      <c r="Q994" s="63"/>
      <c r="R994" s="63"/>
      <c r="S994" s="63"/>
      <c r="T994" s="63"/>
      <c r="U994" s="63"/>
      <c r="V994" s="63"/>
      <c r="W994" s="63"/>
      <c r="X994" s="63"/>
      <c r="Z994" s="63"/>
      <c r="AA994" s="113"/>
      <c r="AB994" s="113"/>
      <c r="AC994" s="113"/>
    </row>
    <row r="995" spans="1:29" ht="25.5" hidden="1" customHeight="1" x14ac:dyDescent="0.2">
      <c r="A995" s="50" t="s">
        <v>1597</v>
      </c>
      <c r="B995" s="121"/>
      <c r="C995" s="67" t="s">
        <v>1598</v>
      </c>
      <c r="D995" s="122" t="s">
        <v>1312</v>
      </c>
      <c r="E995" s="128" t="s">
        <v>1564</v>
      </c>
      <c r="F995" s="128"/>
      <c r="G995" s="54"/>
      <c r="H995" s="54"/>
      <c r="I995" s="128" t="s">
        <v>1565</v>
      </c>
      <c r="J995" s="54">
        <v>1580</v>
      </c>
      <c r="K995" s="58"/>
      <c r="L995" s="88">
        <f>1-1</f>
        <v>0</v>
      </c>
      <c r="M995" s="80">
        <f>1-1</f>
        <v>0</v>
      </c>
      <c r="N995" s="61"/>
      <c r="O995" s="61"/>
      <c r="P995" s="63"/>
      <c r="Q995" s="63"/>
      <c r="R995" s="63"/>
      <c r="S995" s="63"/>
      <c r="T995" s="63"/>
      <c r="U995" s="63"/>
      <c r="V995" s="63"/>
      <c r="W995" s="63"/>
      <c r="X995" s="63"/>
      <c r="Z995" s="63"/>
      <c r="AA995" s="113"/>
      <c r="AB995" s="113"/>
      <c r="AC995" s="113"/>
    </row>
    <row r="996" spans="1:29" ht="25.5" hidden="1" customHeight="1" x14ac:dyDescent="0.2">
      <c r="A996" s="50" t="s">
        <v>1599</v>
      </c>
      <c r="B996" s="121"/>
      <c r="C996" s="67" t="s">
        <v>1600</v>
      </c>
      <c r="D996" s="122" t="s">
        <v>1312</v>
      </c>
      <c r="E996" s="128" t="s">
        <v>1564</v>
      </c>
      <c r="F996" s="128"/>
      <c r="G996" s="54"/>
      <c r="H996" s="54"/>
      <c r="I996" s="128" t="s">
        <v>1565</v>
      </c>
      <c r="J996" s="54">
        <v>1050</v>
      </c>
      <c r="K996" s="58"/>
      <c r="L996" s="88">
        <v>0</v>
      </c>
      <c r="M996" s="80">
        <v>0</v>
      </c>
      <c r="N996" s="61"/>
      <c r="O996" s="61"/>
      <c r="P996" s="63"/>
      <c r="Q996" s="63"/>
      <c r="R996" s="63"/>
      <c r="S996" s="63"/>
      <c r="T996" s="63"/>
      <c r="U996" s="63"/>
      <c r="V996" s="63"/>
      <c r="W996" s="63"/>
      <c r="X996" s="63"/>
      <c r="Z996" s="63"/>
      <c r="AA996" s="113"/>
      <c r="AB996" s="113"/>
      <c r="AC996" s="113"/>
    </row>
    <row r="997" spans="1:29" ht="25.5" customHeight="1" x14ac:dyDescent="0.2">
      <c r="A997" s="50" t="s">
        <v>1601</v>
      </c>
      <c r="B997" s="121"/>
      <c r="C997" s="67" t="s">
        <v>1602</v>
      </c>
      <c r="D997" s="122" t="s">
        <v>1312</v>
      </c>
      <c r="E997" s="128" t="s">
        <v>1564</v>
      </c>
      <c r="F997" s="128"/>
      <c r="G997" s="54"/>
      <c r="H997" s="54"/>
      <c r="I997" s="128" t="s">
        <v>1565</v>
      </c>
      <c r="J997" s="54">
        <v>1050</v>
      </c>
      <c r="K997" s="58"/>
      <c r="L997" s="88">
        <v>1</v>
      </c>
      <c r="M997" s="80">
        <v>1</v>
      </c>
      <c r="N997" s="61"/>
      <c r="O997" s="61"/>
      <c r="P997" s="63"/>
      <c r="Q997" s="63"/>
      <c r="R997" s="63"/>
      <c r="S997" s="63"/>
      <c r="T997" s="63"/>
      <c r="U997" s="63"/>
      <c r="V997" s="63"/>
      <c r="W997" s="63"/>
      <c r="X997" s="63"/>
      <c r="Z997" s="63"/>
      <c r="AA997" s="113"/>
      <c r="AB997" s="113"/>
      <c r="AC997" s="113"/>
    </row>
    <row r="998" spans="1:29" ht="25.5" customHeight="1" x14ac:dyDescent="0.2">
      <c r="A998" s="50" t="s">
        <v>1603</v>
      </c>
      <c r="B998" s="121"/>
      <c r="C998" s="67" t="s">
        <v>1604</v>
      </c>
      <c r="D998" s="122" t="s">
        <v>1312</v>
      </c>
      <c r="E998" s="128" t="s">
        <v>1564</v>
      </c>
      <c r="F998" s="128"/>
      <c r="G998" s="54"/>
      <c r="H998" s="54"/>
      <c r="I998" s="128" t="s">
        <v>1565</v>
      </c>
      <c r="J998" s="54">
        <v>1050</v>
      </c>
      <c r="K998" s="58"/>
      <c r="L998" s="88">
        <v>1</v>
      </c>
      <c r="M998" s="80">
        <v>1</v>
      </c>
      <c r="N998" s="61"/>
      <c r="O998" s="61"/>
      <c r="P998" s="63"/>
      <c r="Q998" s="63"/>
      <c r="R998" s="63"/>
      <c r="S998" s="63"/>
      <c r="T998" s="63"/>
      <c r="U998" s="63"/>
      <c r="V998" s="63"/>
      <c r="W998" s="63"/>
      <c r="X998" s="63"/>
      <c r="Z998" s="63"/>
      <c r="AA998" s="113"/>
      <c r="AB998" s="113"/>
      <c r="AC998" s="113"/>
    </row>
    <row r="999" spans="1:29" ht="25.5" hidden="1" customHeight="1" x14ac:dyDescent="0.2">
      <c r="A999" s="50" t="s">
        <v>1605</v>
      </c>
      <c r="B999" s="121"/>
      <c r="C999" s="67" t="s">
        <v>1606</v>
      </c>
      <c r="D999" s="122" t="s">
        <v>1312</v>
      </c>
      <c r="E999" s="128" t="s">
        <v>1564</v>
      </c>
      <c r="F999" s="128"/>
      <c r="G999" s="54"/>
      <c r="H999" s="54"/>
      <c r="I999" s="128" t="s">
        <v>1565</v>
      </c>
      <c r="J999" s="54"/>
      <c r="K999" s="58"/>
      <c r="L999" s="88">
        <v>0</v>
      </c>
      <c r="M999" s="80">
        <v>0</v>
      </c>
      <c r="N999" s="61"/>
      <c r="O999" s="61"/>
      <c r="P999" s="63"/>
      <c r="Q999" s="63"/>
      <c r="R999" s="63"/>
      <c r="S999" s="63"/>
      <c r="T999" s="63"/>
      <c r="U999" s="63"/>
      <c r="V999" s="63"/>
      <c r="W999" s="63"/>
      <c r="X999" s="63"/>
      <c r="Z999" s="63"/>
      <c r="AA999" s="113"/>
      <c r="AB999" s="113"/>
      <c r="AC999" s="113"/>
    </row>
    <row r="1000" spans="1:29" ht="25.5" hidden="1" customHeight="1" x14ac:dyDescent="0.2">
      <c r="A1000" s="50" t="s">
        <v>1607</v>
      </c>
      <c r="B1000" s="121"/>
      <c r="C1000" s="67" t="s">
        <v>1608</v>
      </c>
      <c r="D1000" s="122" t="s">
        <v>1312</v>
      </c>
      <c r="E1000" s="128" t="s">
        <v>1564</v>
      </c>
      <c r="F1000" s="128"/>
      <c r="G1000" s="54"/>
      <c r="H1000" s="54"/>
      <c r="I1000" s="128" t="s">
        <v>1565</v>
      </c>
      <c r="J1000" s="54"/>
      <c r="K1000" s="58"/>
      <c r="L1000" s="88">
        <v>0</v>
      </c>
      <c r="M1000" s="80">
        <v>0</v>
      </c>
      <c r="N1000" s="61"/>
      <c r="O1000" s="61"/>
      <c r="P1000" s="63"/>
      <c r="Q1000" s="63"/>
      <c r="R1000" s="63"/>
      <c r="S1000" s="63"/>
      <c r="T1000" s="63"/>
      <c r="U1000" s="63"/>
      <c r="V1000" s="63"/>
      <c r="W1000" s="63"/>
      <c r="X1000" s="63"/>
      <c r="Z1000" s="63"/>
      <c r="AA1000" s="113"/>
      <c r="AB1000" s="113"/>
      <c r="AC1000" s="113"/>
    </row>
    <row r="1001" spans="1:29" ht="25.5" customHeight="1" x14ac:dyDescent="0.2">
      <c r="A1001" s="50" t="s">
        <v>1609</v>
      </c>
      <c r="B1001" s="121"/>
      <c r="C1001" s="67" t="s">
        <v>1610</v>
      </c>
      <c r="D1001" s="122" t="s">
        <v>1312</v>
      </c>
      <c r="E1001" s="128" t="s">
        <v>1564</v>
      </c>
      <c r="F1001" s="128"/>
      <c r="G1001" s="54"/>
      <c r="H1001" s="54"/>
      <c r="I1001" s="128" t="s">
        <v>1565</v>
      </c>
      <c r="J1001" s="54"/>
      <c r="K1001" s="58"/>
      <c r="L1001" s="88">
        <f>1</f>
        <v>1</v>
      </c>
      <c r="M1001" s="80">
        <f>1</f>
        <v>1</v>
      </c>
      <c r="N1001" s="61"/>
      <c r="O1001" s="61"/>
      <c r="P1001" s="63"/>
      <c r="Q1001" s="63"/>
      <c r="R1001" s="63"/>
      <c r="S1001" s="63"/>
      <c r="T1001" s="63"/>
      <c r="U1001" s="63"/>
      <c r="V1001" s="63"/>
      <c r="W1001" s="63"/>
      <c r="X1001" s="63"/>
      <c r="Z1001" s="63"/>
      <c r="AA1001" s="113"/>
      <c r="AB1001" s="113"/>
      <c r="AC1001" s="113"/>
    </row>
    <row r="1002" spans="1:29" ht="60" customHeight="1" x14ac:dyDescent="0.2">
      <c r="A1002" s="50" t="s">
        <v>1611</v>
      </c>
      <c r="B1002" s="121"/>
      <c r="C1002" s="66" t="s">
        <v>1576</v>
      </c>
      <c r="D1002" s="122" t="s">
        <v>1312</v>
      </c>
      <c r="E1002" s="128" t="s">
        <v>1564</v>
      </c>
      <c r="F1002" s="128"/>
      <c r="G1002" s="54"/>
      <c r="H1002" s="68" t="s">
        <v>84</v>
      </c>
      <c r="I1002" s="128" t="s">
        <v>1565</v>
      </c>
      <c r="J1002" s="54">
        <v>630</v>
      </c>
      <c r="K1002" s="58"/>
      <c r="L1002" s="88">
        <f>7-1</f>
        <v>6</v>
      </c>
      <c r="M1002" s="80">
        <f>7-1</f>
        <v>6</v>
      </c>
      <c r="N1002" s="61"/>
      <c r="O1002" s="61"/>
      <c r="P1002" s="63"/>
      <c r="Q1002" s="63"/>
      <c r="R1002" s="63"/>
      <c r="S1002" s="63"/>
      <c r="T1002" s="63"/>
      <c r="U1002" s="63"/>
      <c r="V1002" s="63"/>
      <c r="W1002" s="63"/>
      <c r="X1002" s="63"/>
      <c r="Z1002" s="63"/>
      <c r="AA1002" s="113"/>
      <c r="AB1002" s="113"/>
      <c r="AC1002" s="113"/>
    </row>
    <row r="1003" spans="1:29" ht="60" hidden="1" customHeight="1" x14ac:dyDescent="0.2">
      <c r="A1003" s="50" t="s">
        <v>1612</v>
      </c>
      <c r="B1003" s="121"/>
      <c r="C1003" s="66" t="s">
        <v>1613</v>
      </c>
      <c r="D1003" s="122" t="s">
        <v>1312</v>
      </c>
      <c r="E1003" s="128" t="s">
        <v>1564</v>
      </c>
      <c r="F1003" s="128"/>
      <c r="G1003" s="54"/>
      <c r="H1003" s="68" t="s">
        <v>84</v>
      </c>
      <c r="I1003" s="128" t="s">
        <v>1565</v>
      </c>
      <c r="J1003" s="54">
        <v>630</v>
      </c>
      <c r="K1003" s="58"/>
      <c r="L1003" s="88">
        <f>1-1</f>
        <v>0</v>
      </c>
      <c r="M1003" s="80">
        <f>1-1</f>
        <v>0</v>
      </c>
      <c r="N1003" s="61"/>
      <c r="O1003" s="61"/>
      <c r="P1003" s="63"/>
      <c r="Q1003" s="63"/>
      <c r="R1003" s="63"/>
      <c r="S1003" s="63"/>
      <c r="T1003" s="63"/>
      <c r="U1003" s="63"/>
      <c r="V1003" s="63"/>
      <c r="W1003" s="63"/>
      <c r="X1003" s="63"/>
      <c r="Z1003" s="63"/>
      <c r="AA1003" s="113"/>
      <c r="AB1003" s="113"/>
      <c r="AC1003" s="113"/>
    </row>
    <row r="1004" spans="1:29" ht="60" customHeight="1" x14ac:dyDescent="0.2">
      <c r="A1004" s="50" t="s">
        <v>1614</v>
      </c>
      <c r="B1004" s="121"/>
      <c r="C1004" s="66" t="s">
        <v>1615</v>
      </c>
      <c r="D1004" s="122" t="s">
        <v>1312</v>
      </c>
      <c r="E1004" s="128" t="s">
        <v>1564</v>
      </c>
      <c r="F1004" s="128"/>
      <c r="G1004" s="54"/>
      <c r="H1004" s="68" t="s">
        <v>151</v>
      </c>
      <c r="I1004" s="128" t="s">
        <v>1565</v>
      </c>
      <c r="J1004" s="54">
        <v>630</v>
      </c>
      <c r="K1004" s="58"/>
      <c r="L1004" s="88">
        <f>9-1</f>
        <v>8</v>
      </c>
      <c r="M1004" s="80">
        <f>9-1</f>
        <v>8</v>
      </c>
      <c r="N1004" s="61"/>
      <c r="O1004" s="61"/>
      <c r="P1004" s="63"/>
      <c r="Q1004" s="63"/>
      <c r="R1004" s="63"/>
      <c r="S1004" s="63"/>
      <c r="T1004" s="63"/>
      <c r="U1004" s="63"/>
      <c r="V1004" s="63"/>
      <c r="W1004" s="63"/>
      <c r="X1004" s="63"/>
      <c r="Z1004" s="63"/>
      <c r="AA1004" s="113"/>
      <c r="AB1004" s="113"/>
      <c r="AC1004" s="113"/>
    </row>
    <row r="1005" spans="1:29" ht="60" customHeight="1" x14ac:dyDescent="0.2">
      <c r="A1005" s="50" t="s">
        <v>1616</v>
      </c>
      <c r="B1005" s="121"/>
      <c r="C1005" s="66" t="s">
        <v>1617</v>
      </c>
      <c r="D1005" s="122" t="s">
        <v>1312</v>
      </c>
      <c r="E1005" s="128" t="s">
        <v>1564</v>
      </c>
      <c r="F1005" s="128"/>
      <c r="G1005" s="54"/>
      <c r="H1005" s="68" t="s">
        <v>84</v>
      </c>
      <c r="I1005" s="128" t="s">
        <v>1565</v>
      </c>
      <c r="J1005" s="54">
        <v>630</v>
      </c>
      <c r="K1005" s="58"/>
      <c r="L1005" s="88">
        <f>6-1</f>
        <v>5</v>
      </c>
      <c r="M1005" s="80">
        <f>6-1</f>
        <v>5</v>
      </c>
      <c r="N1005" s="61"/>
      <c r="O1005" s="61"/>
      <c r="P1005" s="63"/>
      <c r="Q1005" s="63"/>
      <c r="R1005" s="63"/>
      <c r="S1005" s="63"/>
      <c r="T1005" s="63"/>
      <c r="U1005" s="63"/>
      <c r="V1005" s="63"/>
      <c r="W1005" s="63"/>
      <c r="X1005" s="63"/>
      <c r="Z1005" s="63"/>
      <c r="AA1005" s="113"/>
      <c r="AB1005" s="113"/>
      <c r="AC1005" s="113"/>
    </row>
    <row r="1006" spans="1:29" ht="60" customHeight="1" x14ac:dyDescent="0.2">
      <c r="A1006" s="50" t="s">
        <v>1618</v>
      </c>
      <c r="B1006" s="121"/>
      <c r="C1006" s="66" t="s">
        <v>1619</v>
      </c>
      <c r="D1006" s="122" t="s">
        <v>1312</v>
      </c>
      <c r="E1006" s="128" t="s">
        <v>1564</v>
      </c>
      <c r="F1006" s="128"/>
      <c r="G1006" s="54"/>
      <c r="H1006" s="68" t="s">
        <v>442</v>
      </c>
      <c r="I1006" s="128" t="s">
        <v>1565</v>
      </c>
      <c r="J1006" s="54">
        <v>630</v>
      </c>
      <c r="K1006" s="58"/>
      <c r="L1006" s="88">
        <f>7-1</f>
        <v>6</v>
      </c>
      <c r="M1006" s="80">
        <f>7-1</f>
        <v>6</v>
      </c>
      <c r="N1006" s="61"/>
      <c r="O1006" s="61"/>
      <c r="P1006" s="63"/>
      <c r="Q1006" s="63"/>
      <c r="R1006" s="63"/>
      <c r="S1006" s="63"/>
      <c r="T1006" s="63"/>
      <c r="U1006" s="63"/>
      <c r="V1006" s="63"/>
      <c r="W1006" s="63"/>
      <c r="X1006" s="63"/>
      <c r="Z1006" s="63"/>
      <c r="AA1006" s="113"/>
      <c r="AB1006" s="113"/>
      <c r="AC1006" s="113"/>
    </row>
    <row r="1007" spans="1:29" ht="60" customHeight="1" x14ac:dyDescent="0.2">
      <c r="A1007" s="50" t="s">
        <v>1620</v>
      </c>
      <c r="B1007" s="121"/>
      <c r="C1007" s="66" t="s">
        <v>1621</v>
      </c>
      <c r="D1007" s="122" t="s">
        <v>1312</v>
      </c>
      <c r="E1007" s="128" t="s">
        <v>1564</v>
      </c>
      <c r="F1007" s="128"/>
      <c r="G1007" s="54"/>
      <c r="H1007" s="57" t="s">
        <v>273</v>
      </c>
      <c r="I1007" s="128" t="s">
        <v>1565</v>
      </c>
      <c r="J1007" s="54">
        <v>630</v>
      </c>
      <c r="K1007" s="58"/>
      <c r="L1007" s="88">
        <f>8-5+5</f>
        <v>8</v>
      </c>
      <c r="M1007" s="80">
        <f>8-5+5</f>
        <v>8</v>
      </c>
      <c r="N1007" s="61"/>
      <c r="O1007" s="61"/>
      <c r="P1007" s="63"/>
      <c r="Q1007" s="63"/>
      <c r="R1007" s="63"/>
      <c r="S1007" s="63"/>
      <c r="T1007" s="63"/>
      <c r="U1007" s="63"/>
      <c r="V1007" s="63"/>
      <c r="W1007" s="63"/>
      <c r="X1007" s="63"/>
      <c r="Z1007" s="63"/>
      <c r="AA1007" s="113"/>
      <c r="AB1007" s="113"/>
      <c r="AC1007" s="113"/>
    </row>
    <row r="1008" spans="1:29" ht="60" customHeight="1" x14ac:dyDescent="0.2">
      <c r="A1008" s="50" t="s">
        <v>1622</v>
      </c>
      <c r="B1008" s="121"/>
      <c r="C1008" s="66" t="s">
        <v>1623</v>
      </c>
      <c r="D1008" s="122" t="s">
        <v>1312</v>
      </c>
      <c r="E1008" s="128" t="s">
        <v>1564</v>
      </c>
      <c r="F1008" s="128"/>
      <c r="G1008" s="54"/>
      <c r="H1008" s="68" t="s">
        <v>151</v>
      </c>
      <c r="I1008" s="128" t="s">
        <v>1565</v>
      </c>
      <c r="J1008" s="54">
        <v>630</v>
      </c>
      <c r="K1008" s="58"/>
      <c r="L1008" s="88">
        <f>3-1+1</f>
        <v>3</v>
      </c>
      <c r="M1008" s="80">
        <f>3-1+1</f>
        <v>3</v>
      </c>
      <c r="N1008" s="61"/>
      <c r="O1008" s="61"/>
      <c r="P1008" s="63"/>
      <c r="Q1008" s="63"/>
      <c r="R1008" s="63"/>
      <c r="S1008" s="63"/>
      <c r="T1008" s="63"/>
      <c r="U1008" s="63"/>
      <c r="V1008" s="63"/>
      <c r="W1008" s="63"/>
      <c r="X1008" s="63"/>
      <c r="Z1008" s="63"/>
      <c r="AA1008" s="113"/>
      <c r="AB1008" s="113"/>
      <c r="AC1008" s="113"/>
    </row>
    <row r="1009" spans="1:29" ht="60" customHeight="1" x14ac:dyDescent="0.2">
      <c r="A1009" s="50" t="s">
        <v>1624</v>
      </c>
      <c r="B1009" s="121"/>
      <c r="C1009" s="66" t="s">
        <v>1625</v>
      </c>
      <c r="D1009" s="122" t="s">
        <v>1312</v>
      </c>
      <c r="E1009" s="128" t="s">
        <v>1564</v>
      </c>
      <c r="F1009" s="128"/>
      <c r="G1009" s="54"/>
      <c r="H1009" s="54"/>
      <c r="I1009" s="128" t="s">
        <v>1565</v>
      </c>
      <c r="J1009" s="54">
        <v>630</v>
      </c>
      <c r="K1009" s="58"/>
      <c r="L1009" s="88">
        <f>13-10+10</f>
        <v>13</v>
      </c>
      <c r="M1009" s="80">
        <f>13-10+10</f>
        <v>13</v>
      </c>
      <c r="N1009" s="61"/>
      <c r="O1009" s="61"/>
      <c r="P1009" s="63"/>
      <c r="Q1009" s="63"/>
      <c r="R1009" s="63"/>
      <c r="S1009" s="63"/>
      <c r="T1009" s="63"/>
      <c r="U1009" s="63"/>
      <c r="V1009" s="63"/>
      <c r="W1009" s="63"/>
      <c r="X1009" s="63"/>
      <c r="Z1009" s="63"/>
      <c r="AA1009" s="113"/>
      <c r="AB1009" s="113"/>
      <c r="AC1009" s="113"/>
    </row>
    <row r="1010" spans="1:29" ht="60" hidden="1" customHeight="1" x14ac:dyDescent="0.2">
      <c r="A1010" s="50" t="s">
        <v>1626</v>
      </c>
      <c r="B1010" s="121"/>
      <c r="C1010" s="66" t="s">
        <v>1627</v>
      </c>
      <c r="D1010" s="122" t="s">
        <v>1312</v>
      </c>
      <c r="E1010" s="128" t="s">
        <v>1564</v>
      </c>
      <c r="F1010" s="128"/>
      <c r="G1010" s="54"/>
      <c r="H1010" s="54"/>
      <c r="I1010" s="128" t="s">
        <v>1565</v>
      </c>
      <c r="J1010" s="54">
        <v>630</v>
      </c>
      <c r="K1010" s="58"/>
      <c r="L1010" s="88">
        <v>0</v>
      </c>
      <c r="M1010" s="80">
        <v>0</v>
      </c>
      <c r="N1010" s="61"/>
      <c r="O1010" s="61"/>
      <c r="P1010" s="63"/>
      <c r="Q1010" s="63"/>
      <c r="R1010" s="63"/>
      <c r="S1010" s="63"/>
      <c r="T1010" s="63"/>
      <c r="U1010" s="63"/>
      <c r="V1010" s="63"/>
      <c r="W1010" s="63"/>
      <c r="X1010" s="63"/>
      <c r="Z1010" s="63"/>
      <c r="AA1010" s="113"/>
      <c r="AB1010" s="113"/>
      <c r="AC1010" s="113"/>
    </row>
    <row r="1011" spans="1:29" ht="60" customHeight="1" x14ac:dyDescent="0.2">
      <c r="A1011" s="50" t="s">
        <v>1628</v>
      </c>
      <c r="B1011" s="121"/>
      <c r="C1011" s="66" t="s">
        <v>1629</v>
      </c>
      <c r="D1011" s="122" t="s">
        <v>1390</v>
      </c>
      <c r="E1011" s="128" t="s">
        <v>1564</v>
      </c>
      <c r="F1011" s="128"/>
      <c r="G1011" s="54"/>
      <c r="H1011" s="54"/>
      <c r="I1011" s="128" t="s">
        <v>1565</v>
      </c>
      <c r="J1011" s="54">
        <v>2000</v>
      </c>
      <c r="K1011" s="58"/>
      <c r="L1011" s="88">
        <v>1</v>
      </c>
      <c r="M1011" s="80">
        <v>1</v>
      </c>
      <c r="N1011" s="61"/>
      <c r="O1011" s="61"/>
      <c r="P1011" s="63"/>
      <c r="Q1011" s="63"/>
      <c r="R1011" s="63"/>
      <c r="S1011" s="63"/>
      <c r="T1011" s="63"/>
      <c r="U1011" s="63"/>
      <c r="V1011" s="63"/>
      <c r="W1011" s="63"/>
      <c r="X1011" s="63"/>
      <c r="Z1011" s="63"/>
      <c r="AA1011" s="113"/>
      <c r="AB1011" s="113"/>
      <c r="AC1011" s="113"/>
    </row>
    <row r="1012" spans="1:29" ht="60" hidden="1" customHeight="1" x14ac:dyDescent="0.2">
      <c r="A1012" s="50" t="s">
        <v>1630</v>
      </c>
      <c r="B1012" s="121"/>
      <c r="C1012" s="66" t="s">
        <v>1629</v>
      </c>
      <c r="D1012" s="122" t="s">
        <v>1390</v>
      </c>
      <c r="E1012" s="128" t="s">
        <v>1564</v>
      </c>
      <c r="F1012" s="128"/>
      <c r="G1012" s="54"/>
      <c r="H1012" s="54"/>
      <c r="I1012" s="128" t="s">
        <v>1565</v>
      </c>
      <c r="J1012" s="54">
        <v>2000</v>
      </c>
      <c r="K1012" s="58"/>
      <c r="L1012" s="88">
        <v>0</v>
      </c>
      <c r="M1012" s="80">
        <v>0</v>
      </c>
      <c r="N1012" s="61"/>
      <c r="O1012" s="61"/>
      <c r="P1012" s="63"/>
      <c r="Q1012" s="63"/>
      <c r="R1012" s="63"/>
      <c r="S1012" s="63"/>
      <c r="T1012" s="63"/>
      <c r="U1012" s="63"/>
      <c r="V1012" s="63"/>
      <c r="W1012" s="63"/>
      <c r="X1012" s="63"/>
      <c r="Z1012" s="63"/>
      <c r="AA1012" s="113"/>
      <c r="AB1012" s="113"/>
      <c r="AC1012" s="113"/>
    </row>
    <row r="1013" spans="1:29" ht="60" customHeight="1" x14ac:dyDescent="0.2">
      <c r="A1013" s="50" t="s">
        <v>1631</v>
      </c>
      <c r="B1013" s="121"/>
      <c r="C1013" s="66" t="s">
        <v>1629</v>
      </c>
      <c r="D1013" s="122" t="s">
        <v>1390</v>
      </c>
      <c r="E1013" s="128" t="s">
        <v>1564</v>
      </c>
      <c r="F1013" s="128"/>
      <c r="G1013" s="54"/>
      <c r="H1013" s="54"/>
      <c r="I1013" s="128" t="s">
        <v>1565</v>
      </c>
      <c r="J1013" s="54">
        <v>2000</v>
      </c>
      <c r="K1013" s="58"/>
      <c r="L1013" s="88">
        <v>3</v>
      </c>
      <c r="M1013" s="80">
        <v>3</v>
      </c>
      <c r="N1013" s="61"/>
      <c r="O1013" s="61"/>
      <c r="P1013" s="63"/>
      <c r="Q1013" s="63"/>
      <c r="R1013" s="63"/>
      <c r="S1013" s="63"/>
      <c r="T1013" s="63"/>
      <c r="U1013" s="63"/>
      <c r="V1013" s="63"/>
      <c r="W1013" s="63"/>
      <c r="X1013" s="63"/>
      <c r="Z1013" s="63"/>
      <c r="AA1013" s="113"/>
      <c r="AB1013" s="113"/>
      <c r="AC1013" s="113"/>
    </row>
    <row r="1014" spans="1:29" ht="60" hidden="1" customHeight="1" x14ac:dyDescent="0.2">
      <c r="A1014" s="50" t="s">
        <v>1632</v>
      </c>
      <c r="B1014" s="121"/>
      <c r="C1014" s="87" t="s">
        <v>1633</v>
      </c>
      <c r="D1014" s="68" t="s">
        <v>1634</v>
      </c>
      <c r="E1014" s="68" t="s">
        <v>1635</v>
      </c>
      <c r="F1014" s="128"/>
      <c r="G1014" s="54"/>
      <c r="H1014" s="54"/>
      <c r="I1014" s="128"/>
      <c r="J1014" s="124">
        <v>2080</v>
      </c>
      <c r="K1014" s="58"/>
      <c r="L1014" s="88">
        <f>1-1</f>
        <v>0</v>
      </c>
      <c r="M1014" s="80">
        <f>1-1</f>
        <v>0</v>
      </c>
      <c r="N1014" s="61"/>
      <c r="O1014" s="61"/>
      <c r="P1014" s="63"/>
      <c r="Q1014" s="63"/>
      <c r="R1014" s="63"/>
      <c r="S1014" s="63"/>
      <c r="T1014" s="63"/>
      <c r="U1014" s="63"/>
      <c r="V1014" s="63"/>
      <c r="W1014" s="63"/>
      <c r="X1014" s="63"/>
      <c r="Z1014" s="63"/>
      <c r="AA1014" s="113"/>
      <c r="AB1014" s="113"/>
      <c r="AC1014" s="113"/>
    </row>
    <row r="1015" spans="1:29" ht="60" customHeight="1" x14ac:dyDescent="0.2">
      <c r="A1015" s="50" t="s">
        <v>1636</v>
      </c>
      <c r="B1015" s="121"/>
      <c r="C1015" s="66" t="s">
        <v>1637</v>
      </c>
      <c r="D1015" s="68" t="s">
        <v>1634</v>
      </c>
      <c r="E1015" s="68" t="s">
        <v>1635</v>
      </c>
      <c r="F1015" s="128"/>
      <c r="G1015" s="54"/>
      <c r="H1015" s="54"/>
      <c r="I1015" s="128"/>
      <c r="J1015" s="124">
        <v>1560</v>
      </c>
      <c r="K1015" s="58"/>
      <c r="L1015" s="88">
        <f>4-1-1</f>
        <v>2</v>
      </c>
      <c r="M1015" s="80">
        <f>4-1-1</f>
        <v>2</v>
      </c>
      <c r="N1015" s="61"/>
      <c r="O1015" s="61"/>
      <c r="P1015" s="63"/>
      <c r="Q1015" s="63"/>
      <c r="R1015" s="63"/>
      <c r="S1015" s="63"/>
      <c r="T1015" s="63"/>
      <c r="U1015" s="63"/>
      <c r="V1015" s="63"/>
      <c r="W1015" s="63"/>
      <c r="X1015" s="63"/>
      <c r="Z1015" s="63"/>
      <c r="AA1015" s="113"/>
      <c r="AB1015" s="113"/>
      <c r="AC1015" s="113"/>
    </row>
    <row r="1016" spans="1:29" ht="60" customHeight="1" x14ac:dyDescent="0.2">
      <c r="A1016" s="50" t="s">
        <v>1638</v>
      </c>
      <c r="B1016" s="121"/>
      <c r="C1016" s="87" t="s">
        <v>1639</v>
      </c>
      <c r="D1016" s="68" t="s">
        <v>1634</v>
      </c>
      <c r="E1016" s="68" t="s">
        <v>1635</v>
      </c>
      <c r="F1016" s="128"/>
      <c r="G1016" s="54"/>
      <c r="H1016" s="54"/>
      <c r="I1016" s="128"/>
      <c r="J1016" s="124">
        <v>1840</v>
      </c>
      <c r="K1016" s="58"/>
      <c r="L1016" s="88">
        <f>7-5+5</f>
        <v>7</v>
      </c>
      <c r="M1016" s="80">
        <f>7-5+5</f>
        <v>7</v>
      </c>
      <c r="N1016" s="61"/>
      <c r="O1016" s="61"/>
      <c r="P1016" s="63"/>
      <c r="Q1016" s="63"/>
      <c r="R1016" s="63"/>
      <c r="S1016" s="63"/>
      <c r="T1016" s="63"/>
      <c r="U1016" s="63"/>
      <c r="V1016" s="63"/>
      <c r="W1016" s="63"/>
      <c r="X1016" s="63"/>
      <c r="Z1016" s="63"/>
      <c r="AA1016" s="113"/>
      <c r="AB1016" s="113"/>
      <c r="AC1016" s="113"/>
    </row>
    <row r="1017" spans="1:29" ht="60" hidden="1" customHeight="1" x14ac:dyDescent="0.2">
      <c r="A1017" s="50" t="s">
        <v>1640</v>
      </c>
      <c r="B1017" s="121"/>
      <c r="C1017" s="87" t="s">
        <v>1641</v>
      </c>
      <c r="D1017" s="68" t="s">
        <v>1634</v>
      </c>
      <c r="E1017" s="68" t="s">
        <v>1635</v>
      </c>
      <c r="F1017" s="128"/>
      <c r="G1017" s="54"/>
      <c r="H1017" s="54"/>
      <c r="I1017" s="128"/>
      <c r="J1017" s="124"/>
      <c r="K1017" s="58"/>
      <c r="L1017" s="88">
        <v>0</v>
      </c>
      <c r="M1017" s="80">
        <v>0</v>
      </c>
      <c r="N1017" s="61"/>
      <c r="O1017" s="61"/>
      <c r="P1017" s="63"/>
      <c r="Q1017" s="63"/>
      <c r="R1017" s="63"/>
      <c r="S1017" s="63"/>
      <c r="T1017" s="63"/>
      <c r="U1017" s="63"/>
      <c r="V1017" s="63"/>
      <c r="W1017" s="63"/>
      <c r="X1017" s="63"/>
      <c r="Z1017" s="63"/>
      <c r="AA1017" s="113"/>
      <c r="AB1017" s="113"/>
      <c r="AC1017" s="113"/>
    </row>
    <row r="1018" spans="1:29" ht="60" customHeight="1" x14ac:dyDescent="0.2">
      <c r="A1018" s="50" t="s">
        <v>1642</v>
      </c>
      <c r="B1018" s="121"/>
      <c r="C1018" s="66" t="s">
        <v>1643</v>
      </c>
      <c r="D1018" s="68" t="s">
        <v>1634</v>
      </c>
      <c r="E1018" s="68" t="s">
        <v>1635</v>
      </c>
      <c r="F1018" s="128"/>
      <c r="G1018" s="54"/>
      <c r="H1018" s="54"/>
      <c r="I1018" s="128"/>
      <c r="J1018" s="124">
        <v>2080</v>
      </c>
      <c r="K1018" s="58"/>
      <c r="L1018" s="88">
        <f>2-1+1</f>
        <v>2</v>
      </c>
      <c r="M1018" s="80">
        <f>2-1+1</f>
        <v>2</v>
      </c>
      <c r="N1018" s="61"/>
      <c r="O1018" s="61"/>
      <c r="P1018" s="63"/>
      <c r="Q1018" s="63"/>
      <c r="R1018" s="63"/>
      <c r="S1018" s="63"/>
      <c r="T1018" s="63"/>
      <c r="U1018" s="63"/>
      <c r="V1018" s="63"/>
      <c r="W1018" s="63"/>
      <c r="X1018" s="63"/>
      <c r="Z1018" s="63"/>
      <c r="AA1018" s="113"/>
      <c r="AB1018" s="113"/>
      <c r="AC1018" s="113"/>
    </row>
    <row r="1019" spans="1:29" ht="60" customHeight="1" x14ac:dyDescent="0.2">
      <c r="A1019" s="50" t="s">
        <v>1644</v>
      </c>
      <c r="B1019" s="121"/>
      <c r="C1019" s="87" t="s">
        <v>1645</v>
      </c>
      <c r="D1019" s="68" t="s">
        <v>1634</v>
      </c>
      <c r="E1019" s="68" t="s">
        <v>1635</v>
      </c>
      <c r="F1019" s="128"/>
      <c r="G1019" s="54"/>
      <c r="H1019" s="54"/>
      <c r="I1019" s="128"/>
      <c r="J1019" s="124">
        <v>1560</v>
      </c>
      <c r="K1019" s="58"/>
      <c r="L1019" s="88">
        <f>2-1</f>
        <v>1</v>
      </c>
      <c r="M1019" s="80">
        <f>2-1</f>
        <v>1</v>
      </c>
      <c r="N1019" s="61"/>
      <c r="O1019" s="61"/>
      <c r="P1019" s="63"/>
      <c r="Q1019" s="63"/>
      <c r="R1019" s="63"/>
      <c r="S1019" s="63"/>
      <c r="T1019" s="63"/>
      <c r="U1019" s="63"/>
      <c r="V1019" s="63"/>
      <c r="W1019" s="63"/>
      <c r="X1019" s="63"/>
      <c r="Z1019" s="63"/>
      <c r="AA1019" s="113"/>
      <c r="AB1019" s="113"/>
      <c r="AC1019" s="113"/>
    </row>
    <row r="1020" spans="1:29" ht="60" hidden="1" customHeight="1" x14ac:dyDescent="0.2">
      <c r="A1020" s="50" t="s">
        <v>1646</v>
      </c>
      <c r="B1020" s="121"/>
      <c r="C1020" s="66" t="s">
        <v>1647</v>
      </c>
      <c r="D1020" s="68" t="s">
        <v>1634</v>
      </c>
      <c r="E1020" s="68" t="s">
        <v>1635</v>
      </c>
      <c r="F1020" s="128"/>
      <c r="G1020" s="54"/>
      <c r="H1020" s="54"/>
      <c r="I1020" s="128"/>
      <c r="J1020" s="124">
        <v>810</v>
      </c>
      <c r="K1020" s="58"/>
      <c r="L1020" s="88">
        <f>1-1</f>
        <v>0</v>
      </c>
      <c r="M1020" s="80">
        <f>1-1</f>
        <v>0</v>
      </c>
      <c r="N1020" s="61"/>
      <c r="O1020" s="61"/>
      <c r="P1020" s="63"/>
      <c r="Q1020" s="63"/>
      <c r="R1020" s="63"/>
      <c r="S1020" s="63"/>
      <c r="T1020" s="63"/>
      <c r="U1020" s="63"/>
      <c r="V1020" s="63"/>
      <c r="W1020" s="63"/>
      <c r="X1020" s="63"/>
      <c r="Z1020" s="63"/>
      <c r="AA1020" s="113"/>
      <c r="AB1020" s="113"/>
      <c r="AC1020" s="113"/>
    </row>
    <row r="1021" spans="1:29" ht="60" hidden="1" customHeight="1" x14ac:dyDescent="0.2">
      <c r="A1021" s="50" t="s">
        <v>1648</v>
      </c>
      <c r="B1021" s="121"/>
      <c r="C1021" s="87" t="s">
        <v>1649</v>
      </c>
      <c r="D1021" s="68" t="s">
        <v>1634</v>
      </c>
      <c r="E1021" s="68" t="s">
        <v>1635</v>
      </c>
      <c r="F1021" s="128"/>
      <c r="G1021" s="54"/>
      <c r="H1021" s="54"/>
      <c r="I1021" s="128"/>
      <c r="J1021" s="124"/>
      <c r="K1021" s="58"/>
      <c r="L1021" s="88">
        <v>0</v>
      </c>
      <c r="M1021" s="80">
        <v>0</v>
      </c>
      <c r="N1021" s="61"/>
      <c r="O1021" s="61"/>
      <c r="P1021" s="63"/>
      <c r="Q1021" s="63"/>
      <c r="R1021" s="63"/>
      <c r="S1021" s="63"/>
      <c r="T1021" s="63"/>
      <c r="U1021" s="63"/>
      <c r="V1021" s="63"/>
      <c r="W1021" s="63"/>
      <c r="X1021" s="63"/>
      <c r="Z1021" s="63"/>
      <c r="AA1021" s="113"/>
      <c r="AB1021" s="113"/>
      <c r="AC1021" s="113"/>
    </row>
    <row r="1022" spans="1:29" ht="60" hidden="1" customHeight="1" x14ac:dyDescent="0.2">
      <c r="A1022" s="129" t="s">
        <v>1650</v>
      </c>
      <c r="B1022" s="121"/>
      <c r="C1022" s="87" t="s">
        <v>1651</v>
      </c>
      <c r="D1022" s="68" t="s">
        <v>1652</v>
      </c>
      <c r="E1022" s="68" t="s">
        <v>1635</v>
      </c>
      <c r="F1022" s="128"/>
      <c r="G1022" s="54"/>
      <c r="H1022" s="54"/>
      <c r="I1022" s="128"/>
      <c r="J1022" s="124">
        <v>406</v>
      </c>
      <c r="K1022" s="58"/>
      <c r="L1022" s="88">
        <f>1-1</f>
        <v>0</v>
      </c>
      <c r="M1022" s="80">
        <f>1-1</f>
        <v>0</v>
      </c>
      <c r="N1022" s="61"/>
      <c r="O1022" s="61"/>
      <c r="P1022" s="63"/>
      <c r="Q1022" s="63"/>
      <c r="R1022" s="63"/>
      <c r="S1022" s="63"/>
      <c r="T1022" s="63"/>
      <c r="U1022" s="63"/>
      <c r="V1022" s="63"/>
      <c r="W1022" s="63"/>
      <c r="X1022" s="63"/>
      <c r="Z1022" s="63"/>
      <c r="AA1022" s="113"/>
      <c r="AB1022" s="113"/>
      <c r="AC1022" s="113"/>
    </row>
    <row r="1023" spans="1:29" ht="25.5" customHeight="1" x14ac:dyDescent="0.2">
      <c r="A1023" s="50" t="s">
        <v>1653</v>
      </c>
      <c r="B1023" s="121"/>
      <c r="C1023" s="87" t="s">
        <v>1654</v>
      </c>
      <c r="D1023" s="68" t="s">
        <v>1652</v>
      </c>
      <c r="E1023" s="68" t="s">
        <v>1635</v>
      </c>
      <c r="F1023" s="128"/>
      <c r="G1023" s="54"/>
      <c r="H1023" s="54"/>
      <c r="I1023" s="128"/>
      <c r="J1023" s="124">
        <v>406</v>
      </c>
      <c r="K1023" s="58"/>
      <c r="L1023" s="88">
        <f>2+1</f>
        <v>3</v>
      </c>
      <c r="M1023" s="80">
        <f>2+1</f>
        <v>3</v>
      </c>
      <c r="N1023" s="61"/>
      <c r="O1023" s="61"/>
      <c r="P1023" s="63"/>
      <c r="Q1023" s="63"/>
      <c r="R1023" s="63"/>
      <c r="S1023" s="63"/>
      <c r="T1023" s="63"/>
      <c r="U1023" s="63"/>
      <c r="V1023" s="63"/>
      <c r="W1023" s="63"/>
      <c r="X1023" s="63"/>
      <c r="Z1023" s="63"/>
      <c r="AA1023" s="113"/>
      <c r="AB1023" s="113"/>
      <c r="AC1023" s="113"/>
    </row>
    <row r="1024" spans="1:29" ht="25.5" customHeight="1" x14ac:dyDescent="0.2">
      <c r="A1024" s="50" t="s">
        <v>1655</v>
      </c>
      <c r="B1024" s="121"/>
      <c r="C1024" s="87" t="s">
        <v>1656</v>
      </c>
      <c r="D1024" s="68" t="s">
        <v>1652</v>
      </c>
      <c r="E1024" s="68" t="s">
        <v>1635</v>
      </c>
      <c r="F1024" s="128"/>
      <c r="G1024" s="54"/>
      <c r="H1024" s="54"/>
      <c r="I1024" s="128"/>
      <c r="J1024" s="124">
        <v>406</v>
      </c>
      <c r="K1024" s="58"/>
      <c r="L1024" s="88">
        <f>3-1</f>
        <v>2</v>
      </c>
      <c r="M1024" s="80">
        <f>3-1</f>
        <v>2</v>
      </c>
      <c r="N1024" s="61"/>
      <c r="O1024" s="61"/>
      <c r="P1024" s="63"/>
      <c r="Q1024" s="63"/>
      <c r="R1024" s="63"/>
      <c r="S1024" s="63"/>
      <c r="T1024" s="63"/>
      <c r="U1024" s="63"/>
      <c r="V1024" s="63"/>
      <c r="W1024" s="63"/>
      <c r="X1024" s="63"/>
      <c r="Z1024" s="63"/>
      <c r="AA1024" s="113"/>
      <c r="AB1024" s="113"/>
      <c r="AC1024" s="113"/>
    </row>
    <row r="1025" spans="1:29" ht="25.5" hidden="1" customHeight="1" x14ac:dyDescent="0.2">
      <c r="A1025" s="50" t="s">
        <v>1657</v>
      </c>
      <c r="B1025" s="121"/>
      <c r="C1025" s="87" t="s">
        <v>1658</v>
      </c>
      <c r="D1025" s="68" t="s">
        <v>1652</v>
      </c>
      <c r="E1025" s="68" t="s">
        <v>1635</v>
      </c>
      <c r="F1025" s="128"/>
      <c r="G1025" s="54"/>
      <c r="H1025" s="54"/>
      <c r="I1025" s="128"/>
      <c r="J1025" s="124">
        <v>330</v>
      </c>
      <c r="K1025" s="58"/>
      <c r="L1025" s="88">
        <f>1-1</f>
        <v>0</v>
      </c>
      <c r="M1025" s="80">
        <f>1-1</f>
        <v>0</v>
      </c>
      <c r="N1025" s="61"/>
      <c r="O1025" s="61"/>
      <c r="P1025" s="63"/>
      <c r="Q1025" s="63"/>
      <c r="R1025" s="63"/>
      <c r="S1025" s="63"/>
      <c r="T1025" s="63"/>
      <c r="U1025" s="63"/>
      <c r="V1025" s="63"/>
      <c r="W1025" s="63"/>
      <c r="X1025" s="63"/>
      <c r="Z1025" s="63"/>
      <c r="AA1025" s="113"/>
      <c r="AB1025" s="113"/>
      <c r="AC1025" s="113"/>
    </row>
    <row r="1026" spans="1:29" ht="25.5" customHeight="1" x14ac:dyDescent="0.2">
      <c r="A1026" s="50" t="s">
        <v>1659</v>
      </c>
      <c r="B1026" s="121"/>
      <c r="C1026" s="87" t="s">
        <v>1660</v>
      </c>
      <c r="D1026" s="68" t="s">
        <v>1652</v>
      </c>
      <c r="E1026" s="68" t="s">
        <v>1635</v>
      </c>
      <c r="F1026" s="128"/>
      <c r="G1026" s="54"/>
      <c r="H1026" s="54"/>
      <c r="I1026" s="128"/>
      <c r="J1026" s="124">
        <v>406</v>
      </c>
      <c r="K1026" s="58"/>
      <c r="L1026" s="88">
        <f>3-1</f>
        <v>2</v>
      </c>
      <c r="M1026" s="80">
        <f>3-1</f>
        <v>2</v>
      </c>
      <c r="N1026" s="61"/>
      <c r="O1026" s="61"/>
      <c r="P1026" s="63"/>
      <c r="Q1026" s="63"/>
      <c r="R1026" s="63"/>
      <c r="S1026" s="63"/>
      <c r="T1026" s="63"/>
      <c r="U1026" s="63"/>
      <c r="V1026" s="63"/>
      <c r="W1026" s="63"/>
      <c r="X1026" s="63"/>
      <c r="Z1026" s="63"/>
      <c r="AA1026" s="113"/>
      <c r="AB1026" s="113"/>
      <c r="AC1026" s="113"/>
    </row>
    <row r="1027" spans="1:29" ht="25.5" hidden="1" customHeight="1" x14ac:dyDescent="0.2">
      <c r="A1027" s="50" t="s">
        <v>1661</v>
      </c>
      <c r="B1027" s="121"/>
      <c r="C1027" s="87" t="s">
        <v>1662</v>
      </c>
      <c r="D1027" s="68" t="s">
        <v>1652</v>
      </c>
      <c r="E1027" s="68" t="s">
        <v>1635</v>
      </c>
      <c r="F1027" s="128"/>
      <c r="G1027" s="54"/>
      <c r="H1027" s="54"/>
      <c r="I1027" s="128"/>
      <c r="J1027" s="124">
        <v>330</v>
      </c>
      <c r="K1027" s="58"/>
      <c r="L1027" s="88">
        <v>0</v>
      </c>
      <c r="M1027" s="80">
        <v>0</v>
      </c>
      <c r="N1027" s="61"/>
      <c r="O1027" s="61"/>
      <c r="P1027" s="63"/>
      <c r="Q1027" s="63"/>
      <c r="R1027" s="63"/>
      <c r="S1027" s="63"/>
      <c r="T1027" s="63"/>
      <c r="U1027" s="63"/>
      <c r="V1027" s="63"/>
      <c r="W1027" s="63"/>
      <c r="X1027" s="63"/>
      <c r="Z1027" s="63"/>
      <c r="AA1027" s="113"/>
      <c r="AB1027" s="113"/>
      <c r="AC1027" s="113"/>
    </row>
    <row r="1028" spans="1:29" ht="25.5" customHeight="1" x14ac:dyDescent="0.2">
      <c r="A1028" s="50" t="s">
        <v>1663</v>
      </c>
      <c r="B1028" s="121"/>
      <c r="C1028" s="87" t="s">
        <v>1664</v>
      </c>
      <c r="D1028" s="68" t="s">
        <v>1652</v>
      </c>
      <c r="E1028" s="68" t="s">
        <v>1635</v>
      </c>
      <c r="F1028" s="128"/>
      <c r="G1028" s="54"/>
      <c r="H1028" s="54"/>
      <c r="I1028" s="128"/>
      <c r="J1028" s="124">
        <v>406</v>
      </c>
      <c r="K1028" s="58"/>
      <c r="L1028" s="88">
        <f>3-2+2</f>
        <v>3</v>
      </c>
      <c r="M1028" s="80">
        <f>3-2+2</f>
        <v>3</v>
      </c>
      <c r="N1028" s="61"/>
      <c r="O1028" s="61"/>
      <c r="P1028" s="63"/>
      <c r="Q1028" s="63"/>
      <c r="R1028" s="63"/>
      <c r="S1028" s="63"/>
      <c r="T1028" s="63"/>
      <c r="U1028" s="63"/>
      <c r="V1028" s="63"/>
      <c r="W1028" s="63"/>
      <c r="X1028" s="63"/>
      <c r="Z1028" s="63"/>
      <c r="AA1028" s="113"/>
      <c r="AB1028" s="113"/>
      <c r="AC1028" s="113"/>
    </row>
    <row r="1029" spans="1:29" ht="25.5" customHeight="1" x14ac:dyDescent="0.2">
      <c r="A1029" s="50" t="s">
        <v>1665</v>
      </c>
      <c r="B1029" s="121"/>
      <c r="C1029" s="87" t="s">
        <v>1666</v>
      </c>
      <c r="D1029" s="68" t="s">
        <v>1652</v>
      </c>
      <c r="E1029" s="68" t="s">
        <v>1635</v>
      </c>
      <c r="F1029" s="128"/>
      <c r="G1029" s="54"/>
      <c r="H1029" s="54"/>
      <c r="I1029" s="128"/>
      <c r="J1029" s="124">
        <v>406</v>
      </c>
      <c r="K1029" s="58"/>
      <c r="L1029" s="88">
        <f>3-1</f>
        <v>2</v>
      </c>
      <c r="M1029" s="80">
        <f>3-1</f>
        <v>2</v>
      </c>
      <c r="N1029" s="61"/>
      <c r="O1029" s="61"/>
      <c r="P1029" s="63"/>
      <c r="Q1029" s="63"/>
      <c r="R1029" s="63"/>
      <c r="S1029" s="63"/>
      <c r="T1029" s="63"/>
      <c r="U1029" s="63"/>
      <c r="V1029" s="63"/>
      <c r="W1029" s="63"/>
      <c r="X1029" s="63"/>
      <c r="Z1029" s="63"/>
      <c r="AA1029" s="113"/>
      <c r="AB1029" s="113"/>
      <c r="AC1029" s="113"/>
    </row>
    <row r="1030" spans="1:29" ht="25.5" customHeight="1" x14ac:dyDescent="0.2">
      <c r="A1030" s="50" t="s">
        <v>1667</v>
      </c>
      <c r="B1030" s="121"/>
      <c r="C1030" s="87" t="s">
        <v>1668</v>
      </c>
      <c r="D1030" s="68" t="s">
        <v>1652</v>
      </c>
      <c r="E1030" s="68" t="s">
        <v>1635</v>
      </c>
      <c r="F1030" s="128"/>
      <c r="G1030" s="54"/>
      <c r="H1030" s="54"/>
      <c r="I1030" s="128"/>
      <c r="J1030" s="124">
        <v>406</v>
      </c>
      <c r="K1030" s="58"/>
      <c r="L1030" s="88">
        <f>4-1</f>
        <v>3</v>
      </c>
      <c r="M1030" s="80">
        <f>4-1</f>
        <v>3</v>
      </c>
      <c r="N1030" s="61"/>
      <c r="O1030" s="61"/>
      <c r="P1030" s="63"/>
      <c r="Q1030" s="63"/>
      <c r="R1030" s="63"/>
      <c r="S1030" s="63"/>
      <c r="T1030" s="63"/>
      <c r="U1030" s="63"/>
      <c r="V1030" s="63"/>
      <c r="W1030" s="63"/>
      <c r="X1030" s="63"/>
      <c r="Z1030" s="63"/>
      <c r="AA1030" s="113"/>
      <c r="AB1030" s="113"/>
      <c r="AC1030" s="113"/>
    </row>
    <row r="1031" spans="1:29" ht="25.5" customHeight="1" x14ac:dyDescent="0.2">
      <c r="A1031" s="50" t="s">
        <v>1669</v>
      </c>
      <c r="B1031" s="121"/>
      <c r="C1031" s="66" t="s">
        <v>1670</v>
      </c>
      <c r="D1031" s="68" t="s">
        <v>1652</v>
      </c>
      <c r="E1031" s="68" t="s">
        <v>1635</v>
      </c>
      <c r="F1031" s="128"/>
      <c r="G1031" s="54"/>
      <c r="H1031" s="54"/>
      <c r="I1031" s="128"/>
      <c r="J1031" s="124">
        <v>406</v>
      </c>
      <c r="K1031" s="58"/>
      <c r="L1031" s="88">
        <f>2+1</f>
        <v>3</v>
      </c>
      <c r="M1031" s="80">
        <f>2+1</f>
        <v>3</v>
      </c>
      <c r="N1031" s="61"/>
      <c r="O1031" s="61"/>
      <c r="P1031" s="63"/>
      <c r="Q1031" s="63"/>
      <c r="R1031" s="63"/>
      <c r="S1031" s="63"/>
      <c r="T1031" s="63"/>
      <c r="U1031" s="63"/>
      <c r="V1031" s="63"/>
      <c r="W1031" s="63"/>
      <c r="X1031" s="63"/>
      <c r="Z1031" s="63"/>
      <c r="AA1031" s="113"/>
      <c r="AB1031" s="113"/>
      <c r="AC1031" s="113"/>
    </row>
    <row r="1032" spans="1:29" ht="25.5" customHeight="1" x14ac:dyDescent="0.2">
      <c r="A1032" s="50" t="s">
        <v>1671</v>
      </c>
      <c r="B1032" s="121"/>
      <c r="C1032" s="66" t="s">
        <v>1672</v>
      </c>
      <c r="D1032" s="68" t="s">
        <v>1652</v>
      </c>
      <c r="E1032" s="68" t="s">
        <v>1635</v>
      </c>
      <c r="F1032" s="128"/>
      <c r="G1032" s="54"/>
      <c r="H1032" s="54"/>
      <c r="I1032" s="128"/>
      <c r="J1032" s="124">
        <v>406</v>
      </c>
      <c r="K1032" s="58"/>
      <c r="L1032" s="88">
        <f>2-1+1+1</f>
        <v>3</v>
      </c>
      <c r="M1032" s="80">
        <f>2-1+1+1</f>
        <v>3</v>
      </c>
      <c r="N1032" s="61"/>
      <c r="O1032" s="61"/>
      <c r="P1032" s="63"/>
      <c r="Q1032" s="63"/>
      <c r="R1032" s="63"/>
      <c r="S1032" s="63"/>
      <c r="T1032" s="63"/>
      <c r="U1032" s="63"/>
      <c r="V1032" s="63"/>
      <c r="W1032" s="63"/>
      <c r="X1032" s="63"/>
      <c r="Z1032" s="63"/>
      <c r="AA1032" s="113"/>
      <c r="AB1032" s="113"/>
      <c r="AC1032" s="113"/>
    </row>
    <row r="1033" spans="1:29" ht="25.5" customHeight="1" x14ac:dyDescent="0.2">
      <c r="A1033" s="50" t="s">
        <v>1673</v>
      </c>
      <c r="B1033" s="121"/>
      <c r="C1033" s="66" t="s">
        <v>1674</v>
      </c>
      <c r="D1033" s="68" t="s">
        <v>1652</v>
      </c>
      <c r="E1033" s="68" t="s">
        <v>1635</v>
      </c>
      <c r="F1033" s="128"/>
      <c r="G1033" s="54"/>
      <c r="H1033" s="54"/>
      <c r="I1033" s="128"/>
      <c r="J1033" s="124">
        <v>406</v>
      </c>
      <c r="K1033" s="58"/>
      <c r="L1033" s="88">
        <f>2-1+2+1+2</f>
        <v>6</v>
      </c>
      <c r="M1033" s="80">
        <f>2-1+2+1+2</f>
        <v>6</v>
      </c>
      <c r="N1033" s="61"/>
      <c r="O1033" s="61"/>
      <c r="P1033" s="63"/>
      <c r="Q1033" s="63"/>
      <c r="R1033" s="63"/>
      <c r="S1033" s="63"/>
      <c r="T1033" s="63"/>
      <c r="U1033" s="63"/>
      <c r="V1033" s="63"/>
      <c r="W1033" s="63"/>
      <c r="X1033" s="63"/>
      <c r="Z1033" s="63"/>
      <c r="AA1033" s="113"/>
      <c r="AB1033" s="113"/>
      <c r="AC1033" s="113"/>
    </row>
    <row r="1034" spans="1:29" ht="25.5" customHeight="1" x14ac:dyDescent="0.2">
      <c r="A1034" s="50" t="s">
        <v>1675</v>
      </c>
      <c r="B1034" s="121"/>
      <c r="C1034" s="66" t="s">
        <v>1676</v>
      </c>
      <c r="D1034" s="68" t="s">
        <v>1652</v>
      </c>
      <c r="E1034" s="68" t="s">
        <v>1635</v>
      </c>
      <c r="F1034" s="128"/>
      <c r="G1034" s="54"/>
      <c r="H1034" s="54"/>
      <c r="I1034" s="128"/>
      <c r="J1034" s="124">
        <v>406</v>
      </c>
      <c r="K1034" s="58"/>
      <c r="L1034" s="88">
        <f>3-1</f>
        <v>2</v>
      </c>
      <c r="M1034" s="80">
        <f>3-1</f>
        <v>2</v>
      </c>
      <c r="N1034" s="61"/>
      <c r="O1034" s="61"/>
      <c r="P1034" s="63"/>
      <c r="Q1034" s="63"/>
      <c r="R1034" s="63"/>
      <c r="S1034" s="63"/>
      <c r="T1034" s="63"/>
      <c r="U1034" s="63"/>
      <c r="V1034" s="63"/>
      <c r="W1034" s="63"/>
      <c r="X1034" s="63"/>
      <c r="Z1034" s="63"/>
      <c r="AA1034" s="113"/>
      <c r="AB1034" s="113"/>
      <c r="AC1034" s="113"/>
    </row>
    <row r="1035" spans="1:29" ht="25.5" customHeight="1" x14ac:dyDescent="0.2">
      <c r="A1035" s="50" t="s">
        <v>1677</v>
      </c>
      <c r="B1035" s="121"/>
      <c r="C1035" s="66" t="s">
        <v>1678</v>
      </c>
      <c r="D1035" s="68" t="s">
        <v>1652</v>
      </c>
      <c r="E1035" s="68" t="s">
        <v>1635</v>
      </c>
      <c r="F1035" s="128"/>
      <c r="G1035" s="54"/>
      <c r="H1035" s="54"/>
      <c r="I1035" s="128"/>
      <c r="J1035" s="124">
        <v>406</v>
      </c>
      <c r="K1035" s="58"/>
      <c r="L1035" s="88">
        <f>3-1</f>
        <v>2</v>
      </c>
      <c r="M1035" s="80">
        <f>3-1</f>
        <v>2</v>
      </c>
      <c r="N1035" s="61"/>
      <c r="O1035" s="61"/>
      <c r="P1035" s="63"/>
      <c r="Q1035" s="63"/>
      <c r="R1035" s="63"/>
      <c r="S1035" s="63"/>
      <c r="T1035" s="63"/>
      <c r="U1035" s="63"/>
      <c r="V1035" s="63"/>
      <c r="W1035" s="63"/>
      <c r="X1035" s="63"/>
      <c r="Z1035" s="63"/>
      <c r="AA1035" s="113"/>
      <c r="AB1035" s="113"/>
      <c r="AC1035" s="113"/>
    </row>
    <row r="1036" spans="1:29" ht="25.5" customHeight="1" x14ac:dyDescent="0.2">
      <c r="A1036" s="50" t="s">
        <v>1679</v>
      </c>
      <c r="B1036" s="121"/>
      <c r="C1036" s="66" t="s">
        <v>1680</v>
      </c>
      <c r="D1036" s="68" t="s">
        <v>1652</v>
      </c>
      <c r="E1036" s="68" t="s">
        <v>1635</v>
      </c>
      <c r="F1036" s="128"/>
      <c r="G1036" s="54"/>
      <c r="H1036" s="54"/>
      <c r="I1036" s="128"/>
      <c r="J1036" s="124">
        <v>406</v>
      </c>
      <c r="K1036" s="58"/>
      <c r="L1036" s="88">
        <f>2-1+1+1</f>
        <v>3</v>
      </c>
      <c r="M1036" s="80">
        <f>2-1+1+1</f>
        <v>3</v>
      </c>
      <c r="N1036" s="61"/>
      <c r="O1036" s="61"/>
      <c r="P1036" s="63"/>
      <c r="Q1036" s="63"/>
      <c r="R1036" s="63"/>
      <c r="S1036" s="63"/>
      <c r="T1036" s="63"/>
      <c r="U1036" s="63"/>
      <c r="V1036" s="63"/>
      <c r="W1036" s="63"/>
      <c r="X1036" s="63"/>
      <c r="Z1036" s="63"/>
      <c r="AA1036" s="113"/>
      <c r="AB1036" s="113"/>
      <c r="AC1036" s="113"/>
    </row>
    <row r="1037" spans="1:29" ht="25.5" customHeight="1" x14ac:dyDescent="0.2">
      <c r="A1037" s="129" t="s">
        <v>1681</v>
      </c>
      <c r="B1037" s="121"/>
      <c r="C1037" s="66" t="s">
        <v>1682</v>
      </c>
      <c r="D1037" s="68" t="s">
        <v>1652</v>
      </c>
      <c r="E1037" s="68" t="s">
        <v>1635</v>
      </c>
      <c r="F1037" s="128"/>
      <c r="G1037" s="54"/>
      <c r="H1037" s="54"/>
      <c r="I1037" s="128"/>
      <c r="J1037" s="124">
        <v>406</v>
      </c>
      <c r="K1037" s="58"/>
      <c r="L1037" s="88">
        <f>3-1</f>
        <v>2</v>
      </c>
      <c r="M1037" s="80">
        <f>3-1</f>
        <v>2</v>
      </c>
      <c r="N1037" s="61"/>
      <c r="O1037" s="61"/>
      <c r="P1037" s="63"/>
      <c r="Q1037" s="63"/>
      <c r="R1037" s="63"/>
      <c r="S1037" s="63"/>
      <c r="T1037" s="63"/>
      <c r="U1037" s="63"/>
      <c r="V1037" s="63"/>
      <c r="W1037" s="63"/>
      <c r="X1037" s="63"/>
      <c r="Z1037" s="63"/>
      <c r="AA1037" s="113"/>
      <c r="AB1037" s="113"/>
      <c r="AC1037" s="113"/>
    </row>
    <row r="1038" spans="1:29" ht="25.5" hidden="1" customHeight="1" x14ac:dyDescent="0.2">
      <c r="A1038" s="129" t="s">
        <v>1683</v>
      </c>
      <c r="B1038" s="121"/>
      <c r="C1038" s="66" t="s">
        <v>1684</v>
      </c>
      <c r="D1038" s="68" t="s">
        <v>1652</v>
      </c>
      <c r="E1038" s="68" t="s">
        <v>1635</v>
      </c>
      <c r="F1038" s="128"/>
      <c r="G1038" s="54"/>
      <c r="H1038" s="54"/>
      <c r="I1038" s="128"/>
      <c r="J1038" s="124">
        <v>1200</v>
      </c>
      <c r="K1038" s="58"/>
      <c r="L1038" s="88">
        <f>1-1</f>
        <v>0</v>
      </c>
      <c r="M1038" s="80">
        <f>1-1</f>
        <v>0</v>
      </c>
      <c r="N1038" s="61"/>
      <c r="O1038" s="61"/>
      <c r="P1038" s="63"/>
      <c r="Q1038" s="63"/>
      <c r="R1038" s="63"/>
      <c r="S1038" s="63"/>
      <c r="T1038" s="63"/>
      <c r="U1038" s="63"/>
      <c r="V1038" s="63"/>
      <c r="W1038" s="63"/>
      <c r="X1038" s="63"/>
      <c r="Z1038" s="63"/>
      <c r="AA1038" s="113"/>
      <c r="AB1038" s="113"/>
      <c r="AC1038" s="113"/>
    </row>
    <row r="1039" spans="1:29" ht="25.5" customHeight="1" x14ac:dyDescent="0.2">
      <c r="A1039" s="50" t="s">
        <v>1685</v>
      </c>
      <c r="B1039" s="121"/>
      <c r="C1039" s="66" t="s">
        <v>1686</v>
      </c>
      <c r="D1039" s="68" t="s">
        <v>1652</v>
      </c>
      <c r="E1039" s="68" t="s">
        <v>1635</v>
      </c>
      <c r="F1039" s="128"/>
      <c r="G1039" s="54"/>
      <c r="H1039" s="54"/>
      <c r="I1039" s="128"/>
      <c r="J1039" s="124">
        <v>1200</v>
      </c>
      <c r="K1039" s="58"/>
      <c r="L1039" s="88">
        <f>2-1+1</f>
        <v>2</v>
      </c>
      <c r="M1039" s="80">
        <f>2-1+1</f>
        <v>2</v>
      </c>
      <c r="N1039" s="61"/>
      <c r="O1039" s="61"/>
      <c r="P1039" s="63"/>
      <c r="Q1039" s="63"/>
      <c r="R1039" s="63"/>
      <c r="S1039" s="63"/>
      <c r="T1039" s="63"/>
      <c r="U1039" s="63"/>
      <c r="V1039" s="63"/>
      <c r="W1039" s="63"/>
      <c r="X1039" s="63"/>
      <c r="Z1039" s="63"/>
      <c r="AA1039" s="113"/>
      <c r="AB1039" s="113"/>
      <c r="AC1039" s="113"/>
    </row>
    <row r="1040" spans="1:29" ht="25.5" customHeight="1" x14ac:dyDescent="0.2">
      <c r="A1040" s="50" t="s">
        <v>1687</v>
      </c>
      <c r="B1040" s="121"/>
      <c r="C1040" s="66" t="s">
        <v>1688</v>
      </c>
      <c r="D1040" s="68" t="s">
        <v>1652</v>
      </c>
      <c r="E1040" s="68" t="s">
        <v>1635</v>
      </c>
      <c r="F1040" s="128"/>
      <c r="G1040" s="54"/>
      <c r="H1040" s="54"/>
      <c r="I1040" s="128"/>
      <c r="J1040" s="124">
        <v>1200</v>
      </c>
      <c r="K1040" s="58"/>
      <c r="L1040" s="88">
        <f>1-1+1</f>
        <v>1</v>
      </c>
      <c r="M1040" s="80">
        <f>1-1+1</f>
        <v>1</v>
      </c>
      <c r="N1040" s="61"/>
      <c r="O1040" s="61"/>
      <c r="P1040" s="63"/>
      <c r="Q1040" s="63"/>
      <c r="R1040" s="63"/>
      <c r="S1040" s="63"/>
      <c r="T1040" s="63"/>
      <c r="U1040" s="63"/>
      <c r="V1040" s="63"/>
      <c r="W1040" s="63"/>
      <c r="X1040" s="63"/>
      <c r="Z1040" s="63"/>
      <c r="AA1040" s="113"/>
      <c r="AB1040" s="113"/>
      <c r="AC1040" s="113"/>
    </row>
    <row r="1041" spans="1:29" ht="25.5" hidden="1" customHeight="1" x14ac:dyDescent="0.2">
      <c r="A1041" s="50" t="s">
        <v>1689</v>
      </c>
      <c r="B1041" s="121"/>
      <c r="C1041" s="66" t="s">
        <v>1690</v>
      </c>
      <c r="D1041" s="68" t="s">
        <v>1652</v>
      </c>
      <c r="E1041" s="68" t="s">
        <v>1635</v>
      </c>
      <c r="F1041" s="128"/>
      <c r="G1041" s="54"/>
      <c r="H1041" s="54"/>
      <c r="I1041" s="128"/>
      <c r="J1041" s="124">
        <v>1200</v>
      </c>
      <c r="K1041" s="58"/>
      <c r="L1041" s="88">
        <f>2-2</f>
        <v>0</v>
      </c>
      <c r="M1041" s="80">
        <f>2-2</f>
        <v>0</v>
      </c>
      <c r="N1041" s="61"/>
      <c r="O1041" s="61"/>
      <c r="P1041" s="63"/>
      <c r="Q1041" s="63"/>
      <c r="R1041" s="63"/>
      <c r="S1041" s="63"/>
      <c r="T1041" s="63"/>
      <c r="U1041" s="63"/>
      <c r="V1041" s="63"/>
      <c r="W1041" s="63"/>
      <c r="X1041" s="63"/>
      <c r="Z1041" s="63"/>
      <c r="AA1041" s="113"/>
      <c r="AB1041" s="113"/>
      <c r="AC1041" s="113"/>
    </row>
    <row r="1042" spans="1:29" ht="25.5" hidden="1" customHeight="1" x14ac:dyDescent="0.2">
      <c r="A1042" s="129" t="s">
        <v>1691</v>
      </c>
      <c r="B1042" s="121"/>
      <c r="C1042" s="130" t="s">
        <v>1692</v>
      </c>
      <c r="D1042" s="68" t="s">
        <v>1652</v>
      </c>
      <c r="E1042" s="68" t="s">
        <v>1635</v>
      </c>
      <c r="F1042" s="128"/>
      <c r="G1042" s="54"/>
      <c r="H1042" s="54"/>
      <c r="I1042" s="128"/>
      <c r="J1042" s="124">
        <v>576</v>
      </c>
      <c r="K1042" s="58"/>
      <c r="L1042" s="88">
        <f>2-2</f>
        <v>0</v>
      </c>
      <c r="M1042" s="80">
        <f>2-2</f>
        <v>0</v>
      </c>
      <c r="N1042" s="61"/>
      <c r="O1042" s="61"/>
      <c r="P1042" s="63"/>
      <c r="Q1042" s="63"/>
      <c r="R1042" s="63"/>
      <c r="S1042" s="63"/>
      <c r="T1042" s="63"/>
      <c r="U1042" s="63"/>
      <c r="V1042" s="63"/>
      <c r="W1042" s="63"/>
      <c r="X1042" s="63"/>
      <c r="Z1042" s="63"/>
      <c r="AA1042" s="113"/>
      <c r="AB1042" s="113"/>
      <c r="AC1042" s="113"/>
    </row>
    <row r="1043" spans="1:29" ht="25.5" customHeight="1" x14ac:dyDescent="0.2">
      <c r="A1043" s="50" t="s">
        <v>1693</v>
      </c>
      <c r="B1043" s="121"/>
      <c r="C1043" s="66" t="s">
        <v>1694</v>
      </c>
      <c r="D1043" s="68" t="s">
        <v>1652</v>
      </c>
      <c r="E1043" s="68" t="s">
        <v>1635</v>
      </c>
      <c r="F1043" s="128"/>
      <c r="G1043" s="54"/>
      <c r="H1043" s="54"/>
      <c r="I1043" s="128"/>
      <c r="J1043" s="124">
        <v>1200</v>
      </c>
      <c r="K1043" s="58"/>
      <c r="L1043" s="88">
        <f>2-1</f>
        <v>1</v>
      </c>
      <c r="M1043" s="80">
        <f>2-1</f>
        <v>1</v>
      </c>
      <c r="N1043" s="61"/>
      <c r="O1043" s="61"/>
      <c r="P1043" s="63"/>
      <c r="Q1043" s="63"/>
      <c r="R1043" s="63"/>
      <c r="S1043" s="63"/>
      <c r="T1043" s="63"/>
      <c r="U1043" s="63"/>
      <c r="V1043" s="63"/>
      <c r="W1043" s="63"/>
      <c r="X1043" s="63"/>
      <c r="Z1043" s="63"/>
      <c r="AA1043" s="113"/>
      <c r="AB1043" s="113"/>
      <c r="AC1043" s="113"/>
    </row>
    <row r="1044" spans="1:29" ht="25.5" hidden="1" customHeight="1" x14ac:dyDescent="0.2">
      <c r="A1044" s="50" t="s">
        <v>1695</v>
      </c>
      <c r="B1044" s="121"/>
      <c r="C1044" s="66" t="s">
        <v>1696</v>
      </c>
      <c r="D1044" s="68" t="s">
        <v>1652</v>
      </c>
      <c r="E1044" s="68" t="s">
        <v>1635</v>
      </c>
      <c r="F1044" s="128"/>
      <c r="G1044" s="54"/>
      <c r="H1044" s="54"/>
      <c r="I1044" s="128"/>
      <c r="J1044" s="124">
        <v>1200</v>
      </c>
      <c r="K1044" s="58"/>
      <c r="L1044" s="88">
        <f>2-2</f>
        <v>0</v>
      </c>
      <c r="M1044" s="80">
        <f>2-2</f>
        <v>0</v>
      </c>
      <c r="N1044" s="61"/>
      <c r="O1044" s="61"/>
      <c r="P1044" s="63"/>
      <c r="Q1044" s="63"/>
      <c r="R1044" s="63"/>
      <c r="S1044" s="63"/>
      <c r="T1044" s="63"/>
      <c r="U1044" s="63"/>
      <c r="V1044" s="63"/>
      <c r="W1044" s="63"/>
      <c r="X1044" s="63"/>
      <c r="Z1044" s="63"/>
      <c r="AA1044" s="113"/>
      <c r="AB1044" s="113"/>
      <c r="AC1044" s="113"/>
    </row>
    <row r="1045" spans="1:29" ht="25.5" customHeight="1" x14ac:dyDescent="0.2">
      <c r="A1045" s="50" t="s">
        <v>1697</v>
      </c>
      <c r="B1045" s="121"/>
      <c r="C1045" s="66" t="s">
        <v>1698</v>
      </c>
      <c r="D1045" s="68" t="s">
        <v>1652</v>
      </c>
      <c r="E1045" s="68" t="s">
        <v>1635</v>
      </c>
      <c r="F1045" s="128"/>
      <c r="G1045" s="54"/>
      <c r="H1045" s="54"/>
      <c r="I1045" s="128"/>
      <c r="J1045" s="124">
        <v>1200</v>
      </c>
      <c r="K1045" s="58"/>
      <c r="L1045" s="88">
        <f>2-1</f>
        <v>1</v>
      </c>
      <c r="M1045" s="80">
        <f>2-1</f>
        <v>1</v>
      </c>
      <c r="N1045" s="61"/>
      <c r="O1045" s="61"/>
      <c r="P1045" s="63"/>
      <c r="Q1045" s="63"/>
      <c r="R1045" s="63"/>
      <c r="S1045" s="63"/>
      <c r="T1045" s="63"/>
      <c r="U1045" s="63"/>
      <c r="V1045" s="63"/>
      <c r="W1045" s="63"/>
      <c r="X1045" s="63"/>
      <c r="Z1045" s="63"/>
      <c r="AA1045" s="113"/>
      <c r="AB1045" s="113"/>
      <c r="AC1045" s="113"/>
    </row>
    <row r="1046" spans="1:29" ht="25.5" hidden="1" customHeight="1" x14ac:dyDescent="0.2">
      <c r="A1046" s="50" t="s">
        <v>1699</v>
      </c>
      <c r="B1046" s="121"/>
      <c r="C1046" s="66" t="s">
        <v>1700</v>
      </c>
      <c r="D1046" s="68" t="s">
        <v>1652</v>
      </c>
      <c r="E1046" s="68" t="s">
        <v>1635</v>
      </c>
      <c r="F1046" s="128"/>
      <c r="G1046" s="54"/>
      <c r="H1046" s="54"/>
      <c r="I1046" s="128"/>
      <c r="J1046" s="124">
        <v>1200</v>
      </c>
      <c r="K1046" s="58"/>
      <c r="L1046" s="88">
        <f>2-2</f>
        <v>0</v>
      </c>
      <c r="M1046" s="80">
        <f>2-2</f>
        <v>0</v>
      </c>
      <c r="N1046" s="61"/>
      <c r="O1046" s="61"/>
      <c r="P1046" s="63"/>
      <c r="Q1046" s="63"/>
      <c r="R1046" s="63"/>
      <c r="S1046" s="63"/>
      <c r="T1046" s="63"/>
      <c r="U1046" s="63"/>
      <c r="V1046" s="63"/>
      <c r="W1046" s="63"/>
      <c r="X1046" s="63"/>
      <c r="Z1046" s="63"/>
      <c r="AA1046" s="113"/>
      <c r="AB1046" s="113"/>
      <c r="AC1046" s="113"/>
    </row>
    <row r="1047" spans="1:29" ht="25.5" customHeight="1" x14ac:dyDescent="0.2">
      <c r="A1047" s="129" t="s">
        <v>1701</v>
      </c>
      <c r="B1047" s="121"/>
      <c r="C1047" s="66" t="s">
        <v>1702</v>
      </c>
      <c r="D1047" s="68" t="s">
        <v>1652</v>
      </c>
      <c r="E1047" s="68" t="s">
        <v>1635</v>
      </c>
      <c r="F1047" s="128"/>
      <c r="G1047" s="54"/>
      <c r="H1047" s="54"/>
      <c r="I1047" s="128"/>
      <c r="J1047" s="124">
        <v>1200</v>
      </c>
      <c r="K1047" s="58"/>
      <c r="L1047" s="88">
        <f>2-1</f>
        <v>1</v>
      </c>
      <c r="M1047" s="80">
        <f>2-1</f>
        <v>1</v>
      </c>
      <c r="N1047" s="61"/>
      <c r="O1047" s="61"/>
      <c r="P1047" s="63"/>
      <c r="Q1047" s="63"/>
      <c r="R1047" s="63"/>
      <c r="S1047" s="63"/>
      <c r="T1047" s="63"/>
      <c r="U1047" s="63"/>
      <c r="V1047" s="63"/>
      <c r="W1047" s="63"/>
      <c r="X1047" s="63"/>
      <c r="Z1047" s="63"/>
      <c r="AA1047" s="113"/>
      <c r="AB1047" s="113"/>
      <c r="AC1047" s="113"/>
    </row>
    <row r="1048" spans="1:29" ht="60" hidden="1" customHeight="1" x14ac:dyDescent="0.2">
      <c r="A1048" s="129" t="s">
        <v>1703</v>
      </c>
      <c r="B1048" s="121"/>
      <c r="C1048" s="66" t="s">
        <v>1704</v>
      </c>
      <c r="D1048" s="68" t="s">
        <v>1652</v>
      </c>
      <c r="E1048" s="68" t="s">
        <v>1635</v>
      </c>
      <c r="F1048" s="128"/>
      <c r="G1048" s="54"/>
      <c r="H1048" s="54"/>
      <c r="I1048" s="128"/>
      <c r="J1048" s="124">
        <v>350</v>
      </c>
      <c r="K1048" s="58"/>
      <c r="L1048" s="88">
        <f>2-2</f>
        <v>0</v>
      </c>
      <c r="M1048" s="80">
        <f>2-2</f>
        <v>0</v>
      </c>
      <c r="N1048" s="61"/>
      <c r="O1048" s="61"/>
      <c r="P1048" s="63"/>
      <c r="Q1048" s="63"/>
      <c r="R1048" s="63"/>
      <c r="S1048" s="63"/>
      <c r="T1048" s="63"/>
      <c r="U1048" s="63"/>
      <c r="V1048" s="63"/>
      <c r="W1048" s="63"/>
      <c r="X1048" s="63"/>
      <c r="Z1048" s="63"/>
      <c r="AA1048" s="113"/>
      <c r="AB1048" s="113"/>
      <c r="AC1048" s="113"/>
    </row>
    <row r="1049" spans="1:29" ht="25.5" hidden="1" customHeight="1" x14ac:dyDescent="0.2">
      <c r="A1049" s="50" t="s">
        <v>1705</v>
      </c>
      <c r="B1049" s="121"/>
      <c r="C1049" s="66" t="s">
        <v>1706</v>
      </c>
      <c r="D1049" s="68" t="s">
        <v>1652</v>
      </c>
      <c r="E1049" s="68" t="s">
        <v>1635</v>
      </c>
      <c r="F1049" s="128"/>
      <c r="G1049" s="54"/>
      <c r="H1049" s="54"/>
      <c r="I1049" s="128"/>
      <c r="J1049" s="124">
        <v>350</v>
      </c>
      <c r="K1049" s="58"/>
      <c r="L1049" s="88">
        <f>1-1</f>
        <v>0</v>
      </c>
      <c r="M1049" s="80">
        <f>1-1</f>
        <v>0</v>
      </c>
      <c r="N1049" s="61"/>
      <c r="O1049" s="61"/>
      <c r="P1049" s="63"/>
      <c r="Q1049" s="63"/>
      <c r="R1049" s="63"/>
      <c r="S1049" s="63"/>
      <c r="T1049" s="63"/>
      <c r="U1049" s="63"/>
      <c r="V1049" s="63"/>
      <c r="W1049" s="63"/>
      <c r="X1049" s="63"/>
      <c r="Z1049" s="63"/>
      <c r="AA1049" s="113"/>
      <c r="AB1049" s="113"/>
      <c r="AC1049" s="113"/>
    </row>
    <row r="1050" spans="1:29" ht="25.5" hidden="1" customHeight="1" x14ac:dyDescent="0.2">
      <c r="A1050" s="50" t="s">
        <v>1707</v>
      </c>
      <c r="B1050" s="121"/>
      <c r="C1050" s="66" t="s">
        <v>1708</v>
      </c>
      <c r="D1050" s="68" t="s">
        <v>1652</v>
      </c>
      <c r="E1050" s="68" t="s">
        <v>1635</v>
      </c>
      <c r="F1050" s="128"/>
      <c r="G1050" s="54"/>
      <c r="H1050" s="54"/>
      <c r="I1050" s="128"/>
      <c r="J1050" s="124">
        <v>350</v>
      </c>
      <c r="K1050" s="58"/>
      <c r="L1050" s="88">
        <f t="shared" ref="L1050:M1055" si="74">1-1</f>
        <v>0</v>
      </c>
      <c r="M1050" s="80">
        <f t="shared" si="74"/>
        <v>0</v>
      </c>
      <c r="N1050" s="61"/>
      <c r="O1050" s="61"/>
      <c r="P1050" s="63"/>
      <c r="Q1050" s="63"/>
      <c r="R1050" s="63"/>
      <c r="S1050" s="63"/>
      <c r="T1050" s="63"/>
      <c r="U1050" s="63"/>
      <c r="V1050" s="63"/>
      <c r="W1050" s="63"/>
      <c r="X1050" s="63"/>
      <c r="Z1050" s="63"/>
      <c r="AA1050" s="113"/>
      <c r="AB1050" s="113"/>
      <c r="AC1050" s="113"/>
    </row>
    <row r="1051" spans="1:29" ht="25.5" hidden="1" customHeight="1" x14ac:dyDescent="0.2">
      <c r="A1051" s="50" t="s">
        <v>1709</v>
      </c>
      <c r="B1051" s="121"/>
      <c r="C1051" s="66" t="s">
        <v>1710</v>
      </c>
      <c r="D1051" s="68" t="s">
        <v>1652</v>
      </c>
      <c r="E1051" s="68" t="s">
        <v>1635</v>
      </c>
      <c r="F1051" s="128"/>
      <c r="G1051" s="54"/>
      <c r="H1051" s="54"/>
      <c r="I1051" s="128"/>
      <c r="J1051" s="124">
        <v>350</v>
      </c>
      <c r="K1051" s="58"/>
      <c r="L1051" s="88">
        <f>1-1</f>
        <v>0</v>
      </c>
      <c r="M1051" s="80">
        <f>1-1</f>
        <v>0</v>
      </c>
      <c r="N1051" s="61"/>
      <c r="O1051" s="61"/>
      <c r="P1051" s="63"/>
      <c r="Q1051" s="63"/>
      <c r="R1051" s="63"/>
      <c r="S1051" s="63"/>
      <c r="T1051" s="63"/>
      <c r="U1051" s="63"/>
      <c r="V1051" s="63"/>
      <c r="W1051" s="63"/>
      <c r="X1051" s="63"/>
      <c r="Z1051" s="63"/>
      <c r="AA1051" s="113"/>
      <c r="AB1051" s="113"/>
      <c r="AC1051" s="113"/>
    </row>
    <row r="1052" spans="1:29" ht="25.5" hidden="1" customHeight="1" x14ac:dyDescent="0.2">
      <c r="A1052" s="50" t="s">
        <v>1711</v>
      </c>
      <c r="B1052" s="121"/>
      <c r="C1052" s="66" t="s">
        <v>1712</v>
      </c>
      <c r="D1052" s="68" t="s">
        <v>1652</v>
      </c>
      <c r="E1052" s="68" t="s">
        <v>1635</v>
      </c>
      <c r="F1052" s="128"/>
      <c r="G1052" s="54"/>
      <c r="H1052" s="54"/>
      <c r="I1052" s="128"/>
      <c r="J1052" s="124">
        <v>350</v>
      </c>
      <c r="K1052" s="58"/>
      <c r="L1052" s="88">
        <f t="shared" si="74"/>
        <v>0</v>
      </c>
      <c r="M1052" s="80">
        <f t="shared" si="74"/>
        <v>0</v>
      </c>
      <c r="N1052" s="61"/>
      <c r="O1052" s="61"/>
      <c r="P1052" s="63"/>
      <c r="Q1052" s="63"/>
      <c r="R1052" s="63"/>
      <c r="S1052" s="63"/>
      <c r="T1052" s="63"/>
      <c r="U1052" s="63"/>
      <c r="V1052" s="63"/>
      <c r="W1052" s="63"/>
      <c r="X1052" s="63"/>
      <c r="Z1052" s="63"/>
      <c r="AA1052" s="113"/>
      <c r="AB1052" s="113"/>
      <c r="AC1052" s="113"/>
    </row>
    <row r="1053" spans="1:29" ht="25.5" hidden="1" customHeight="1" x14ac:dyDescent="0.2">
      <c r="A1053" s="50" t="s">
        <v>1713</v>
      </c>
      <c r="B1053" s="121"/>
      <c r="C1053" s="66" t="s">
        <v>1714</v>
      </c>
      <c r="D1053" s="68" t="s">
        <v>1652</v>
      </c>
      <c r="E1053" s="68" t="s">
        <v>1635</v>
      </c>
      <c r="F1053" s="128"/>
      <c r="G1053" s="54"/>
      <c r="H1053" s="54"/>
      <c r="I1053" s="128"/>
      <c r="J1053" s="124">
        <v>350</v>
      </c>
      <c r="K1053" s="58"/>
      <c r="L1053" s="88">
        <f t="shared" si="74"/>
        <v>0</v>
      </c>
      <c r="M1053" s="80">
        <f t="shared" si="74"/>
        <v>0</v>
      </c>
      <c r="N1053" s="61"/>
      <c r="O1053" s="61"/>
      <c r="P1053" s="63"/>
      <c r="Q1053" s="63"/>
      <c r="R1053" s="63"/>
      <c r="S1053" s="63"/>
      <c r="T1053" s="63"/>
      <c r="U1053" s="63"/>
      <c r="V1053" s="63"/>
      <c r="W1053" s="63"/>
      <c r="X1053" s="63"/>
      <c r="Z1053" s="63"/>
      <c r="AA1053" s="113"/>
      <c r="AB1053" s="113"/>
      <c r="AC1053" s="113"/>
    </row>
    <row r="1054" spans="1:29" ht="25.5" hidden="1" customHeight="1" x14ac:dyDescent="0.2">
      <c r="A1054" s="50" t="s">
        <v>1715</v>
      </c>
      <c r="B1054" s="121"/>
      <c r="C1054" s="66" t="s">
        <v>1716</v>
      </c>
      <c r="D1054" s="68" t="s">
        <v>1652</v>
      </c>
      <c r="E1054" s="68" t="s">
        <v>1635</v>
      </c>
      <c r="F1054" s="128"/>
      <c r="G1054" s="54"/>
      <c r="H1054" s="54"/>
      <c r="I1054" s="128"/>
      <c r="J1054" s="124">
        <v>350</v>
      </c>
      <c r="K1054" s="58"/>
      <c r="L1054" s="88">
        <f t="shared" si="74"/>
        <v>0</v>
      </c>
      <c r="M1054" s="80">
        <f t="shared" si="74"/>
        <v>0</v>
      </c>
      <c r="N1054" s="61"/>
      <c r="O1054" s="61"/>
      <c r="P1054" s="63"/>
      <c r="Q1054" s="63"/>
      <c r="R1054" s="63"/>
      <c r="S1054" s="63"/>
      <c r="T1054" s="63"/>
      <c r="U1054" s="63"/>
      <c r="V1054" s="63"/>
      <c r="W1054" s="63"/>
      <c r="X1054" s="63"/>
      <c r="Z1054" s="63"/>
      <c r="AA1054" s="113"/>
      <c r="AB1054" s="113"/>
      <c r="AC1054" s="113"/>
    </row>
    <row r="1055" spans="1:29" ht="25.5" hidden="1" customHeight="1" x14ac:dyDescent="0.2">
      <c r="A1055" s="50" t="s">
        <v>1717</v>
      </c>
      <c r="B1055" s="121"/>
      <c r="C1055" s="66" t="s">
        <v>1718</v>
      </c>
      <c r="D1055" s="68" t="s">
        <v>1652</v>
      </c>
      <c r="E1055" s="68" t="s">
        <v>1635</v>
      </c>
      <c r="F1055" s="128"/>
      <c r="G1055" s="54"/>
      <c r="H1055" s="54"/>
      <c r="I1055" s="128"/>
      <c r="J1055" s="124">
        <v>350</v>
      </c>
      <c r="K1055" s="58"/>
      <c r="L1055" s="88">
        <f t="shared" si="74"/>
        <v>0</v>
      </c>
      <c r="M1055" s="80">
        <f t="shared" si="74"/>
        <v>0</v>
      </c>
      <c r="N1055" s="61"/>
      <c r="O1055" s="61"/>
      <c r="P1055" s="63"/>
      <c r="Q1055" s="63"/>
      <c r="R1055" s="63"/>
      <c r="S1055" s="63"/>
      <c r="T1055" s="63"/>
      <c r="U1055" s="63"/>
      <c r="V1055" s="63"/>
      <c r="W1055" s="63"/>
      <c r="X1055" s="63"/>
      <c r="Z1055" s="63"/>
      <c r="AA1055" s="113"/>
      <c r="AB1055" s="113"/>
      <c r="AC1055" s="113"/>
    </row>
    <row r="1056" spans="1:29" ht="25.5" hidden="1" customHeight="1" x14ac:dyDescent="0.2">
      <c r="A1056" s="50" t="s">
        <v>1719</v>
      </c>
      <c r="B1056" s="121"/>
      <c r="C1056" s="66" t="s">
        <v>1720</v>
      </c>
      <c r="D1056" s="68" t="s">
        <v>1652</v>
      </c>
      <c r="E1056" s="68" t="s">
        <v>1635</v>
      </c>
      <c r="F1056" s="128"/>
      <c r="G1056" s="54"/>
      <c r="H1056" s="54"/>
      <c r="I1056" s="128"/>
      <c r="J1056" s="124">
        <v>350</v>
      </c>
      <c r="K1056" s="58"/>
      <c r="L1056" s="88">
        <f>2-2</f>
        <v>0</v>
      </c>
      <c r="M1056" s="80">
        <f>2-2</f>
        <v>0</v>
      </c>
      <c r="N1056" s="61"/>
      <c r="O1056" s="61"/>
      <c r="P1056" s="63"/>
      <c r="Q1056" s="63"/>
      <c r="R1056" s="63"/>
      <c r="S1056" s="63"/>
      <c r="T1056" s="63"/>
      <c r="U1056" s="63"/>
      <c r="V1056" s="63"/>
      <c r="W1056" s="63"/>
      <c r="X1056" s="63"/>
      <c r="Z1056" s="63"/>
      <c r="AA1056" s="113"/>
      <c r="AB1056" s="113"/>
      <c r="AC1056" s="113"/>
    </row>
    <row r="1057" spans="1:29" ht="25.5" hidden="1" customHeight="1" x14ac:dyDescent="0.2">
      <c r="A1057" s="129" t="s">
        <v>1721</v>
      </c>
      <c r="B1057" s="121"/>
      <c r="C1057" s="66" t="s">
        <v>1722</v>
      </c>
      <c r="D1057" s="68" t="s">
        <v>1652</v>
      </c>
      <c r="E1057" s="68" t="s">
        <v>1635</v>
      </c>
      <c r="F1057" s="128"/>
      <c r="G1057" s="54"/>
      <c r="H1057" s="54"/>
      <c r="I1057" s="128"/>
      <c r="J1057" s="124">
        <v>350</v>
      </c>
      <c r="K1057" s="58"/>
      <c r="L1057" s="88">
        <f>2-2</f>
        <v>0</v>
      </c>
      <c r="M1057" s="80">
        <f>2-2</f>
        <v>0</v>
      </c>
      <c r="N1057" s="61"/>
      <c r="O1057" s="61"/>
      <c r="P1057" s="63"/>
      <c r="Q1057" s="63"/>
      <c r="R1057" s="63"/>
      <c r="S1057" s="63"/>
      <c r="T1057" s="63"/>
      <c r="U1057" s="63"/>
      <c r="V1057" s="63"/>
      <c r="W1057" s="63"/>
      <c r="X1057" s="63"/>
      <c r="Z1057" s="63"/>
      <c r="AA1057" s="113"/>
      <c r="AB1057" s="113"/>
      <c r="AC1057" s="113"/>
    </row>
    <row r="1058" spans="1:29" ht="60" customHeight="1" x14ac:dyDescent="0.2">
      <c r="A1058" s="129" t="s">
        <v>1723</v>
      </c>
      <c r="B1058" s="121"/>
      <c r="C1058" s="66" t="s">
        <v>1724</v>
      </c>
      <c r="D1058" s="68" t="s">
        <v>1652</v>
      </c>
      <c r="E1058" s="68" t="s">
        <v>1635</v>
      </c>
      <c r="F1058" s="128"/>
      <c r="G1058" s="54"/>
      <c r="H1058" s="54"/>
      <c r="I1058" s="128"/>
      <c r="J1058" s="124">
        <v>1130</v>
      </c>
      <c r="K1058" s="58"/>
      <c r="L1058" s="88">
        <f>2-1</f>
        <v>1</v>
      </c>
      <c r="M1058" s="80">
        <f>2-1</f>
        <v>1</v>
      </c>
      <c r="N1058" s="61"/>
      <c r="O1058" s="61"/>
      <c r="P1058" s="63"/>
      <c r="Q1058" s="63"/>
      <c r="R1058" s="63"/>
      <c r="S1058" s="63"/>
      <c r="T1058" s="63"/>
      <c r="U1058" s="63"/>
      <c r="V1058" s="63"/>
      <c r="W1058" s="63"/>
      <c r="X1058" s="63"/>
      <c r="Z1058" s="63"/>
      <c r="AA1058" s="113"/>
      <c r="AB1058" s="113"/>
      <c r="AC1058" s="113"/>
    </row>
    <row r="1059" spans="1:29" ht="60" hidden="1" customHeight="1" x14ac:dyDescent="0.2">
      <c r="A1059" s="50" t="s">
        <v>1725</v>
      </c>
      <c r="B1059" s="121"/>
      <c r="C1059" s="66" t="s">
        <v>1726</v>
      </c>
      <c r="D1059" s="68" t="s">
        <v>1652</v>
      </c>
      <c r="E1059" s="68" t="s">
        <v>1635</v>
      </c>
      <c r="F1059" s="128"/>
      <c r="G1059" s="54"/>
      <c r="H1059" s="54"/>
      <c r="I1059" s="128"/>
      <c r="J1059" s="124">
        <v>1130</v>
      </c>
      <c r="K1059" s="58"/>
      <c r="L1059" s="88">
        <f>1-1</f>
        <v>0</v>
      </c>
      <c r="M1059" s="80">
        <f>1-1</f>
        <v>0</v>
      </c>
      <c r="N1059" s="61"/>
      <c r="O1059" s="61"/>
      <c r="P1059" s="63"/>
      <c r="Q1059" s="63"/>
      <c r="R1059" s="63"/>
      <c r="S1059" s="63"/>
      <c r="T1059" s="63"/>
      <c r="U1059" s="63"/>
      <c r="V1059" s="63"/>
      <c r="W1059" s="63"/>
      <c r="X1059" s="63"/>
      <c r="Z1059" s="63"/>
      <c r="AA1059" s="113"/>
      <c r="AB1059" s="113"/>
      <c r="AC1059" s="113"/>
    </row>
    <row r="1060" spans="1:29" ht="60" customHeight="1" x14ac:dyDescent="0.2">
      <c r="A1060" s="50" t="s">
        <v>1727</v>
      </c>
      <c r="B1060" s="121"/>
      <c r="C1060" s="66" t="s">
        <v>1728</v>
      </c>
      <c r="D1060" s="68" t="s">
        <v>1652</v>
      </c>
      <c r="E1060" s="68" t="s">
        <v>1635</v>
      </c>
      <c r="F1060" s="128"/>
      <c r="G1060" s="54"/>
      <c r="H1060" s="54"/>
      <c r="I1060" s="128"/>
      <c r="J1060" s="124">
        <v>1130</v>
      </c>
      <c r="K1060" s="58"/>
      <c r="L1060" s="88">
        <f>2-1</f>
        <v>1</v>
      </c>
      <c r="M1060" s="80">
        <f>2-1</f>
        <v>1</v>
      </c>
      <c r="N1060" s="61"/>
      <c r="O1060" s="61"/>
      <c r="P1060" s="63"/>
      <c r="Q1060" s="63"/>
      <c r="R1060" s="63"/>
      <c r="S1060" s="63"/>
      <c r="T1060" s="63"/>
      <c r="U1060" s="63"/>
      <c r="V1060" s="63"/>
      <c r="W1060" s="63"/>
      <c r="X1060" s="63"/>
      <c r="Z1060" s="63"/>
      <c r="AA1060" s="113"/>
      <c r="AB1060" s="113"/>
      <c r="AC1060" s="113"/>
    </row>
    <row r="1061" spans="1:29" ht="60" hidden="1" customHeight="1" x14ac:dyDescent="0.2">
      <c r="A1061" s="50" t="s">
        <v>1729</v>
      </c>
      <c r="B1061" s="121"/>
      <c r="C1061" s="66" t="s">
        <v>1730</v>
      </c>
      <c r="D1061" s="68" t="s">
        <v>1652</v>
      </c>
      <c r="E1061" s="68" t="s">
        <v>1635</v>
      </c>
      <c r="F1061" s="128"/>
      <c r="G1061" s="54"/>
      <c r="H1061" s="54"/>
      <c r="I1061" s="128"/>
      <c r="J1061" s="124">
        <v>1130</v>
      </c>
      <c r="K1061" s="58"/>
      <c r="L1061" s="88">
        <f>1-1</f>
        <v>0</v>
      </c>
      <c r="M1061" s="80">
        <f>1-1</f>
        <v>0</v>
      </c>
      <c r="N1061" s="61"/>
      <c r="O1061" s="61"/>
      <c r="P1061" s="63"/>
      <c r="Q1061" s="63"/>
      <c r="R1061" s="63"/>
      <c r="S1061" s="63"/>
      <c r="T1061" s="63"/>
      <c r="U1061" s="63"/>
      <c r="V1061" s="63"/>
      <c r="W1061" s="63"/>
      <c r="X1061" s="63"/>
      <c r="Z1061" s="63"/>
      <c r="AA1061" s="113"/>
      <c r="AB1061" s="113"/>
      <c r="AC1061" s="113"/>
    </row>
    <row r="1062" spans="1:29" ht="60" customHeight="1" x14ac:dyDescent="0.2">
      <c r="A1062" s="50" t="s">
        <v>1731</v>
      </c>
      <c r="B1062" s="121"/>
      <c r="C1062" s="66" t="s">
        <v>1732</v>
      </c>
      <c r="D1062" s="68" t="s">
        <v>1652</v>
      </c>
      <c r="E1062" s="68" t="s">
        <v>1635</v>
      </c>
      <c r="F1062" s="128"/>
      <c r="G1062" s="54"/>
      <c r="H1062" s="54"/>
      <c r="I1062" s="128"/>
      <c r="J1062" s="124">
        <v>1130</v>
      </c>
      <c r="K1062" s="58"/>
      <c r="L1062" s="88">
        <f>2+1</f>
        <v>3</v>
      </c>
      <c r="M1062" s="80">
        <f>2+1</f>
        <v>3</v>
      </c>
      <c r="N1062" s="61"/>
      <c r="O1062" s="61"/>
      <c r="P1062" s="63"/>
      <c r="Q1062" s="63"/>
      <c r="R1062" s="63"/>
      <c r="S1062" s="63"/>
      <c r="T1062" s="63"/>
      <c r="U1062" s="63"/>
      <c r="V1062" s="63"/>
      <c r="W1062" s="63"/>
      <c r="X1062" s="63"/>
      <c r="Z1062" s="63"/>
      <c r="AA1062" s="113"/>
      <c r="AB1062" s="113"/>
      <c r="AC1062" s="113"/>
    </row>
    <row r="1063" spans="1:29" ht="60" customHeight="1" x14ac:dyDescent="0.2">
      <c r="A1063" s="50" t="s">
        <v>1733</v>
      </c>
      <c r="B1063" s="121"/>
      <c r="C1063" s="66" t="s">
        <v>1734</v>
      </c>
      <c r="D1063" s="68" t="s">
        <v>1652</v>
      </c>
      <c r="E1063" s="68" t="s">
        <v>1635</v>
      </c>
      <c r="F1063" s="128"/>
      <c r="G1063" s="54"/>
      <c r="H1063" s="54"/>
      <c r="I1063" s="128"/>
      <c r="J1063" s="124">
        <v>1130</v>
      </c>
      <c r="K1063" s="58"/>
      <c r="L1063" s="88">
        <f>1</f>
        <v>1</v>
      </c>
      <c r="M1063" s="80">
        <f>1</f>
        <v>1</v>
      </c>
      <c r="N1063" s="61"/>
      <c r="O1063" s="61"/>
      <c r="P1063" s="63"/>
      <c r="Q1063" s="63"/>
      <c r="R1063" s="63"/>
      <c r="S1063" s="63"/>
      <c r="T1063" s="63"/>
      <c r="U1063" s="63"/>
      <c r="V1063" s="63"/>
      <c r="W1063" s="63"/>
      <c r="X1063" s="63"/>
      <c r="Z1063" s="63"/>
      <c r="AA1063" s="113"/>
      <c r="AB1063" s="113"/>
      <c r="AC1063" s="113"/>
    </row>
    <row r="1064" spans="1:29" ht="60" customHeight="1" x14ac:dyDescent="0.2">
      <c r="A1064" s="50" t="s">
        <v>1735</v>
      </c>
      <c r="B1064" s="121"/>
      <c r="C1064" s="66" t="s">
        <v>1736</v>
      </c>
      <c r="D1064" s="68" t="s">
        <v>1652</v>
      </c>
      <c r="E1064" s="68" t="s">
        <v>1635</v>
      </c>
      <c r="F1064" s="128"/>
      <c r="G1064" s="54"/>
      <c r="H1064" s="54"/>
      <c r="I1064" s="128"/>
      <c r="J1064" s="124">
        <v>1130</v>
      </c>
      <c r="K1064" s="58"/>
      <c r="L1064" s="88">
        <f>2-1</f>
        <v>1</v>
      </c>
      <c r="M1064" s="80">
        <f>2-1</f>
        <v>1</v>
      </c>
      <c r="N1064" s="61"/>
      <c r="O1064" s="61"/>
      <c r="P1064" s="63"/>
      <c r="Q1064" s="63"/>
      <c r="R1064" s="63"/>
      <c r="S1064" s="63"/>
      <c r="T1064" s="63"/>
      <c r="U1064" s="63"/>
      <c r="V1064" s="63"/>
      <c r="W1064" s="63"/>
      <c r="X1064" s="63"/>
      <c r="Z1064" s="63"/>
      <c r="AA1064" s="113"/>
      <c r="AB1064" s="113"/>
      <c r="AC1064" s="113"/>
    </row>
    <row r="1065" spans="1:29" ht="60" customHeight="1" x14ac:dyDescent="0.2">
      <c r="A1065" s="50" t="s">
        <v>1737</v>
      </c>
      <c r="B1065" s="121"/>
      <c r="C1065" s="66" t="s">
        <v>1738</v>
      </c>
      <c r="D1065" s="68" t="s">
        <v>1652</v>
      </c>
      <c r="E1065" s="68" t="s">
        <v>1635</v>
      </c>
      <c r="F1065" s="128"/>
      <c r="G1065" s="54"/>
      <c r="H1065" s="54"/>
      <c r="I1065" s="128"/>
      <c r="J1065" s="124">
        <v>1130</v>
      </c>
      <c r="K1065" s="58"/>
      <c r="L1065" s="88">
        <f>1-1+1</f>
        <v>1</v>
      </c>
      <c r="M1065" s="80">
        <f>1-1+1</f>
        <v>1</v>
      </c>
      <c r="N1065" s="61"/>
      <c r="O1065" s="61"/>
      <c r="P1065" s="63"/>
      <c r="Q1065" s="63"/>
      <c r="R1065" s="63"/>
      <c r="S1065" s="63"/>
      <c r="T1065" s="63"/>
      <c r="U1065" s="63"/>
      <c r="V1065" s="63"/>
      <c r="W1065" s="63"/>
      <c r="X1065" s="63"/>
      <c r="Z1065" s="63"/>
      <c r="AA1065" s="113"/>
      <c r="AB1065" s="113"/>
      <c r="AC1065" s="113"/>
    </row>
    <row r="1066" spans="1:29" ht="60" hidden="1" customHeight="1" x14ac:dyDescent="0.2">
      <c r="A1066" s="50" t="s">
        <v>1739</v>
      </c>
      <c r="B1066" s="121"/>
      <c r="C1066" s="66" t="s">
        <v>1738</v>
      </c>
      <c r="D1066" s="68" t="s">
        <v>1652</v>
      </c>
      <c r="E1066" s="68" t="s">
        <v>1635</v>
      </c>
      <c r="F1066" s="128"/>
      <c r="G1066" s="54"/>
      <c r="H1066" s="54"/>
      <c r="I1066" s="128"/>
      <c r="J1066" s="124">
        <v>570</v>
      </c>
      <c r="K1066" s="58"/>
      <c r="L1066" s="88">
        <f>1-1</f>
        <v>0</v>
      </c>
      <c r="M1066" s="80">
        <f>1-1</f>
        <v>0</v>
      </c>
      <c r="N1066" s="61"/>
      <c r="O1066" s="61"/>
      <c r="P1066" s="63"/>
      <c r="Q1066" s="63"/>
      <c r="R1066" s="63"/>
      <c r="S1066" s="63"/>
      <c r="T1066" s="63"/>
      <c r="U1066" s="63"/>
      <c r="V1066" s="63"/>
      <c r="W1066" s="63"/>
      <c r="X1066" s="63"/>
      <c r="Z1066" s="63"/>
      <c r="AA1066" s="113"/>
      <c r="AB1066" s="113"/>
      <c r="AC1066" s="113"/>
    </row>
    <row r="1067" spans="1:29" ht="60" customHeight="1" x14ac:dyDescent="0.2">
      <c r="A1067" s="50" t="s">
        <v>1740</v>
      </c>
      <c r="B1067" s="121"/>
      <c r="C1067" s="66" t="s">
        <v>1741</v>
      </c>
      <c r="D1067" s="68" t="s">
        <v>1652</v>
      </c>
      <c r="E1067" s="68" t="s">
        <v>1635</v>
      </c>
      <c r="F1067" s="128"/>
      <c r="G1067" s="54"/>
      <c r="H1067" s="54"/>
      <c r="I1067" s="128"/>
      <c r="J1067" s="124">
        <v>1130</v>
      </c>
      <c r="K1067" s="58"/>
      <c r="L1067" s="88">
        <f>2</f>
        <v>2</v>
      </c>
      <c r="M1067" s="80">
        <f>2</f>
        <v>2</v>
      </c>
      <c r="N1067" s="61"/>
      <c r="O1067" s="61"/>
      <c r="P1067" s="63"/>
      <c r="Q1067" s="63"/>
      <c r="R1067" s="63"/>
      <c r="S1067" s="63"/>
      <c r="T1067" s="63"/>
      <c r="U1067" s="63"/>
      <c r="V1067" s="63"/>
      <c r="W1067" s="63"/>
      <c r="X1067" s="63"/>
      <c r="Z1067" s="63"/>
      <c r="AA1067" s="113"/>
      <c r="AB1067" s="113"/>
      <c r="AC1067" s="113"/>
    </row>
    <row r="1068" spans="1:29" ht="60" customHeight="1" x14ac:dyDescent="0.2">
      <c r="A1068" s="50" t="s">
        <v>1742</v>
      </c>
      <c r="B1068" s="121"/>
      <c r="C1068" s="66" t="s">
        <v>1743</v>
      </c>
      <c r="D1068" s="68" t="s">
        <v>1652</v>
      </c>
      <c r="E1068" s="68" t="s">
        <v>1635</v>
      </c>
      <c r="F1068" s="128"/>
      <c r="G1068" s="54"/>
      <c r="H1068" s="54"/>
      <c r="I1068" s="128"/>
      <c r="J1068" s="124">
        <v>1130</v>
      </c>
      <c r="K1068" s="58"/>
      <c r="L1068" s="88">
        <f>2-1</f>
        <v>1</v>
      </c>
      <c r="M1068" s="80">
        <f>2-1</f>
        <v>1</v>
      </c>
      <c r="N1068" s="61"/>
      <c r="O1068" s="61"/>
      <c r="P1068" s="63"/>
      <c r="Q1068" s="63"/>
      <c r="R1068" s="63"/>
      <c r="S1068" s="63"/>
      <c r="T1068" s="63"/>
      <c r="U1068" s="63"/>
      <c r="V1068" s="63"/>
      <c r="W1068" s="63"/>
      <c r="X1068" s="63"/>
      <c r="Z1068" s="63"/>
      <c r="AA1068" s="113"/>
      <c r="AB1068" s="113"/>
      <c r="AC1068" s="113"/>
    </row>
    <row r="1069" spans="1:29" ht="60" customHeight="1" x14ac:dyDescent="0.2">
      <c r="A1069" s="50" t="s">
        <v>1744</v>
      </c>
      <c r="B1069" s="121"/>
      <c r="C1069" s="87" t="s">
        <v>1651</v>
      </c>
      <c r="D1069" s="68" t="s">
        <v>1652</v>
      </c>
      <c r="E1069" s="68" t="s">
        <v>1635</v>
      </c>
      <c r="F1069" s="128"/>
      <c r="G1069" s="54"/>
      <c r="H1069" s="54"/>
      <c r="I1069" s="128"/>
      <c r="J1069" s="124">
        <v>330</v>
      </c>
      <c r="K1069" s="58"/>
      <c r="L1069" s="88">
        <f>4-4+1</f>
        <v>1</v>
      </c>
      <c r="M1069" s="80">
        <f>4-4+1</f>
        <v>1</v>
      </c>
      <c r="N1069" s="61"/>
      <c r="O1069" s="61"/>
      <c r="P1069" s="63"/>
      <c r="Q1069" s="63"/>
      <c r="R1069" s="63"/>
      <c r="S1069" s="63"/>
      <c r="T1069" s="63"/>
      <c r="U1069" s="63"/>
      <c r="V1069" s="63"/>
      <c r="W1069" s="63"/>
      <c r="X1069" s="63"/>
      <c r="Z1069" s="63"/>
      <c r="AA1069" s="113"/>
      <c r="AB1069" s="113"/>
      <c r="AC1069" s="113"/>
    </row>
    <row r="1070" spans="1:29" ht="25.5" hidden="1" customHeight="1" x14ac:dyDescent="0.2">
      <c r="A1070" s="50" t="s">
        <v>1745</v>
      </c>
      <c r="B1070" s="121"/>
      <c r="C1070" s="87" t="s">
        <v>1746</v>
      </c>
      <c r="D1070" s="68" t="s">
        <v>1652</v>
      </c>
      <c r="E1070" s="68" t="s">
        <v>1635</v>
      </c>
      <c r="F1070" s="128"/>
      <c r="G1070" s="54"/>
      <c r="H1070" s="54"/>
      <c r="I1070" s="128"/>
      <c r="J1070" s="124">
        <v>406</v>
      </c>
      <c r="K1070" s="58"/>
      <c r="L1070" s="88">
        <f>2-2</f>
        <v>0</v>
      </c>
      <c r="M1070" s="80">
        <f>2-2</f>
        <v>0</v>
      </c>
      <c r="N1070" s="61"/>
      <c r="O1070" s="61"/>
      <c r="P1070" s="63"/>
      <c r="Q1070" s="63"/>
      <c r="R1070" s="63"/>
      <c r="S1070" s="63"/>
      <c r="T1070" s="63"/>
      <c r="U1070" s="63"/>
      <c r="V1070" s="63"/>
      <c r="W1070" s="63"/>
      <c r="X1070" s="63"/>
      <c r="Z1070" s="63"/>
      <c r="AA1070" s="113"/>
      <c r="AB1070" s="113"/>
      <c r="AC1070" s="113"/>
    </row>
    <row r="1071" spans="1:29" ht="25.5" customHeight="1" x14ac:dyDescent="0.2">
      <c r="A1071" s="50" t="s">
        <v>1747</v>
      </c>
      <c r="B1071" s="121"/>
      <c r="C1071" s="87" t="s">
        <v>1748</v>
      </c>
      <c r="D1071" s="68" t="s">
        <v>1652</v>
      </c>
      <c r="E1071" s="68" t="s">
        <v>1635</v>
      </c>
      <c r="F1071" s="128"/>
      <c r="G1071" s="54"/>
      <c r="H1071" s="54"/>
      <c r="I1071" s="128"/>
      <c r="J1071" s="124">
        <v>406</v>
      </c>
      <c r="K1071" s="58"/>
      <c r="L1071" s="88">
        <f>3-1</f>
        <v>2</v>
      </c>
      <c r="M1071" s="80">
        <f>3-1</f>
        <v>2</v>
      </c>
      <c r="N1071" s="61"/>
      <c r="O1071" s="61"/>
      <c r="P1071" s="63"/>
      <c r="Q1071" s="63"/>
      <c r="R1071" s="63"/>
      <c r="S1071" s="63"/>
      <c r="T1071" s="63"/>
      <c r="U1071" s="63"/>
      <c r="V1071" s="63"/>
      <c r="W1071" s="63"/>
      <c r="X1071" s="63"/>
      <c r="Z1071" s="63"/>
      <c r="AA1071" s="113"/>
      <c r="AB1071" s="113"/>
      <c r="AC1071" s="113"/>
    </row>
    <row r="1072" spans="1:29" ht="25.5" hidden="1" customHeight="1" x14ac:dyDescent="0.2">
      <c r="A1072" s="50" t="s">
        <v>1749</v>
      </c>
      <c r="B1072" s="121"/>
      <c r="C1072" s="87" t="s">
        <v>1750</v>
      </c>
      <c r="D1072" s="68" t="s">
        <v>1652</v>
      </c>
      <c r="E1072" s="68" t="s">
        <v>1635</v>
      </c>
      <c r="F1072" s="128"/>
      <c r="G1072" s="54"/>
      <c r="H1072" s="54"/>
      <c r="I1072" s="128"/>
      <c r="J1072" s="124">
        <v>330</v>
      </c>
      <c r="K1072" s="58"/>
      <c r="L1072" s="88">
        <f>1-1</f>
        <v>0</v>
      </c>
      <c r="M1072" s="80">
        <f>1-1</f>
        <v>0</v>
      </c>
      <c r="N1072" s="61"/>
      <c r="O1072" s="61"/>
      <c r="P1072" s="63"/>
      <c r="Q1072" s="63"/>
      <c r="R1072" s="63"/>
      <c r="S1072" s="63"/>
      <c r="T1072" s="63"/>
      <c r="U1072" s="63"/>
      <c r="V1072" s="63"/>
      <c r="W1072" s="63"/>
      <c r="X1072" s="63"/>
      <c r="Z1072" s="63"/>
      <c r="AA1072" s="113"/>
      <c r="AB1072" s="113"/>
      <c r="AC1072" s="113"/>
    </row>
    <row r="1073" spans="1:29" ht="25.5" hidden="1" customHeight="1" x14ac:dyDescent="0.2">
      <c r="A1073" s="50" t="s">
        <v>1751</v>
      </c>
      <c r="B1073" s="121"/>
      <c r="C1073" s="87" t="s">
        <v>1752</v>
      </c>
      <c r="D1073" s="68" t="s">
        <v>1652</v>
      </c>
      <c r="E1073" s="68" t="s">
        <v>1635</v>
      </c>
      <c r="F1073" s="128"/>
      <c r="G1073" s="54"/>
      <c r="H1073" s="54"/>
      <c r="I1073" s="128"/>
      <c r="J1073" s="124">
        <v>406</v>
      </c>
      <c r="K1073" s="58"/>
      <c r="L1073" s="88">
        <f>2-2</f>
        <v>0</v>
      </c>
      <c r="M1073" s="80">
        <f>2-2</f>
        <v>0</v>
      </c>
      <c r="N1073" s="61"/>
      <c r="O1073" s="61"/>
      <c r="P1073" s="63"/>
      <c r="Q1073" s="63"/>
      <c r="R1073" s="63"/>
      <c r="S1073" s="63"/>
      <c r="T1073" s="63"/>
      <c r="U1073" s="63"/>
      <c r="V1073" s="63"/>
      <c r="W1073" s="63"/>
      <c r="X1073" s="63"/>
      <c r="Z1073" s="63"/>
      <c r="AA1073" s="113"/>
      <c r="AB1073" s="113"/>
      <c r="AC1073" s="113"/>
    </row>
    <row r="1074" spans="1:29" ht="25.5" hidden="1" customHeight="1" x14ac:dyDescent="0.2">
      <c r="A1074" s="50" t="s">
        <v>1753</v>
      </c>
      <c r="B1074" s="121"/>
      <c r="C1074" s="87" t="s">
        <v>1662</v>
      </c>
      <c r="D1074" s="68" t="s">
        <v>1652</v>
      </c>
      <c r="E1074" s="68" t="s">
        <v>1635</v>
      </c>
      <c r="F1074" s="128"/>
      <c r="G1074" s="54"/>
      <c r="H1074" s="54"/>
      <c r="I1074" s="128"/>
      <c r="J1074" s="124">
        <v>330</v>
      </c>
      <c r="K1074" s="58"/>
      <c r="L1074" s="88">
        <v>0</v>
      </c>
      <c r="M1074" s="80">
        <v>0</v>
      </c>
      <c r="N1074" s="61"/>
      <c r="O1074" s="61"/>
      <c r="P1074" s="63"/>
      <c r="Q1074" s="63"/>
      <c r="R1074" s="63"/>
      <c r="S1074" s="63"/>
      <c r="T1074" s="63"/>
      <c r="U1074" s="63"/>
      <c r="V1074" s="63"/>
      <c r="W1074" s="63"/>
      <c r="X1074" s="63"/>
      <c r="Z1074" s="63"/>
      <c r="AA1074" s="113"/>
      <c r="AB1074" s="113"/>
      <c r="AC1074" s="113"/>
    </row>
    <row r="1075" spans="1:29" ht="25.5" customHeight="1" x14ac:dyDescent="0.2">
      <c r="A1075" s="50" t="s">
        <v>1754</v>
      </c>
      <c r="B1075" s="121"/>
      <c r="C1075" s="87" t="s">
        <v>1755</v>
      </c>
      <c r="D1075" s="68" t="s">
        <v>1652</v>
      </c>
      <c r="E1075" s="68" t="s">
        <v>1635</v>
      </c>
      <c r="F1075" s="128"/>
      <c r="G1075" s="54"/>
      <c r="H1075" s="54"/>
      <c r="I1075" s="128"/>
      <c r="J1075" s="124">
        <v>406</v>
      </c>
      <c r="K1075" s="58"/>
      <c r="L1075" s="88">
        <f>2-2+2</f>
        <v>2</v>
      </c>
      <c r="M1075" s="80">
        <f>2-2+2</f>
        <v>2</v>
      </c>
      <c r="N1075" s="61"/>
      <c r="O1075" s="61"/>
      <c r="P1075" s="63"/>
      <c r="Q1075" s="63"/>
      <c r="R1075" s="63"/>
      <c r="S1075" s="63"/>
      <c r="T1075" s="63"/>
      <c r="U1075" s="63"/>
      <c r="V1075" s="63"/>
      <c r="W1075" s="63"/>
      <c r="X1075" s="63"/>
      <c r="Z1075" s="63"/>
      <c r="AA1075" s="113"/>
      <c r="AB1075" s="113"/>
      <c r="AC1075" s="113"/>
    </row>
    <row r="1076" spans="1:29" ht="25.5" customHeight="1" x14ac:dyDescent="0.2">
      <c r="A1076" s="50" t="s">
        <v>1756</v>
      </c>
      <c r="B1076" s="121"/>
      <c r="C1076" s="87" t="s">
        <v>1757</v>
      </c>
      <c r="D1076" s="68" t="s">
        <v>1652</v>
      </c>
      <c r="E1076" s="68" t="s">
        <v>1635</v>
      </c>
      <c r="F1076" s="128"/>
      <c r="G1076" s="54"/>
      <c r="H1076" s="54"/>
      <c r="I1076" s="128"/>
      <c r="J1076" s="124">
        <v>406</v>
      </c>
      <c r="K1076" s="58"/>
      <c r="L1076" s="88">
        <f>3-1</f>
        <v>2</v>
      </c>
      <c r="M1076" s="80">
        <f>3-1</f>
        <v>2</v>
      </c>
      <c r="N1076" s="61"/>
      <c r="O1076" s="61"/>
      <c r="P1076" s="63"/>
      <c r="Q1076" s="63"/>
      <c r="R1076" s="63"/>
      <c r="S1076" s="63"/>
      <c r="T1076" s="63"/>
      <c r="U1076" s="63"/>
      <c r="V1076" s="63"/>
      <c r="W1076" s="63"/>
      <c r="X1076" s="63"/>
      <c r="Z1076" s="63"/>
      <c r="AA1076" s="113"/>
      <c r="AB1076" s="113"/>
      <c r="AC1076" s="113"/>
    </row>
    <row r="1077" spans="1:29" ht="25.5" hidden="1" customHeight="1" x14ac:dyDescent="0.2">
      <c r="A1077" s="50" t="s">
        <v>1758</v>
      </c>
      <c r="B1077" s="121"/>
      <c r="C1077" s="87" t="s">
        <v>1759</v>
      </c>
      <c r="D1077" s="68" t="s">
        <v>1652</v>
      </c>
      <c r="E1077" s="68" t="s">
        <v>1635</v>
      </c>
      <c r="F1077" s="128"/>
      <c r="G1077" s="54"/>
      <c r="H1077" s="54"/>
      <c r="I1077" s="128"/>
      <c r="J1077" s="124">
        <v>330</v>
      </c>
      <c r="K1077" s="58"/>
      <c r="L1077" s="88">
        <v>0</v>
      </c>
      <c r="M1077" s="80">
        <v>0</v>
      </c>
      <c r="N1077" s="61"/>
      <c r="O1077" s="61"/>
      <c r="P1077" s="63"/>
      <c r="Q1077" s="63"/>
      <c r="R1077" s="63"/>
      <c r="S1077" s="63"/>
      <c r="T1077" s="63"/>
      <c r="U1077" s="63"/>
      <c r="V1077" s="63"/>
      <c r="W1077" s="63"/>
      <c r="X1077" s="63"/>
      <c r="Z1077" s="63"/>
      <c r="AA1077" s="113"/>
      <c r="AB1077" s="113"/>
      <c r="AC1077" s="113"/>
    </row>
    <row r="1078" spans="1:29" ht="25.5" hidden="1" customHeight="1" x14ac:dyDescent="0.2">
      <c r="A1078" s="50" t="s">
        <v>1760</v>
      </c>
      <c r="B1078" s="121"/>
      <c r="C1078" s="87" t="s">
        <v>1761</v>
      </c>
      <c r="D1078" s="68" t="s">
        <v>1652</v>
      </c>
      <c r="E1078" s="68" t="s">
        <v>1635</v>
      </c>
      <c r="F1078" s="128"/>
      <c r="G1078" s="54"/>
      <c r="H1078" s="54"/>
      <c r="I1078" s="128"/>
      <c r="J1078" s="124">
        <v>406</v>
      </c>
      <c r="K1078" s="58"/>
      <c r="L1078" s="88">
        <f>2-2</f>
        <v>0</v>
      </c>
      <c r="M1078" s="80">
        <f>2-2</f>
        <v>0</v>
      </c>
      <c r="N1078" s="61"/>
      <c r="O1078" s="61"/>
      <c r="P1078" s="63"/>
      <c r="Q1078" s="63"/>
      <c r="R1078" s="63"/>
      <c r="S1078" s="63"/>
      <c r="T1078" s="63"/>
      <c r="U1078" s="63"/>
      <c r="V1078" s="63"/>
      <c r="W1078" s="63"/>
      <c r="X1078" s="63"/>
      <c r="Z1078" s="63"/>
      <c r="AA1078" s="113"/>
      <c r="AB1078" s="113"/>
      <c r="AC1078" s="113"/>
    </row>
    <row r="1079" spans="1:29" ht="25.5" customHeight="1" x14ac:dyDescent="0.2">
      <c r="A1079" s="50" t="s">
        <v>1762</v>
      </c>
      <c r="B1079" s="121"/>
      <c r="C1079" s="87" t="s">
        <v>1763</v>
      </c>
      <c r="D1079" s="68" t="s">
        <v>1652</v>
      </c>
      <c r="E1079" s="68" t="s">
        <v>1635</v>
      </c>
      <c r="F1079" s="128"/>
      <c r="G1079" s="54"/>
      <c r="H1079" s="54"/>
      <c r="I1079" s="128"/>
      <c r="J1079" s="124">
        <v>406</v>
      </c>
      <c r="K1079" s="58"/>
      <c r="L1079" s="88">
        <f>3-1</f>
        <v>2</v>
      </c>
      <c r="M1079" s="80">
        <f>3-1</f>
        <v>2</v>
      </c>
      <c r="N1079" s="61"/>
      <c r="O1079" s="61"/>
      <c r="P1079" s="63"/>
      <c r="Q1079" s="63"/>
      <c r="R1079" s="63"/>
      <c r="S1079" s="63"/>
      <c r="T1079" s="63"/>
      <c r="U1079" s="63"/>
      <c r="V1079" s="63"/>
      <c r="W1079" s="63"/>
      <c r="X1079" s="63"/>
      <c r="Z1079" s="63"/>
      <c r="AA1079" s="113"/>
      <c r="AB1079" s="113"/>
      <c r="AC1079" s="113"/>
    </row>
    <row r="1080" spans="1:29" ht="25.5" hidden="1" customHeight="1" x14ac:dyDescent="0.2">
      <c r="A1080" s="50" t="s">
        <v>1764</v>
      </c>
      <c r="B1080" s="121"/>
      <c r="C1080" s="87" t="s">
        <v>1765</v>
      </c>
      <c r="D1080" s="68" t="s">
        <v>1652</v>
      </c>
      <c r="E1080" s="68" t="s">
        <v>1635</v>
      </c>
      <c r="F1080" s="128"/>
      <c r="G1080" s="54"/>
      <c r="H1080" s="54"/>
      <c r="I1080" s="128"/>
      <c r="J1080" s="124">
        <v>406</v>
      </c>
      <c r="K1080" s="58"/>
      <c r="L1080" s="88">
        <f t="shared" ref="L1080:M1082" si="75">2-2</f>
        <v>0</v>
      </c>
      <c r="M1080" s="80">
        <f t="shared" si="75"/>
        <v>0</v>
      </c>
      <c r="N1080" s="61"/>
      <c r="O1080" s="61"/>
      <c r="P1080" s="63"/>
      <c r="Q1080" s="63"/>
      <c r="R1080" s="63"/>
      <c r="S1080" s="63"/>
      <c r="T1080" s="63"/>
      <c r="U1080" s="63"/>
      <c r="V1080" s="63"/>
      <c r="W1080" s="63"/>
      <c r="X1080" s="63"/>
      <c r="Z1080" s="63"/>
      <c r="AA1080" s="113"/>
      <c r="AB1080" s="113"/>
      <c r="AC1080" s="113"/>
    </row>
    <row r="1081" spans="1:29" ht="25.5" hidden="1" customHeight="1" x14ac:dyDescent="0.2">
      <c r="A1081" s="50" t="s">
        <v>1766</v>
      </c>
      <c r="B1081" s="121"/>
      <c r="C1081" s="87" t="s">
        <v>1767</v>
      </c>
      <c r="D1081" s="68" t="s">
        <v>1652</v>
      </c>
      <c r="E1081" s="68" t="s">
        <v>1635</v>
      </c>
      <c r="F1081" s="128"/>
      <c r="G1081" s="54"/>
      <c r="H1081" s="54"/>
      <c r="I1081" s="128"/>
      <c r="J1081" s="124">
        <v>406</v>
      </c>
      <c r="K1081" s="58"/>
      <c r="L1081" s="88">
        <f t="shared" si="75"/>
        <v>0</v>
      </c>
      <c r="M1081" s="80">
        <f t="shared" si="75"/>
        <v>0</v>
      </c>
      <c r="N1081" s="61"/>
      <c r="O1081" s="61"/>
      <c r="P1081" s="63"/>
      <c r="Q1081" s="63"/>
      <c r="R1081" s="63"/>
      <c r="S1081" s="63"/>
      <c r="T1081" s="63"/>
      <c r="U1081" s="63"/>
      <c r="V1081" s="63"/>
      <c r="W1081" s="63"/>
      <c r="X1081" s="63"/>
      <c r="Z1081" s="63"/>
      <c r="AA1081" s="113"/>
      <c r="AB1081" s="113"/>
      <c r="AC1081" s="113"/>
    </row>
    <row r="1082" spans="1:29" ht="25.5" hidden="1" customHeight="1" x14ac:dyDescent="0.2">
      <c r="A1082" s="50" t="s">
        <v>1768</v>
      </c>
      <c r="B1082" s="121"/>
      <c r="C1082" s="87" t="s">
        <v>1769</v>
      </c>
      <c r="D1082" s="68" t="s">
        <v>1652</v>
      </c>
      <c r="E1082" s="68" t="s">
        <v>1635</v>
      </c>
      <c r="F1082" s="128"/>
      <c r="G1082" s="54"/>
      <c r="H1082" s="54"/>
      <c r="I1082" s="128"/>
      <c r="J1082" s="124">
        <v>406</v>
      </c>
      <c r="K1082" s="58"/>
      <c r="L1082" s="88">
        <f t="shared" si="75"/>
        <v>0</v>
      </c>
      <c r="M1082" s="80">
        <f t="shared" si="75"/>
        <v>0</v>
      </c>
      <c r="N1082" s="61"/>
      <c r="O1082" s="61"/>
      <c r="P1082" s="63"/>
      <c r="Q1082" s="63"/>
      <c r="R1082" s="63"/>
      <c r="S1082" s="63"/>
      <c r="T1082" s="63"/>
      <c r="U1082" s="63"/>
      <c r="V1082" s="63"/>
      <c r="W1082" s="63"/>
      <c r="X1082" s="63"/>
      <c r="Z1082" s="63"/>
      <c r="AA1082" s="113"/>
      <c r="AB1082" s="113"/>
      <c r="AC1082" s="113"/>
    </row>
    <row r="1083" spans="1:29" ht="25.5" customHeight="1" x14ac:dyDescent="0.2">
      <c r="A1083" s="50" t="s">
        <v>1770</v>
      </c>
      <c r="B1083" s="121"/>
      <c r="C1083" s="87" t="s">
        <v>1771</v>
      </c>
      <c r="D1083" s="68" t="s">
        <v>1652</v>
      </c>
      <c r="E1083" s="68" t="s">
        <v>1635</v>
      </c>
      <c r="F1083" s="128"/>
      <c r="G1083" s="54"/>
      <c r="H1083" s="54"/>
      <c r="I1083" s="128"/>
      <c r="J1083" s="124">
        <v>406</v>
      </c>
      <c r="K1083" s="58"/>
      <c r="L1083" s="88">
        <f>2-1</f>
        <v>1</v>
      </c>
      <c r="M1083" s="80">
        <f>2-1</f>
        <v>1</v>
      </c>
      <c r="N1083" s="61"/>
      <c r="O1083" s="61"/>
      <c r="P1083" s="63"/>
      <c r="Q1083" s="63"/>
      <c r="R1083" s="63"/>
      <c r="S1083" s="63"/>
      <c r="T1083" s="63"/>
      <c r="U1083" s="63"/>
      <c r="V1083" s="63"/>
      <c r="W1083" s="63"/>
      <c r="X1083" s="63"/>
      <c r="Z1083" s="63"/>
      <c r="AA1083" s="113"/>
      <c r="AB1083" s="113"/>
      <c r="AC1083" s="113"/>
    </row>
    <row r="1084" spans="1:29" ht="25.5" hidden="1" customHeight="1" x14ac:dyDescent="0.2">
      <c r="A1084" s="50" t="s">
        <v>1772</v>
      </c>
      <c r="B1084" s="121"/>
      <c r="C1084" s="87" t="s">
        <v>1773</v>
      </c>
      <c r="D1084" s="68" t="s">
        <v>1652</v>
      </c>
      <c r="E1084" s="68" t="s">
        <v>1635</v>
      </c>
      <c r="F1084" s="128"/>
      <c r="G1084" s="54"/>
      <c r="H1084" s="54"/>
      <c r="I1084" s="128"/>
      <c r="J1084" s="124">
        <v>330</v>
      </c>
      <c r="K1084" s="58"/>
      <c r="L1084" s="88">
        <f>1-1+1-1</f>
        <v>0</v>
      </c>
      <c r="M1084" s="80">
        <f>1-1+1-1</f>
        <v>0</v>
      </c>
      <c r="N1084" s="61"/>
      <c r="O1084" s="61"/>
      <c r="P1084" s="63"/>
      <c r="Q1084" s="63"/>
      <c r="R1084" s="63"/>
      <c r="S1084" s="63"/>
      <c r="T1084" s="63"/>
      <c r="U1084" s="63"/>
      <c r="V1084" s="63"/>
      <c r="W1084" s="63"/>
      <c r="X1084" s="63"/>
      <c r="Z1084" s="63"/>
      <c r="AA1084" s="113"/>
      <c r="AB1084" s="113"/>
      <c r="AC1084" s="113"/>
    </row>
    <row r="1085" spans="1:29" ht="25.5" hidden="1" customHeight="1" x14ac:dyDescent="0.2">
      <c r="A1085" s="50" t="s">
        <v>1774</v>
      </c>
      <c r="B1085" s="121"/>
      <c r="C1085" s="87" t="s">
        <v>1775</v>
      </c>
      <c r="D1085" s="68" t="s">
        <v>1652</v>
      </c>
      <c r="E1085" s="68" t="s">
        <v>1635</v>
      </c>
      <c r="F1085" s="128"/>
      <c r="G1085" s="54"/>
      <c r="H1085" s="54"/>
      <c r="I1085" s="128"/>
      <c r="J1085" s="124">
        <v>406</v>
      </c>
      <c r="K1085" s="58"/>
      <c r="L1085" s="88">
        <f t="shared" ref="L1085:M1088" si="76">2-2</f>
        <v>0</v>
      </c>
      <c r="M1085" s="80">
        <f t="shared" si="76"/>
        <v>0</v>
      </c>
      <c r="N1085" s="61"/>
      <c r="O1085" s="61"/>
      <c r="P1085" s="63"/>
      <c r="Q1085" s="63"/>
      <c r="R1085" s="63"/>
      <c r="S1085" s="63"/>
      <c r="T1085" s="63"/>
      <c r="U1085" s="63"/>
      <c r="V1085" s="63"/>
      <c r="W1085" s="63"/>
      <c r="X1085" s="63"/>
      <c r="Z1085" s="63"/>
      <c r="AA1085" s="113"/>
      <c r="AB1085" s="113"/>
      <c r="AC1085" s="113"/>
    </row>
    <row r="1086" spans="1:29" ht="25.5" hidden="1" customHeight="1" x14ac:dyDescent="0.2">
      <c r="A1086" s="50" t="s">
        <v>1776</v>
      </c>
      <c r="B1086" s="131"/>
      <c r="C1086" s="87" t="s">
        <v>1777</v>
      </c>
      <c r="D1086" s="68" t="s">
        <v>1652</v>
      </c>
      <c r="E1086" s="68" t="s">
        <v>1635</v>
      </c>
      <c r="F1086" s="128"/>
      <c r="G1086" s="54"/>
      <c r="H1086" s="54"/>
      <c r="I1086" s="128"/>
      <c r="J1086" s="124">
        <v>406</v>
      </c>
      <c r="K1086" s="58"/>
      <c r="L1086" s="88">
        <f t="shared" si="76"/>
        <v>0</v>
      </c>
      <c r="M1086" s="80">
        <f t="shared" si="76"/>
        <v>0</v>
      </c>
      <c r="N1086" s="61"/>
      <c r="O1086" s="61"/>
      <c r="P1086" s="63"/>
      <c r="Q1086" s="63"/>
      <c r="R1086" s="63"/>
      <c r="S1086" s="63"/>
      <c r="T1086" s="63"/>
      <c r="U1086" s="63"/>
      <c r="V1086" s="63"/>
      <c r="W1086" s="63"/>
      <c r="X1086" s="63"/>
      <c r="Z1086" s="63"/>
      <c r="AA1086" s="113"/>
      <c r="AB1086" s="113"/>
      <c r="AC1086" s="113"/>
    </row>
    <row r="1087" spans="1:29" ht="25.5" hidden="1" customHeight="1" x14ac:dyDescent="0.2">
      <c r="A1087" s="50" t="s">
        <v>1778</v>
      </c>
      <c r="B1087" s="121"/>
      <c r="C1087" s="87" t="s">
        <v>1779</v>
      </c>
      <c r="D1087" s="68" t="s">
        <v>1652</v>
      </c>
      <c r="E1087" s="68" t="s">
        <v>1635</v>
      </c>
      <c r="F1087" s="128"/>
      <c r="G1087" s="54"/>
      <c r="H1087" s="54"/>
      <c r="I1087" s="128"/>
      <c r="J1087" s="124">
        <v>406</v>
      </c>
      <c r="K1087" s="58"/>
      <c r="L1087" s="88">
        <f t="shared" si="76"/>
        <v>0</v>
      </c>
      <c r="M1087" s="80">
        <f t="shared" si="76"/>
        <v>0</v>
      </c>
      <c r="N1087" s="61"/>
      <c r="O1087" s="61"/>
      <c r="P1087" s="63"/>
      <c r="Q1087" s="63"/>
      <c r="R1087" s="63"/>
      <c r="S1087" s="63"/>
      <c r="T1087" s="63"/>
      <c r="U1087" s="63"/>
      <c r="V1087" s="63"/>
      <c r="W1087" s="63"/>
      <c r="X1087" s="63"/>
      <c r="Z1087" s="63"/>
      <c r="AA1087" s="113"/>
      <c r="AB1087" s="113"/>
      <c r="AC1087" s="113"/>
    </row>
    <row r="1088" spans="1:29" ht="25.5" hidden="1" customHeight="1" x14ac:dyDescent="0.2">
      <c r="A1088" s="50" t="s">
        <v>1780</v>
      </c>
      <c r="B1088" s="121"/>
      <c r="C1088" s="87" t="s">
        <v>1781</v>
      </c>
      <c r="D1088" s="68" t="s">
        <v>1652</v>
      </c>
      <c r="E1088" s="68" t="s">
        <v>1635</v>
      </c>
      <c r="F1088" s="128"/>
      <c r="G1088" s="54"/>
      <c r="H1088" s="54"/>
      <c r="I1088" s="128"/>
      <c r="J1088" s="124">
        <v>406</v>
      </c>
      <c r="K1088" s="58"/>
      <c r="L1088" s="88">
        <f t="shared" si="76"/>
        <v>0</v>
      </c>
      <c r="M1088" s="80">
        <f t="shared" si="76"/>
        <v>0</v>
      </c>
      <c r="N1088" s="61"/>
      <c r="O1088" s="61"/>
      <c r="P1088" s="63"/>
      <c r="Q1088" s="63"/>
      <c r="R1088" s="63"/>
      <c r="S1088" s="63"/>
      <c r="T1088" s="63"/>
      <c r="U1088" s="63"/>
      <c r="V1088" s="63"/>
      <c r="W1088" s="63"/>
      <c r="X1088" s="63"/>
      <c r="Z1088" s="63"/>
      <c r="AA1088" s="113"/>
      <c r="AB1088" s="113"/>
      <c r="AC1088" s="113"/>
    </row>
    <row r="1089" spans="1:29" ht="25.5" customHeight="1" x14ac:dyDescent="0.2">
      <c r="A1089" s="50" t="s">
        <v>1782</v>
      </c>
      <c r="B1089" s="121"/>
      <c r="C1089" s="87" t="s">
        <v>1783</v>
      </c>
      <c r="D1089" s="68" t="s">
        <v>1652</v>
      </c>
      <c r="E1089" s="68" t="s">
        <v>1635</v>
      </c>
      <c r="F1089" s="128"/>
      <c r="G1089" s="54"/>
      <c r="H1089" s="54"/>
      <c r="I1089" s="128"/>
      <c r="J1089" s="124">
        <v>406</v>
      </c>
      <c r="K1089" s="58"/>
      <c r="L1089" s="88">
        <f>2-1</f>
        <v>1</v>
      </c>
      <c r="M1089" s="80">
        <f>2-1</f>
        <v>1</v>
      </c>
      <c r="N1089" s="61"/>
      <c r="O1089" s="61"/>
      <c r="P1089" s="63"/>
      <c r="Q1089" s="63"/>
      <c r="R1089" s="63"/>
      <c r="S1089" s="63"/>
      <c r="T1089" s="63"/>
      <c r="U1089" s="63"/>
      <c r="V1089" s="63"/>
      <c r="W1089" s="63"/>
      <c r="X1089" s="63"/>
      <c r="Z1089" s="63"/>
      <c r="AA1089" s="113"/>
      <c r="AB1089" s="113"/>
      <c r="AC1089" s="113"/>
    </row>
    <row r="1090" spans="1:29" ht="25.5" hidden="1" customHeight="1" x14ac:dyDescent="0.2">
      <c r="A1090" s="50" t="s">
        <v>1784</v>
      </c>
      <c r="B1090" s="121"/>
      <c r="C1090" s="87" t="s">
        <v>1785</v>
      </c>
      <c r="D1090" s="68" t="s">
        <v>1652</v>
      </c>
      <c r="E1090" s="68" t="s">
        <v>1635</v>
      </c>
      <c r="F1090" s="128"/>
      <c r="G1090" s="54"/>
      <c r="H1090" s="54"/>
      <c r="I1090" s="128"/>
      <c r="J1090" s="124">
        <v>406</v>
      </c>
      <c r="K1090" s="58"/>
      <c r="L1090" s="88">
        <f>1-1</f>
        <v>0</v>
      </c>
      <c r="M1090" s="80">
        <f>1-1</f>
        <v>0</v>
      </c>
      <c r="N1090" s="61"/>
      <c r="O1090" s="61"/>
      <c r="P1090" s="63"/>
      <c r="Q1090" s="63"/>
      <c r="R1090" s="63"/>
      <c r="S1090" s="63"/>
      <c r="T1090" s="63"/>
      <c r="U1090" s="63"/>
      <c r="V1090" s="63"/>
      <c r="W1090" s="63"/>
      <c r="X1090" s="63"/>
      <c r="Z1090" s="63"/>
      <c r="AA1090" s="113"/>
      <c r="AB1090" s="113"/>
      <c r="AC1090" s="113"/>
    </row>
    <row r="1091" spans="1:29" ht="25.5" hidden="1" customHeight="1" x14ac:dyDescent="0.2">
      <c r="A1091" s="50" t="s">
        <v>1786</v>
      </c>
      <c r="B1091" s="121"/>
      <c r="C1091" s="66" t="s">
        <v>1787</v>
      </c>
      <c r="D1091" s="68" t="s">
        <v>1652</v>
      </c>
      <c r="E1091" s="68" t="s">
        <v>1635</v>
      </c>
      <c r="F1091" s="128"/>
      <c r="G1091" s="54"/>
      <c r="H1091" s="54"/>
      <c r="I1091" s="128"/>
      <c r="J1091" s="124">
        <v>330</v>
      </c>
      <c r="K1091" s="58"/>
      <c r="L1091" s="88">
        <f>1-1</f>
        <v>0</v>
      </c>
      <c r="M1091" s="80">
        <f>1-1</f>
        <v>0</v>
      </c>
      <c r="N1091" s="61"/>
      <c r="O1091" s="61"/>
      <c r="P1091" s="63"/>
      <c r="Q1091" s="63"/>
      <c r="R1091" s="63"/>
      <c r="S1091" s="63"/>
      <c r="T1091" s="63"/>
      <c r="U1091" s="63"/>
      <c r="V1091" s="63"/>
      <c r="W1091" s="63"/>
      <c r="X1091" s="63"/>
      <c r="Z1091" s="63"/>
      <c r="AA1091" s="113"/>
      <c r="AB1091" s="113"/>
      <c r="AC1091" s="113"/>
    </row>
    <row r="1092" spans="1:29" ht="25.5" customHeight="1" x14ac:dyDescent="0.2">
      <c r="A1092" s="50" t="s">
        <v>1788</v>
      </c>
      <c r="B1092" s="121"/>
      <c r="C1092" s="66" t="s">
        <v>1789</v>
      </c>
      <c r="D1092" s="68" t="s">
        <v>1652</v>
      </c>
      <c r="E1092" s="68" t="s">
        <v>1635</v>
      </c>
      <c r="F1092" s="128"/>
      <c r="G1092" s="54"/>
      <c r="H1092" s="54"/>
      <c r="I1092" s="128"/>
      <c r="J1092" s="124">
        <v>406</v>
      </c>
      <c r="K1092" s="58"/>
      <c r="L1092" s="88">
        <f>3</f>
        <v>3</v>
      </c>
      <c r="M1092" s="80">
        <f>3</f>
        <v>3</v>
      </c>
      <c r="N1092" s="61"/>
      <c r="O1092" s="61"/>
      <c r="P1092" s="63"/>
      <c r="Q1092" s="63"/>
      <c r="R1092" s="63"/>
      <c r="S1092" s="63"/>
      <c r="T1092" s="63"/>
      <c r="U1092" s="63"/>
      <c r="V1092" s="63"/>
      <c r="W1092" s="63"/>
      <c r="X1092" s="63"/>
      <c r="Z1092" s="63"/>
      <c r="AA1092" s="113"/>
      <c r="AB1092" s="113"/>
      <c r="AC1092" s="113"/>
    </row>
    <row r="1093" spans="1:29" ht="25.5" customHeight="1" x14ac:dyDescent="0.2">
      <c r="A1093" s="50" t="s">
        <v>1790</v>
      </c>
      <c r="B1093" s="121"/>
      <c r="C1093" s="66" t="s">
        <v>1791</v>
      </c>
      <c r="D1093" s="68" t="s">
        <v>1652</v>
      </c>
      <c r="E1093" s="68" t="s">
        <v>1635</v>
      </c>
      <c r="F1093" s="128"/>
      <c r="G1093" s="54"/>
      <c r="H1093" s="54"/>
      <c r="I1093" s="128"/>
      <c r="J1093" s="124">
        <v>406</v>
      </c>
      <c r="K1093" s="58"/>
      <c r="L1093" s="88">
        <f>2-1</f>
        <v>1</v>
      </c>
      <c r="M1093" s="80">
        <f>2-1</f>
        <v>1</v>
      </c>
      <c r="N1093" s="61"/>
      <c r="O1093" s="61"/>
      <c r="P1093" s="63"/>
      <c r="Q1093" s="63"/>
      <c r="R1093" s="63"/>
      <c r="S1093" s="63"/>
      <c r="T1093" s="63"/>
      <c r="U1093" s="63"/>
      <c r="V1093" s="63"/>
      <c r="W1093" s="63"/>
      <c r="X1093" s="63"/>
      <c r="Z1093" s="63"/>
      <c r="AA1093" s="113"/>
      <c r="AB1093" s="113"/>
      <c r="AC1093" s="113"/>
    </row>
    <row r="1094" spans="1:29" ht="25.5" customHeight="1" x14ac:dyDescent="0.2">
      <c r="A1094" s="50" t="s">
        <v>1792</v>
      </c>
      <c r="B1094" s="121"/>
      <c r="C1094" s="66" t="s">
        <v>1793</v>
      </c>
      <c r="D1094" s="68" t="s">
        <v>1652</v>
      </c>
      <c r="E1094" s="68" t="s">
        <v>1635</v>
      </c>
      <c r="F1094" s="128"/>
      <c r="G1094" s="54"/>
      <c r="H1094" s="54"/>
      <c r="I1094" s="128"/>
      <c r="J1094" s="124">
        <v>406</v>
      </c>
      <c r="K1094" s="58"/>
      <c r="L1094" s="88">
        <f>3-1</f>
        <v>2</v>
      </c>
      <c r="M1094" s="80">
        <f>3-1</f>
        <v>2</v>
      </c>
      <c r="N1094" s="61"/>
      <c r="O1094" s="61"/>
      <c r="P1094" s="63"/>
      <c r="Q1094" s="63"/>
      <c r="R1094" s="63"/>
      <c r="S1094" s="63"/>
      <c r="T1094" s="63"/>
      <c r="U1094" s="63"/>
      <c r="V1094" s="63"/>
      <c r="W1094" s="63"/>
      <c r="X1094" s="63"/>
      <c r="Z1094" s="63"/>
      <c r="AA1094" s="113"/>
      <c r="AB1094" s="113"/>
      <c r="AC1094" s="113"/>
    </row>
    <row r="1095" spans="1:29" ht="25.5" hidden="1" customHeight="1" x14ac:dyDescent="0.2">
      <c r="A1095" s="50" t="s">
        <v>1794</v>
      </c>
      <c r="B1095" s="121"/>
      <c r="C1095" s="66" t="s">
        <v>1795</v>
      </c>
      <c r="D1095" s="68" t="s">
        <v>1652</v>
      </c>
      <c r="E1095" s="68" t="s">
        <v>1635</v>
      </c>
      <c r="F1095" s="128"/>
      <c r="G1095" s="54"/>
      <c r="H1095" s="54"/>
      <c r="I1095" s="128"/>
      <c r="J1095" s="124">
        <v>406</v>
      </c>
      <c r="K1095" s="58"/>
      <c r="L1095" s="88">
        <f>2-2</f>
        <v>0</v>
      </c>
      <c r="M1095" s="80">
        <f>2-2</f>
        <v>0</v>
      </c>
      <c r="N1095" s="61"/>
      <c r="O1095" s="61"/>
      <c r="P1095" s="63"/>
      <c r="Q1095" s="63"/>
      <c r="R1095" s="63"/>
      <c r="S1095" s="63"/>
      <c r="T1095" s="63"/>
      <c r="U1095" s="63"/>
      <c r="V1095" s="63"/>
      <c r="W1095" s="63"/>
      <c r="X1095" s="63"/>
      <c r="Z1095" s="63"/>
      <c r="AA1095" s="113"/>
      <c r="AB1095" s="113"/>
      <c r="AC1095" s="113"/>
    </row>
    <row r="1096" spans="1:29" ht="25.5" customHeight="1" x14ac:dyDescent="0.2">
      <c r="A1096" s="50" t="s">
        <v>1796</v>
      </c>
      <c r="B1096" s="121"/>
      <c r="C1096" s="66" t="s">
        <v>1797</v>
      </c>
      <c r="D1096" s="68" t="s">
        <v>1652</v>
      </c>
      <c r="E1096" s="68" t="s">
        <v>1635</v>
      </c>
      <c r="F1096" s="128"/>
      <c r="G1096" s="54"/>
      <c r="H1096" s="54"/>
      <c r="I1096" s="128"/>
      <c r="J1096" s="124">
        <v>406</v>
      </c>
      <c r="K1096" s="58"/>
      <c r="L1096" s="88">
        <f>3</f>
        <v>3</v>
      </c>
      <c r="M1096" s="80">
        <f>3</f>
        <v>3</v>
      </c>
      <c r="N1096" s="61"/>
      <c r="O1096" s="61"/>
      <c r="P1096" s="63"/>
      <c r="Q1096" s="63"/>
      <c r="R1096" s="63"/>
      <c r="S1096" s="63"/>
      <c r="T1096" s="63"/>
      <c r="U1096" s="63"/>
      <c r="V1096" s="63"/>
      <c r="W1096" s="63"/>
      <c r="X1096" s="63"/>
      <c r="Z1096" s="63"/>
      <c r="AA1096" s="113"/>
      <c r="AB1096" s="113"/>
      <c r="AC1096" s="113"/>
    </row>
    <row r="1097" spans="1:29" ht="25.5" customHeight="1" x14ac:dyDescent="0.2">
      <c r="A1097" s="50" t="s">
        <v>1798</v>
      </c>
      <c r="B1097" s="121"/>
      <c r="C1097" s="66" t="s">
        <v>1799</v>
      </c>
      <c r="D1097" s="68" t="s">
        <v>1652</v>
      </c>
      <c r="E1097" s="68" t="s">
        <v>1635</v>
      </c>
      <c r="F1097" s="128"/>
      <c r="G1097" s="54"/>
      <c r="H1097" s="54"/>
      <c r="I1097" s="128"/>
      <c r="J1097" s="124">
        <v>406</v>
      </c>
      <c r="K1097" s="58"/>
      <c r="L1097" s="88">
        <f>3-1</f>
        <v>2</v>
      </c>
      <c r="M1097" s="80">
        <f>3-1</f>
        <v>2</v>
      </c>
      <c r="N1097" s="61"/>
      <c r="O1097" s="61"/>
      <c r="P1097" s="63"/>
      <c r="Q1097" s="63"/>
      <c r="R1097" s="63"/>
      <c r="S1097" s="63"/>
      <c r="T1097" s="63"/>
      <c r="U1097" s="63"/>
      <c r="V1097" s="63"/>
      <c r="W1097" s="63"/>
      <c r="X1097" s="63"/>
      <c r="Z1097" s="63"/>
      <c r="AA1097" s="113"/>
      <c r="AB1097" s="113"/>
      <c r="AC1097" s="113"/>
    </row>
    <row r="1098" spans="1:29" ht="25.5" hidden="1" customHeight="1" x14ac:dyDescent="0.2">
      <c r="A1098" s="50" t="s">
        <v>1800</v>
      </c>
      <c r="B1098" s="121"/>
      <c r="C1098" s="66" t="s">
        <v>1801</v>
      </c>
      <c r="D1098" s="68" t="s">
        <v>1652</v>
      </c>
      <c r="E1098" s="68" t="s">
        <v>1635</v>
      </c>
      <c r="F1098" s="128"/>
      <c r="G1098" s="54"/>
      <c r="H1098" s="54"/>
      <c r="I1098" s="128"/>
      <c r="J1098" s="124">
        <v>406</v>
      </c>
      <c r="K1098" s="58"/>
      <c r="L1098" s="88">
        <f>3-3</f>
        <v>0</v>
      </c>
      <c r="M1098" s="80">
        <f>3-3</f>
        <v>0</v>
      </c>
      <c r="N1098" s="61"/>
      <c r="O1098" s="61"/>
      <c r="P1098" s="63"/>
      <c r="Q1098" s="63"/>
      <c r="R1098" s="63"/>
      <c r="S1098" s="63"/>
      <c r="T1098" s="63"/>
      <c r="U1098" s="63"/>
      <c r="V1098" s="63"/>
      <c r="W1098" s="63"/>
      <c r="X1098" s="63"/>
      <c r="Z1098" s="63"/>
      <c r="AA1098" s="113"/>
      <c r="AB1098" s="113"/>
      <c r="AC1098" s="113"/>
    </row>
    <row r="1099" spans="1:29" ht="25.5" customHeight="1" x14ac:dyDescent="0.2">
      <c r="A1099" s="50" t="s">
        <v>1802</v>
      </c>
      <c r="B1099" s="121"/>
      <c r="C1099" s="66" t="s">
        <v>1803</v>
      </c>
      <c r="D1099" s="68" t="s">
        <v>1652</v>
      </c>
      <c r="E1099" s="68" t="s">
        <v>1635</v>
      </c>
      <c r="F1099" s="128"/>
      <c r="G1099" s="54"/>
      <c r="H1099" s="54"/>
      <c r="I1099" s="128"/>
      <c r="J1099" s="124">
        <v>406</v>
      </c>
      <c r="K1099" s="58"/>
      <c r="L1099" s="88">
        <f>2-1</f>
        <v>1</v>
      </c>
      <c r="M1099" s="80">
        <f>2-1</f>
        <v>1</v>
      </c>
      <c r="N1099" s="61"/>
      <c r="O1099" s="61"/>
      <c r="P1099" s="63"/>
      <c r="Q1099" s="63"/>
      <c r="R1099" s="63"/>
      <c r="S1099" s="63"/>
      <c r="T1099" s="63"/>
      <c r="U1099" s="63"/>
      <c r="V1099" s="63"/>
      <c r="W1099" s="63"/>
      <c r="X1099" s="63"/>
      <c r="Z1099" s="63"/>
      <c r="AA1099" s="113"/>
      <c r="AB1099" s="113"/>
      <c r="AC1099" s="113"/>
    </row>
    <row r="1100" spans="1:29" ht="25.5" hidden="1" customHeight="1" x14ac:dyDescent="0.2">
      <c r="A1100" s="50" t="s">
        <v>1804</v>
      </c>
      <c r="B1100" s="121"/>
      <c r="C1100" s="66" t="s">
        <v>1805</v>
      </c>
      <c r="D1100" s="68" t="s">
        <v>1652</v>
      </c>
      <c r="E1100" s="68" t="s">
        <v>1635</v>
      </c>
      <c r="F1100" s="128"/>
      <c r="G1100" s="54"/>
      <c r="H1100" s="54"/>
      <c r="I1100" s="128"/>
      <c r="J1100" s="124">
        <v>406</v>
      </c>
      <c r="K1100" s="58"/>
      <c r="L1100" s="88">
        <f>2-2</f>
        <v>0</v>
      </c>
      <c r="M1100" s="80">
        <f>2-2</f>
        <v>0</v>
      </c>
      <c r="N1100" s="61"/>
      <c r="O1100" s="61"/>
      <c r="P1100" s="63"/>
      <c r="Q1100" s="63"/>
      <c r="R1100" s="63"/>
      <c r="S1100" s="63"/>
      <c r="T1100" s="63"/>
      <c r="U1100" s="63"/>
      <c r="V1100" s="63"/>
      <c r="W1100" s="63"/>
      <c r="X1100" s="63"/>
      <c r="Z1100" s="63"/>
      <c r="AA1100" s="113"/>
      <c r="AB1100" s="113"/>
      <c r="AC1100" s="113"/>
    </row>
    <row r="1101" spans="1:29" ht="25.5" customHeight="1" x14ac:dyDescent="0.2">
      <c r="A1101" s="50" t="s">
        <v>1806</v>
      </c>
      <c r="B1101" s="121"/>
      <c r="C1101" s="66" t="s">
        <v>1807</v>
      </c>
      <c r="D1101" s="68" t="s">
        <v>1652</v>
      </c>
      <c r="E1101" s="68" t="s">
        <v>1635</v>
      </c>
      <c r="F1101" s="128"/>
      <c r="G1101" s="54"/>
      <c r="H1101" s="54"/>
      <c r="I1101" s="128"/>
      <c r="J1101" s="124">
        <v>406</v>
      </c>
      <c r="K1101" s="58"/>
      <c r="L1101" s="88">
        <f>2-1</f>
        <v>1</v>
      </c>
      <c r="M1101" s="80">
        <f>2-1</f>
        <v>1</v>
      </c>
      <c r="N1101" s="61"/>
      <c r="O1101" s="61"/>
      <c r="P1101" s="63"/>
      <c r="Q1101" s="63"/>
      <c r="R1101" s="63"/>
      <c r="S1101" s="63"/>
      <c r="T1101" s="63"/>
      <c r="U1101" s="63"/>
      <c r="V1101" s="63"/>
      <c r="W1101" s="63"/>
      <c r="X1101" s="63"/>
      <c r="Z1101" s="63"/>
      <c r="AA1101" s="113"/>
      <c r="AB1101" s="113"/>
      <c r="AC1101" s="113"/>
    </row>
    <row r="1102" spans="1:29" ht="25.5" customHeight="1" x14ac:dyDescent="0.2">
      <c r="A1102" s="50" t="s">
        <v>1808</v>
      </c>
      <c r="B1102" s="121"/>
      <c r="C1102" s="66" t="s">
        <v>1809</v>
      </c>
      <c r="D1102" s="68" t="s">
        <v>1652</v>
      </c>
      <c r="E1102" s="68" t="s">
        <v>1635</v>
      </c>
      <c r="F1102" s="128"/>
      <c r="G1102" s="54"/>
      <c r="H1102" s="54"/>
      <c r="I1102" s="128"/>
      <c r="J1102" s="124">
        <v>406</v>
      </c>
      <c r="K1102" s="58"/>
      <c r="L1102" s="88">
        <f>3-1</f>
        <v>2</v>
      </c>
      <c r="M1102" s="80">
        <f>3-1</f>
        <v>2</v>
      </c>
      <c r="N1102" s="61"/>
      <c r="O1102" s="61"/>
      <c r="P1102" s="63"/>
      <c r="Q1102" s="63"/>
      <c r="R1102" s="63"/>
      <c r="S1102" s="63"/>
      <c r="T1102" s="63"/>
      <c r="U1102" s="63"/>
      <c r="V1102" s="63"/>
      <c r="W1102" s="63"/>
      <c r="X1102" s="63"/>
      <c r="Z1102" s="63"/>
      <c r="AA1102" s="113"/>
      <c r="AB1102" s="113"/>
      <c r="AC1102" s="113"/>
    </row>
    <row r="1103" spans="1:29" ht="25.5" customHeight="1" x14ac:dyDescent="0.2">
      <c r="A1103" s="50" t="s">
        <v>1810</v>
      </c>
      <c r="B1103" s="121"/>
      <c r="C1103" s="66" t="s">
        <v>1811</v>
      </c>
      <c r="D1103" s="68" t="s">
        <v>1652</v>
      </c>
      <c r="E1103" s="68" t="s">
        <v>1635</v>
      </c>
      <c r="F1103" s="128"/>
      <c r="G1103" s="54"/>
      <c r="H1103" s="54"/>
      <c r="I1103" s="128"/>
      <c r="J1103" s="124">
        <v>406</v>
      </c>
      <c r="K1103" s="58"/>
      <c r="L1103" s="88">
        <f>3-1</f>
        <v>2</v>
      </c>
      <c r="M1103" s="80">
        <f>3-1</f>
        <v>2</v>
      </c>
      <c r="N1103" s="61"/>
      <c r="O1103" s="61"/>
      <c r="P1103" s="63"/>
      <c r="Q1103" s="63"/>
      <c r="R1103" s="63"/>
      <c r="S1103" s="63"/>
      <c r="T1103" s="63"/>
      <c r="U1103" s="63"/>
      <c r="V1103" s="63"/>
      <c r="W1103" s="63"/>
      <c r="X1103" s="63"/>
      <c r="Z1103" s="63"/>
      <c r="AA1103" s="113"/>
      <c r="AB1103" s="113"/>
      <c r="AC1103" s="113"/>
    </row>
    <row r="1104" spans="1:29" ht="25.5" customHeight="1" x14ac:dyDescent="0.2">
      <c r="A1104" s="50" t="s">
        <v>1812</v>
      </c>
      <c r="B1104" s="121"/>
      <c r="C1104" s="66" t="s">
        <v>1813</v>
      </c>
      <c r="D1104" s="68" t="s">
        <v>1652</v>
      </c>
      <c r="E1104" s="68" t="s">
        <v>1635</v>
      </c>
      <c r="F1104" s="128"/>
      <c r="G1104" s="54"/>
      <c r="H1104" s="54"/>
      <c r="I1104" s="128"/>
      <c r="J1104" s="124">
        <v>406</v>
      </c>
      <c r="K1104" s="58"/>
      <c r="L1104" s="88">
        <f>3-1+1</f>
        <v>3</v>
      </c>
      <c r="M1104" s="80">
        <f>3-1+1</f>
        <v>3</v>
      </c>
      <c r="N1104" s="61"/>
      <c r="O1104" s="61"/>
      <c r="P1104" s="63"/>
      <c r="Q1104" s="63"/>
      <c r="R1104" s="63"/>
      <c r="S1104" s="63"/>
      <c r="T1104" s="63"/>
      <c r="U1104" s="63"/>
      <c r="V1104" s="63"/>
      <c r="W1104" s="63"/>
      <c r="X1104" s="63"/>
      <c r="Z1104" s="63"/>
      <c r="AA1104" s="113"/>
      <c r="AB1104" s="113"/>
      <c r="AC1104" s="113"/>
    </row>
    <row r="1105" spans="1:29" ht="25.5" customHeight="1" x14ac:dyDescent="0.2">
      <c r="A1105" s="50" t="s">
        <v>1814</v>
      </c>
      <c r="B1105" s="121"/>
      <c r="C1105" s="66" t="s">
        <v>1815</v>
      </c>
      <c r="D1105" s="68" t="s">
        <v>1652</v>
      </c>
      <c r="E1105" s="68" t="s">
        <v>1635</v>
      </c>
      <c r="F1105" s="128"/>
      <c r="G1105" s="54"/>
      <c r="H1105" s="54"/>
      <c r="I1105" s="128"/>
      <c r="J1105" s="124">
        <v>406</v>
      </c>
      <c r="K1105" s="58"/>
      <c r="L1105" s="88">
        <f>2-1</f>
        <v>1</v>
      </c>
      <c r="M1105" s="80">
        <f>2-1</f>
        <v>1</v>
      </c>
      <c r="N1105" s="61"/>
      <c r="O1105" s="61"/>
      <c r="P1105" s="63"/>
      <c r="Q1105" s="63"/>
      <c r="R1105" s="63"/>
      <c r="S1105" s="63"/>
      <c r="T1105" s="63"/>
      <c r="U1105" s="63"/>
      <c r="V1105" s="63"/>
      <c r="W1105" s="63"/>
      <c r="X1105" s="63"/>
      <c r="Z1105" s="63"/>
      <c r="AA1105" s="113"/>
      <c r="AB1105" s="113"/>
      <c r="AC1105" s="113"/>
    </row>
    <row r="1106" spans="1:29" ht="25.5" hidden="1" customHeight="1" x14ac:dyDescent="0.2">
      <c r="A1106" s="50" t="s">
        <v>1816</v>
      </c>
      <c r="B1106" s="121"/>
      <c r="C1106" s="66" t="s">
        <v>1817</v>
      </c>
      <c r="D1106" s="68"/>
      <c r="E1106" s="68"/>
      <c r="F1106" s="128"/>
      <c r="G1106" s="54"/>
      <c r="H1106" s="54"/>
      <c r="I1106" s="128"/>
      <c r="J1106" s="124"/>
      <c r="K1106" s="58"/>
      <c r="L1106" s="88">
        <f>1-1</f>
        <v>0</v>
      </c>
      <c r="M1106" s="80"/>
      <c r="N1106" s="61"/>
      <c r="O1106" s="61"/>
      <c r="P1106" s="63"/>
      <c r="Q1106" s="63"/>
      <c r="R1106" s="63">
        <f>1-1</f>
        <v>0</v>
      </c>
      <c r="S1106" s="63"/>
      <c r="T1106" s="63"/>
      <c r="U1106" s="63"/>
      <c r="V1106" s="63"/>
      <c r="W1106" s="63"/>
      <c r="X1106" s="63"/>
      <c r="Z1106" s="63"/>
      <c r="AA1106" s="113"/>
      <c r="AB1106" s="113"/>
      <c r="AC1106" s="113"/>
    </row>
    <row r="1107" spans="1:29" ht="25.5" hidden="1" customHeight="1" x14ac:dyDescent="0.2">
      <c r="A1107" s="50" t="s">
        <v>1818</v>
      </c>
      <c r="B1107" s="121"/>
      <c r="C1107" s="66" t="s">
        <v>1819</v>
      </c>
      <c r="D1107" s="68"/>
      <c r="E1107" s="68"/>
      <c r="F1107" s="128"/>
      <c r="G1107" s="54"/>
      <c r="H1107" s="54"/>
      <c r="I1107" s="128"/>
      <c r="J1107" s="124"/>
      <c r="K1107" s="58"/>
      <c r="L1107" s="88">
        <f>4-4</f>
        <v>0</v>
      </c>
      <c r="M1107" s="80"/>
      <c r="N1107" s="61"/>
      <c r="O1107" s="61"/>
      <c r="P1107" s="63"/>
      <c r="Q1107" s="63"/>
      <c r="R1107" s="63">
        <f>2-2</f>
        <v>0</v>
      </c>
      <c r="S1107" s="63">
        <f>2-2</f>
        <v>0</v>
      </c>
      <c r="T1107" s="63"/>
      <c r="U1107" s="63"/>
      <c r="V1107" s="63"/>
      <c r="W1107" s="63"/>
      <c r="X1107" s="63"/>
      <c r="Z1107" s="63"/>
      <c r="AA1107" s="113"/>
      <c r="AB1107" s="113"/>
      <c r="AC1107" s="113"/>
    </row>
    <row r="1108" spans="1:29" ht="25.5" hidden="1" customHeight="1" x14ac:dyDescent="0.2">
      <c r="A1108" s="50" t="s">
        <v>1820</v>
      </c>
      <c r="B1108" s="121"/>
      <c r="C1108" s="66" t="s">
        <v>1821</v>
      </c>
      <c r="D1108" s="68"/>
      <c r="E1108" s="68"/>
      <c r="F1108" s="128"/>
      <c r="G1108" s="54"/>
      <c r="H1108" s="54"/>
      <c r="I1108" s="128"/>
      <c r="J1108" s="124"/>
      <c r="K1108" s="58"/>
      <c r="L1108" s="88">
        <f>5-5</f>
        <v>0</v>
      </c>
      <c r="M1108" s="80"/>
      <c r="N1108" s="61"/>
      <c r="O1108" s="61"/>
      <c r="P1108" s="63"/>
      <c r="Q1108" s="63">
        <f>1-1</f>
        <v>0</v>
      </c>
      <c r="R1108" s="63">
        <f>2-2</f>
        <v>0</v>
      </c>
      <c r="S1108" s="63">
        <f>2-2</f>
        <v>0</v>
      </c>
      <c r="T1108" s="63"/>
      <c r="U1108" s="63"/>
      <c r="V1108" s="63"/>
      <c r="W1108" s="63"/>
      <c r="X1108" s="63"/>
      <c r="Z1108" s="63"/>
      <c r="AA1108" s="113"/>
      <c r="AB1108" s="113"/>
      <c r="AC1108" s="113"/>
    </row>
    <row r="1109" spans="1:29" ht="60" customHeight="1" x14ac:dyDescent="0.2">
      <c r="A1109" s="50" t="s">
        <v>1822</v>
      </c>
      <c r="B1109" s="74"/>
      <c r="C1109" s="66" t="s">
        <v>1823</v>
      </c>
      <c r="D1109" s="53" t="s">
        <v>33</v>
      </c>
      <c r="E1109" s="54" t="s">
        <v>585</v>
      </c>
      <c r="F1109" s="55" t="s">
        <v>287</v>
      </c>
      <c r="G1109" s="67" t="s">
        <v>41</v>
      </c>
      <c r="H1109" s="57" t="s">
        <v>37</v>
      </c>
      <c r="I1109" s="55" t="s">
        <v>38</v>
      </c>
      <c r="J1109" s="57">
        <v>3650</v>
      </c>
      <c r="K1109" s="58"/>
      <c r="L1109" s="114">
        <f>14-14+14</f>
        <v>14</v>
      </c>
      <c r="M1109" s="60"/>
      <c r="N1109" s="61"/>
      <c r="O1109" s="61"/>
      <c r="P1109" s="77">
        <f>0</f>
        <v>0</v>
      </c>
      <c r="Q1109" s="77">
        <f>2-2+2</f>
        <v>2</v>
      </c>
      <c r="R1109" s="77">
        <f>4-4+4</f>
        <v>4</v>
      </c>
      <c r="S1109" s="77">
        <f>4-4+4</f>
        <v>4</v>
      </c>
      <c r="T1109" s="77">
        <f>2-2+2</f>
        <v>2</v>
      </c>
      <c r="U1109" s="77">
        <f>2-2+2</f>
        <v>2</v>
      </c>
      <c r="V1109" s="77">
        <f>0</f>
        <v>0</v>
      </c>
      <c r="W1109" s="63"/>
      <c r="X1109" s="63"/>
      <c r="Z1109" s="63"/>
      <c r="AA1109" s="113"/>
      <c r="AB1109" s="113"/>
      <c r="AC1109" s="113"/>
    </row>
    <row r="1110" spans="1:29" ht="60" customHeight="1" x14ac:dyDescent="0.2">
      <c r="A1110" s="50" t="s">
        <v>1824</v>
      </c>
      <c r="B1110" s="74"/>
      <c r="C1110" s="66" t="s">
        <v>1825</v>
      </c>
      <c r="D1110" s="53" t="s">
        <v>33</v>
      </c>
      <c r="E1110" s="54" t="s">
        <v>585</v>
      </c>
      <c r="F1110" s="55" t="s">
        <v>287</v>
      </c>
      <c r="G1110" s="67" t="s">
        <v>41</v>
      </c>
      <c r="H1110" s="57" t="s">
        <v>37</v>
      </c>
      <c r="I1110" s="55" t="s">
        <v>38</v>
      </c>
      <c r="J1110" s="57">
        <v>3350</v>
      </c>
      <c r="K1110" s="58"/>
      <c r="L1110" s="114">
        <f>3</f>
        <v>3</v>
      </c>
      <c r="M1110" s="60"/>
      <c r="N1110" s="61"/>
      <c r="O1110" s="61"/>
      <c r="P1110" s="77">
        <f>0</f>
        <v>0</v>
      </c>
      <c r="Q1110" s="77">
        <f>2</f>
        <v>2</v>
      </c>
      <c r="R1110" s="77">
        <f>1</f>
        <v>1</v>
      </c>
      <c r="S1110" s="77">
        <f>0</f>
        <v>0</v>
      </c>
      <c r="T1110" s="77">
        <f>0</f>
        <v>0</v>
      </c>
      <c r="U1110" s="77">
        <f>0</f>
        <v>0</v>
      </c>
      <c r="V1110" s="77">
        <f>0</f>
        <v>0</v>
      </c>
      <c r="W1110" s="63"/>
      <c r="X1110" s="63"/>
      <c r="Z1110" s="63"/>
      <c r="AA1110" s="113"/>
      <c r="AB1110" s="113"/>
      <c r="AC1110" s="113"/>
    </row>
    <row r="1111" spans="1:29" ht="60" customHeight="1" x14ac:dyDescent="0.2">
      <c r="A1111" s="50" t="s">
        <v>1826</v>
      </c>
      <c r="B1111" s="74"/>
      <c r="C1111" s="66" t="s">
        <v>1827</v>
      </c>
      <c r="D1111" s="53" t="s">
        <v>33</v>
      </c>
      <c r="E1111" s="54" t="s">
        <v>585</v>
      </c>
      <c r="F1111" s="55" t="s">
        <v>287</v>
      </c>
      <c r="G1111" s="67" t="s">
        <v>41</v>
      </c>
      <c r="H1111" s="57" t="s">
        <v>37</v>
      </c>
      <c r="I1111" s="55" t="s">
        <v>38</v>
      </c>
      <c r="J1111" s="57">
        <v>3250</v>
      </c>
      <c r="K1111" s="58"/>
      <c r="L1111" s="114">
        <f>9-1</f>
        <v>8</v>
      </c>
      <c r="M1111" s="60"/>
      <c r="N1111" s="61"/>
      <c r="O1111" s="61"/>
      <c r="P1111" s="77">
        <f>0</f>
        <v>0</v>
      </c>
      <c r="Q1111" s="77">
        <f>0</f>
        <v>0</v>
      </c>
      <c r="R1111" s="77">
        <f>4</f>
        <v>4</v>
      </c>
      <c r="S1111" s="77">
        <f>2</f>
        <v>2</v>
      </c>
      <c r="T1111" s="77">
        <f>2</f>
        <v>2</v>
      </c>
      <c r="U1111" s="77">
        <f>1-1</f>
        <v>0</v>
      </c>
      <c r="V1111" s="77">
        <f>0</f>
        <v>0</v>
      </c>
      <c r="W1111" s="63"/>
      <c r="X1111" s="63"/>
      <c r="Z1111" s="63"/>
      <c r="AA1111" s="113"/>
      <c r="AB1111" s="113"/>
      <c r="AC1111" s="113"/>
    </row>
    <row r="1112" spans="1:29" ht="60" customHeight="1" x14ac:dyDescent="0.2">
      <c r="A1112" s="50" t="s">
        <v>1828</v>
      </c>
      <c r="B1112" s="74"/>
      <c r="C1112" s="66" t="s">
        <v>1829</v>
      </c>
      <c r="D1112" s="53" t="s">
        <v>33</v>
      </c>
      <c r="E1112" s="54" t="s">
        <v>585</v>
      </c>
      <c r="F1112" s="55" t="s">
        <v>287</v>
      </c>
      <c r="G1112" s="67" t="s">
        <v>715</v>
      </c>
      <c r="H1112" s="57" t="s">
        <v>37</v>
      </c>
      <c r="I1112" s="55" t="s">
        <v>38</v>
      </c>
      <c r="J1112" s="57">
        <v>3250</v>
      </c>
      <c r="K1112" s="58"/>
      <c r="L1112" s="114">
        <f>5</f>
        <v>5</v>
      </c>
      <c r="M1112" s="60"/>
      <c r="N1112" s="61"/>
      <c r="O1112" s="61"/>
      <c r="P1112" s="77">
        <f>2</f>
        <v>2</v>
      </c>
      <c r="Q1112" s="77">
        <f>3</f>
        <v>3</v>
      </c>
      <c r="R1112" s="77">
        <f>0</f>
        <v>0</v>
      </c>
      <c r="S1112" s="77">
        <f>0</f>
        <v>0</v>
      </c>
      <c r="T1112" s="77">
        <f>0</f>
        <v>0</v>
      </c>
      <c r="U1112" s="77">
        <f>0</f>
        <v>0</v>
      </c>
      <c r="V1112" s="77">
        <f>0</f>
        <v>0</v>
      </c>
      <c r="W1112" s="63"/>
      <c r="X1112" s="63"/>
      <c r="Z1112" s="63"/>
      <c r="AA1112" s="113"/>
      <c r="AB1112" s="113"/>
      <c r="AC1112" s="113"/>
    </row>
    <row r="1113" spans="1:29" ht="60" customHeight="1" x14ac:dyDescent="0.2">
      <c r="A1113" s="50" t="s">
        <v>1830</v>
      </c>
      <c r="B1113" s="74"/>
      <c r="C1113" s="66" t="s">
        <v>1831</v>
      </c>
      <c r="D1113" s="53" t="s">
        <v>33</v>
      </c>
      <c r="E1113" s="54" t="s">
        <v>585</v>
      </c>
      <c r="F1113" s="55" t="s">
        <v>287</v>
      </c>
      <c r="G1113" s="67" t="s">
        <v>41</v>
      </c>
      <c r="H1113" s="57" t="s">
        <v>37</v>
      </c>
      <c r="I1113" s="55" t="s">
        <v>38</v>
      </c>
      <c r="J1113" s="57">
        <v>3250</v>
      </c>
      <c r="K1113" s="58"/>
      <c r="L1113" s="114">
        <f>8</f>
        <v>8</v>
      </c>
      <c r="M1113" s="60"/>
      <c r="N1113" s="61"/>
      <c r="O1113" s="61"/>
      <c r="P1113" s="77">
        <f>0</f>
        <v>0</v>
      </c>
      <c r="Q1113" s="77">
        <f>1</f>
        <v>1</v>
      </c>
      <c r="R1113" s="77">
        <f>3</f>
        <v>3</v>
      </c>
      <c r="S1113" s="77">
        <f>2</f>
        <v>2</v>
      </c>
      <c r="T1113" s="77">
        <f>1</f>
        <v>1</v>
      </c>
      <c r="U1113" s="77">
        <f>1</f>
        <v>1</v>
      </c>
      <c r="V1113" s="77">
        <f>0</f>
        <v>0</v>
      </c>
      <c r="W1113" s="63"/>
      <c r="X1113" s="63"/>
      <c r="Z1113" s="63"/>
      <c r="AA1113" s="113"/>
      <c r="AB1113" s="113"/>
      <c r="AC1113" s="113"/>
    </row>
    <row r="1114" spans="1:29" ht="60" customHeight="1" x14ac:dyDescent="0.2">
      <c r="A1114" s="50" t="s">
        <v>1832</v>
      </c>
      <c r="B1114" s="74"/>
      <c r="C1114" s="66" t="s">
        <v>1833</v>
      </c>
      <c r="D1114" s="53" t="s">
        <v>33</v>
      </c>
      <c r="E1114" s="54" t="s">
        <v>585</v>
      </c>
      <c r="F1114" s="55" t="s">
        <v>287</v>
      </c>
      <c r="G1114" s="67" t="s">
        <v>41</v>
      </c>
      <c r="H1114" s="57" t="s">
        <v>37</v>
      </c>
      <c r="I1114" s="55" t="s">
        <v>38</v>
      </c>
      <c r="J1114" s="57">
        <v>3250</v>
      </c>
      <c r="K1114" s="58"/>
      <c r="L1114" s="114">
        <f>6</f>
        <v>6</v>
      </c>
      <c r="M1114" s="60"/>
      <c r="N1114" s="61"/>
      <c r="O1114" s="61"/>
      <c r="P1114" s="77">
        <f>2</f>
        <v>2</v>
      </c>
      <c r="Q1114" s="77">
        <f>3</f>
        <v>3</v>
      </c>
      <c r="R1114" s="77">
        <f>1</f>
        <v>1</v>
      </c>
      <c r="S1114" s="77">
        <f>0</f>
        <v>0</v>
      </c>
      <c r="T1114" s="77">
        <f>0</f>
        <v>0</v>
      </c>
      <c r="U1114" s="77">
        <f>0</f>
        <v>0</v>
      </c>
      <c r="V1114" s="77">
        <f>0</f>
        <v>0</v>
      </c>
      <c r="W1114" s="63"/>
      <c r="X1114" s="63"/>
      <c r="Z1114" s="63"/>
      <c r="AA1114" s="113"/>
      <c r="AB1114" s="113"/>
      <c r="AC1114" s="113"/>
    </row>
    <row r="1115" spans="1:29" ht="60" customHeight="1" x14ac:dyDescent="0.2">
      <c r="A1115" s="50" t="s">
        <v>1834</v>
      </c>
      <c r="B1115" s="74"/>
      <c r="C1115" s="66" t="s">
        <v>1835</v>
      </c>
      <c r="D1115" s="53" t="s">
        <v>33</v>
      </c>
      <c r="E1115" s="54" t="s">
        <v>585</v>
      </c>
      <c r="F1115" s="55" t="s">
        <v>287</v>
      </c>
      <c r="G1115" s="67" t="s">
        <v>41</v>
      </c>
      <c r="H1115" s="57" t="s">
        <v>37</v>
      </c>
      <c r="I1115" s="55" t="s">
        <v>38</v>
      </c>
      <c r="J1115" s="57">
        <v>3350</v>
      </c>
      <c r="K1115" s="58"/>
      <c r="L1115" s="114">
        <f>7</f>
        <v>7</v>
      </c>
      <c r="M1115" s="60"/>
      <c r="N1115" s="61"/>
      <c r="O1115" s="61"/>
      <c r="P1115" s="77">
        <f>0</f>
        <v>0</v>
      </c>
      <c r="Q1115" s="77">
        <f>1</f>
        <v>1</v>
      </c>
      <c r="R1115" s="77">
        <f>3</f>
        <v>3</v>
      </c>
      <c r="S1115" s="77">
        <f>2</f>
        <v>2</v>
      </c>
      <c r="T1115" s="77">
        <f>0</f>
        <v>0</v>
      </c>
      <c r="U1115" s="77">
        <f>1</f>
        <v>1</v>
      </c>
      <c r="V1115" s="77">
        <f>0</f>
        <v>0</v>
      </c>
      <c r="W1115" s="63"/>
      <c r="X1115" s="63"/>
      <c r="Z1115" s="63"/>
      <c r="AA1115" s="113"/>
      <c r="AB1115" s="113"/>
      <c r="AC1115" s="113"/>
    </row>
    <row r="1116" spans="1:29" ht="60" customHeight="1" x14ac:dyDescent="0.2">
      <c r="A1116" s="50" t="s">
        <v>1836</v>
      </c>
      <c r="B1116" s="74"/>
      <c r="C1116" s="66" t="s">
        <v>1837</v>
      </c>
      <c r="D1116" s="53" t="s">
        <v>33</v>
      </c>
      <c r="E1116" s="54" t="s">
        <v>585</v>
      </c>
      <c r="F1116" s="55" t="s">
        <v>287</v>
      </c>
      <c r="G1116" s="67" t="s">
        <v>41</v>
      </c>
      <c r="H1116" s="57" t="s">
        <v>37</v>
      </c>
      <c r="I1116" s="55" t="s">
        <v>38</v>
      </c>
      <c r="J1116" s="57">
        <v>3650</v>
      </c>
      <c r="K1116" s="58"/>
      <c r="L1116" s="114">
        <f>12-12+12</f>
        <v>12</v>
      </c>
      <c r="M1116" s="60"/>
      <c r="N1116" s="61"/>
      <c r="O1116" s="61"/>
      <c r="P1116" s="77">
        <f>0</f>
        <v>0</v>
      </c>
      <c r="Q1116" s="77">
        <f>4-4+4</f>
        <v>4</v>
      </c>
      <c r="R1116" s="77">
        <f>5-5+5</f>
        <v>5</v>
      </c>
      <c r="S1116" s="77">
        <f>2-2+2</f>
        <v>2</v>
      </c>
      <c r="T1116" s="77">
        <f>0</f>
        <v>0</v>
      </c>
      <c r="U1116" s="77">
        <f>1-1+1</f>
        <v>1</v>
      </c>
      <c r="V1116" s="77">
        <f>0</f>
        <v>0</v>
      </c>
      <c r="W1116" s="63"/>
      <c r="X1116" s="63"/>
      <c r="Z1116" s="63"/>
      <c r="AA1116" s="113"/>
      <c r="AB1116" s="113"/>
      <c r="AC1116" s="113"/>
    </row>
    <row r="1117" spans="1:29" ht="60" customHeight="1" x14ac:dyDescent="0.2">
      <c r="A1117" s="50" t="s">
        <v>1838</v>
      </c>
      <c r="B1117" s="74"/>
      <c r="C1117" s="66" t="s">
        <v>1839</v>
      </c>
      <c r="D1117" s="53" t="s">
        <v>33</v>
      </c>
      <c r="E1117" s="54" t="s">
        <v>585</v>
      </c>
      <c r="F1117" s="55" t="s">
        <v>287</v>
      </c>
      <c r="G1117" s="67" t="s">
        <v>41</v>
      </c>
      <c r="H1117" s="57" t="s">
        <v>37</v>
      </c>
      <c r="I1117" s="55" t="s">
        <v>38</v>
      </c>
      <c r="J1117" s="57">
        <v>3150</v>
      </c>
      <c r="K1117" s="58"/>
      <c r="L1117" s="114">
        <f>5</f>
        <v>5</v>
      </c>
      <c r="M1117" s="60"/>
      <c r="N1117" s="61"/>
      <c r="O1117" s="61"/>
      <c r="P1117" s="77">
        <f>0</f>
        <v>0</v>
      </c>
      <c r="Q1117" s="77">
        <f>2</f>
        <v>2</v>
      </c>
      <c r="R1117" s="77">
        <f>1</f>
        <v>1</v>
      </c>
      <c r="S1117" s="77">
        <f>1</f>
        <v>1</v>
      </c>
      <c r="T1117" s="77">
        <f>1</f>
        <v>1</v>
      </c>
      <c r="U1117" s="77">
        <f>0</f>
        <v>0</v>
      </c>
      <c r="V1117" s="77">
        <f>0</f>
        <v>0</v>
      </c>
      <c r="W1117" s="63"/>
      <c r="X1117" s="63"/>
      <c r="Z1117" s="63"/>
      <c r="AA1117" s="113"/>
      <c r="AB1117" s="113"/>
      <c r="AC1117" s="113"/>
    </row>
    <row r="1118" spans="1:29" ht="60" customHeight="1" x14ac:dyDescent="0.2">
      <c r="A1118" s="50" t="s">
        <v>1840</v>
      </c>
      <c r="B1118" s="74"/>
      <c r="C1118" s="66" t="s">
        <v>1841</v>
      </c>
      <c r="D1118" s="53" t="s">
        <v>33</v>
      </c>
      <c r="E1118" s="54" t="s">
        <v>585</v>
      </c>
      <c r="F1118" s="55" t="s">
        <v>287</v>
      </c>
      <c r="G1118" s="67" t="s">
        <v>41</v>
      </c>
      <c r="H1118" s="57" t="s">
        <v>37</v>
      </c>
      <c r="I1118" s="55" t="s">
        <v>38</v>
      </c>
      <c r="J1118" s="57">
        <v>3750</v>
      </c>
      <c r="K1118" s="58"/>
      <c r="L1118" s="114">
        <f>9</f>
        <v>9</v>
      </c>
      <c r="M1118" s="60"/>
      <c r="N1118" s="61"/>
      <c r="O1118" s="61"/>
      <c r="P1118" s="77">
        <f>0</f>
        <v>0</v>
      </c>
      <c r="Q1118" s="77">
        <f>3</f>
        <v>3</v>
      </c>
      <c r="R1118" s="77">
        <f>3</f>
        <v>3</v>
      </c>
      <c r="S1118" s="77">
        <f>2</f>
        <v>2</v>
      </c>
      <c r="T1118" s="77">
        <f>0</f>
        <v>0</v>
      </c>
      <c r="U1118" s="77">
        <f>1</f>
        <v>1</v>
      </c>
      <c r="V1118" s="77">
        <f>0</f>
        <v>0</v>
      </c>
      <c r="W1118" s="63"/>
      <c r="X1118" s="63"/>
      <c r="Z1118" s="63"/>
      <c r="AA1118" s="113"/>
      <c r="AB1118" s="113"/>
      <c r="AC1118" s="113"/>
    </row>
    <row r="1119" spans="1:29" ht="60" customHeight="1" x14ac:dyDescent="0.2">
      <c r="A1119" s="50" t="s">
        <v>1842</v>
      </c>
      <c r="B1119" s="74"/>
      <c r="C1119" s="66" t="s">
        <v>1843</v>
      </c>
      <c r="D1119" s="53" t="s">
        <v>33</v>
      </c>
      <c r="E1119" s="54" t="s">
        <v>585</v>
      </c>
      <c r="F1119" s="55" t="s">
        <v>1844</v>
      </c>
      <c r="G1119" s="67" t="s">
        <v>41</v>
      </c>
      <c r="H1119" s="57" t="s">
        <v>37</v>
      </c>
      <c r="I1119" s="55" t="s">
        <v>38</v>
      </c>
      <c r="J1119" s="57">
        <v>2450</v>
      </c>
      <c r="K1119" s="58"/>
      <c r="L1119" s="114">
        <f>13-13+13</f>
        <v>13</v>
      </c>
      <c r="M1119" s="60"/>
      <c r="N1119" s="61"/>
      <c r="O1119" s="61"/>
      <c r="P1119" s="77">
        <f>0</f>
        <v>0</v>
      </c>
      <c r="Q1119" s="77">
        <f>0</f>
        <v>0</v>
      </c>
      <c r="R1119" s="77">
        <f>4-4+4</f>
        <v>4</v>
      </c>
      <c r="S1119" s="77">
        <f>5-5+5</f>
        <v>5</v>
      </c>
      <c r="T1119" s="77">
        <f>4-4+4</f>
        <v>4</v>
      </c>
      <c r="U1119" s="77">
        <f>0</f>
        <v>0</v>
      </c>
      <c r="V1119" s="77">
        <f>0</f>
        <v>0</v>
      </c>
      <c r="W1119" s="63"/>
      <c r="X1119" s="63"/>
      <c r="Z1119" s="63"/>
      <c r="AA1119" s="113"/>
      <c r="AB1119" s="113"/>
      <c r="AC1119" s="113"/>
    </row>
    <row r="1120" spans="1:29" ht="60" customHeight="1" x14ac:dyDescent="0.2">
      <c r="A1120" s="50" t="s">
        <v>1845</v>
      </c>
      <c r="B1120" s="74"/>
      <c r="C1120" s="66" t="s">
        <v>1846</v>
      </c>
      <c r="D1120" s="53" t="s">
        <v>33</v>
      </c>
      <c r="E1120" s="54" t="s">
        <v>585</v>
      </c>
      <c r="F1120" s="55" t="s">
        <v>1844</v>
      </c>
      <c r="G1120" s="67" t="s">
        <v>41</v>
      </c>
      <c r="H1120" s="57" t="s">
        <v>37</v>
      </c>
      <c r="I1120" s="55" t="s">
        <v>38</v>
      </c>
      <c r="J1120" s="57">
        <v>2450</v>
      </c>
      <c r="K1120" s="58"/>
      <c r="L1120" s="114">
        <f>8-1+1</f>
        <v>8</v>
      </c>
      <c r="M1120" s="60"/>
      <c r="N1120" s="61"/>
      <c r="O1120" s="61"/>
      <c r="P1120" s="77">
        <f>0</f>
        <v>0</v>
      </c>
      <c r="Q1120" s="77">
        <f>0</f>
        <v>0</v>
      </c>
      <c r="R1120" s="77">
        <f>3</f>
        <v>3</v>
      </c>
      <c r="S1120" s="77">
        <f>4-1+1</f>
        <v>4</v>
      </c>
      <c r="T1120" s="77">
        <f>1</f>
        <v>1</v>
      </c>
      <c r="U1120" s="77">
        <f>0</f>
        <v>0</v>
      </c>
      <c r="V1120" s="77">
        <f>0</f>
        <v>0</v>
      </c>
      <c r="W1120" s="63"/>
      <c r="X1120" s="63"/>
      <c r="Z1120" s="63"/>
      <c r="AA1120" s="113"/>
      <c r="AB1120" s="113"/>
      <c r="AC1120" s="113"/>
    </row>
    <row r="1121" spans="1:29" ht="60" customHeight="1" x14ac:dyDescent="0.2">
      <c r="A1121" s="50" t="s">
        <v>1847</v>
      </c>
      <c r="B1121" s="74"/>
      <c r="C1121" s="66" t="s">
        <v>1848</v>
      </c>
      <c r="D1121" s="53" t="s">
        <v>48</v>
      </c>
      <c r="E1121" s="54" t="s">
        <v>585</v>
      </c>
      <c r="F1121" s="55" t="s">
        <v>1849</v>
      </c>
      <c r="G1121" s="67" t="s">
        <v>68</v>
      </c>
      <c r="H1121" s="57" t="s">
        <v>37</v>
      </c>
      <c r="I1121" s="55" t="s">
        <v>38</v>
      </c>
      <c r="J1121" s="57">
        <v>1750</v>
      </c>
      <c r="K1121" s="58"/>
      <c r="L1121" s="114">
        <f>12-12+12</f>
        <v>12</v>
      </c>
      <c r="M1121" s="60"/>
      <c r="N1121" s="61"/>
      <c r="O1121" s="61"/>
      <c r="P1121" s="77">
        <f>0</f>
        <v>0</v>
      </c>
      <c r="Q1121" s="77">
        <f>3-3+3</f>
        <v>3</v>
      </c>
      <c r="R1121" s="77">
        <f>2-2+2</f>
        <v>2</v>
      </c>
      <c r="S1121" s="77">
        <f>3-3+3</f>
        <v>3</v>
      </c>
      <c r="T1121" s="77">
        <f>4-4+4</f>
        <v>4</v>
      </c>
      <c r="U1121" s="77">
        <f>0</f>
        <v>0</v>
      </c>
      <c r="V1121" s="77">
        <f>0</f>
        <v>0</v>
      </c>
      <c r="W1121" s="63"/>
      <c r="X1121" s="63"/>
      <c r="Z1121" s="63"/>
      <c r="AA1121" s="113"/>
      <c r="AB1121" s="113"/>
      <c r="AC1121" s="113"/>
    </row>
    <row r="1122" spans="1:29" ht="60" customHeight="1" x14ac:dyDescent="0.2">
      <c r="A1122" s="50" t="s">
        <v>1850</v>
      </c>
      <c r="B1122" s="74"/>
      <c r="C1122" s="66" t="s">
        <v>1851</v>
      </c>
      <c r="D1122" s="53" t="s">
        <v>48</v>
      </c>
      <c r="E1122" s="54" t="s">
        <v>585</v>
      </c>
      <c r="F1122" s="55" t="s">
        <v>1849</v>
      </c>
      <c r="G1122" s="67" t="s">
        <v>68</v>
      </c>
      <c r="H1122" s="57" t="s">
        <v>37</v>
      </c>
      <c r="I1122" s="55" t="s">
        <v>637</v>
      </c>
      <c r="J1122" s="57">
        <v>1950</v>
      </c>
      <c r="K1122" s="58"/>
      <c r="L1122" s="114">
        <f>5</f>
        <v>5</v>
      </c>
      <c r="M1122" s="60"/>
      <c r="N1122" s="61"/>
      <c r="O1122" s="61"/>
      <c r="P1122" s="77">
        <f>0</f>
        <v>0</v>
      </c>
      <c r="Q1122" s="77">
        <f>2</f>
        <v>2</v>
      </c>
      <c r="R1122" s="77">
        <f>0</f>
        <v>0</v>
      </c>
      <c r="S1122" s="77">
        <f>2</f>
        <v>2</v>
      </c>
      <c r="T1122" s="77">
        <f>1</f>
        <v>1</v>
      </c>
      <c r="U1122" s="77">
        <f>0</f>
        <v>0</v>
      </c>
      <c r="V1122" s="77">
        <f>0</f>
        <v>0</v>
      </c>
      <c r="W1122" s="63"/>
      <c r="X1122" s="63"/>
      <c r="Z1122" s="63"/>
      <c r="AA1122" s="113"/>
      <c r="AB1122" s="113"/>
      <c r="AC1122" s="113"/>
    </row>
    <row r="1123" spans="1:29" ht="60" customHeight="1" x14ac:dyDescent="0.2">
      <c r="A1123" s="50" t="s">
        <v>1852</v>
      </c>
      <c r="B1123" s="74"/>
      <c r="C1123" s="66" t="s">
        <v>1853</v>
      </c>
      <c r="D1123" s="53" t="s">
        <v>48</v>
      </c>
      <c r="E1123" s="54" t="s">
        <v>585</v>
      </c>
      <c r="F1123" s="55" t="s">
        <v>1849</v>
      </c>
      <c r="G1123" s="67" t="s">
        <v>68</v>
      </c>
      <c r="H1123" s="57" t="s">
        <v>37</v>
      </c>
      <c r="I1123" s="55" t="s">
        <v>637</v>
      </c>
      <c r="J1123" s="89">
        <v>2000</v>
      </c>
      <c r="K1123" s="58"/>
      <c r="L1123" s="114">
        <f>3</f>
        <v>3</v>
      </c>
      <c r="M1123" s="60"/>
      <c r="N1123" s="61"/>
      <c r="O1123" s="61"/>
      <c r="P1123" s="77">
        <f>0</f>
        <v>0</v>
      </c>
      <c r="Q1123" s="77">
        <f>0</f>
        <v>0</v>
      </c>
      <c r="R1123" s="77">
        <f>0</f>
        <v>0</v>
      </c>
      <c r="S1123" s="77">
        <f>1</f>
        <v>1</v>
      </c>
      <c r="T1123" s="77">
        <f>1</f>
        <v>1</v>
      </c>
      <c r="U1123" s="77">
        <f>1</f>
        <v>1</v>
      </c>
      <c r="V1123" s="77">
        <f>0</f>
        <v>0</v>
      </c>
      <c r="W1123" s="63"/>
      <c r="X1123" s="63"/>
      <c r="Z1123" s="63"/>
      <c r="AA1123" s="113"/>
      <c r="AB1123" s="113"/>
      <c r="AC1123" s="113"/>
    </row>
    <row r="1124" spans="1:29" ht="60" customHeight="1" x14ac:dyDescent="0.2">
      <c r="A1124" s="50" t="s">
        <v>1854</v>
      </c>
      <c r="B1124" s="74"/>
      <c r="C1124" s="66" t="s">
        <v>1855</v>
      </c>
      <c r="D1124" s="53" t="s">
        <v>48</v>
      </c>
      <c r="E1124" s="54" t="s">
        <v>585</v>
      </c>
      <c r="F1124" s="55" t="s">
        <v>1849</v>
      </c>
      <c r="G1124" s="67" t="s">
        <v>68</v>
      </c>
      <c r="H1124" s="57" t="s">
        <v>37</v>
      </c>
      <c r="I1124" s="55" t="s">
        <v>637</v>
      </c>
      <c r="J1124" s="57">
        <v>1950</v>
      </c>
      <c r="K1124" s="58"/>
      <c r="L1124" s="114">
        <f>2</f>
        <v>2</v>
      </c>
      <c r="M1124" s="60"/>
      <c r="N1124" s="61"/>
      <c r="O1124" s="61"/>
      <c r="P1124" s="77">
        <f>0</f>
        <v>0</v>
      </c>
      <c r="Q1124" s="77">
        <f>1</f>
        <v>1</v>
      </c>
      <c r="R1124" s="77">
        <f>0</f>
        <v>0</v>
      </c>
      <c r="S1124" s="77">
        <f>0</f>
        <v>0</v>
      </c>
      <c r="T1124" s="77">
        <f>0</f>
        <v>0</v>
      </c>
      <c r="U1124" s="77">
        <f>1</f>
        <v>1</v>
      </c>
      <c r="V1124" s="77">
        <f>0</f>
        <v>0</v>
      </c>
      <c r="W1124" s="63"/>
      <c r="X1124" s="63"/>
      <c r="Z1124" s="63"/>
      <c r="AA1124" s="113"/>
      <c r="AB1124" s="113"/>
      <c r="AC1124" s="113"/>
    </row>
    <row r="1125" spans="1:29" ht="60" customHeight="1" x14ac:dyDescent="0.2">
      <c r="A1125" s="50" t="s">
        <v>1856</v>
      </c>
      <c r="B1125" s="74"/>
      <c r="C1125" s="66" t="s">
        <v>1857</v>
      </c>
      <c r="D1125" s="53" t="s">
        <v>48</v>
      </c>
      <c r="E1125" s="54" t="s">
        <v>585</v>
      </c>
      <c r="F1125" s="55" t="s">
        <v>1849</v>
      </c>
      <c r="G1125" s="67" t="s">
        <v>68</v>
      </c>
      <c r="H1125" s="57" t="s">
        <v>37</v>
      </c>
      <c r="I1125" s="55" t="s">
        <v>637</v>
      </c>
      <c r="J1125" s="57">
        <v>1650</v>
      </c>
      <c r="K1125" s="58"/>
      <c r="L1125" s="114">
        <f>11-4</f>
        <v>7</v>
      </c>
      <c r="M1125" s="60"/>
      <c r="N1125" s="61"/>
      <c r="O1125" s="61"/>
      <c r="P1125" s="77">
        <f>0</f>
        <v>0</v>
      </c>
      <c r="Q1125" s="77">
        <f>3-1</f>
        <v>2</v>
      </c>
      <c r="R1125" s="77">
        <f>2</f>
        <v>2</v>
      </c>
      <c r="S1125" s="77">
        <f>1-1</f>
        <v>0</v>
      </c>
      <c r="T1125" s="77">
        <f>3-2</f>
        <v>1</v>
      </c>
      <c r="U1125" s="77">
        <f>2</f>
        <v>2</v>
      </c>
      <c r="V1125" s="77">
        <f>0</f>
        <v>0</v>
      </c>
      <c r="W1125" s="63"/>
      <c r="X1125" s="63"/>
      <c r="Z1125" s="63"/>
      <c r="AA1125" s="113"/>
      <c r="AB1125" s="113"/>
      <c r="AC1125" s="113"/>
    </row>
    <row r="1126" spans="1:29" ht="60" hidden="1" customHeight="1" x14ac:dyDescent="0.2">
      <c r="A1126" s="50" t="s">
        <v>1858</v>
      </c>
      <c r="B1126" s="74"/>
      <c r="C1126" s="66" t="s">
        <v>1859</v>
      </c>
      <c r="D1126" s="53" t="s">
        <v>48</v>
      </c>
      <c r="E1126" s="54" t="s">
        <v>585</v>
      </c>
      <c r="F1126" s="55" t="s">
        <v>1849</v>
      </c>
      <c r="G1126" s="67" t="s">
        <v>68</v>
      </c>
      <c r="H1126" s="57" t="s">
        <v>37</v>
      </c>
      <c r="I1126" s="55" t="s">
        <v>637</v>
      </c>
      <c r="J1126" s="57">
        <v>1750</v>
      </c>
      <c r="K1126" s="58"/>
      <c r="L1126" s="114">
        <f>0</f>
        <v>0</v>
      </c>
      <c r="M1126" s="60"/>
      <c r="N1126" s="61"/>
      <c r="O1126" s="61"/>
      <c r="P1126" s="77">
        <f>0</f>
        <v>0</v>
      </c>
      <c r="Q1126" s="77">
        <f>0</f>
        <v>0</v>
      </c>
      <c r="R1126" s="77">
        <f>0</f>
        <v>0</v>
      </c>
      <c r="S1126" s="77">
        <f>0</f>
        <v>0</v>
      </c>
      <c r="T1126" s="77">
        <f>0</f>
        <v>0</v>
      </c>
      <c r="U1126" s="77">
        <f>0</f>
        <v>0</v>
      </c>
      <c r="V1126" s="77">
        <f>0</f>
        <v>0</v>
      </c>
      <c r="W1126" s="63"/>
      <c r="X1126" s="63"/>
      <c r="Z1126" s="63"/>
      <c r="AA1126" s="113"/>
      <c r="AB1126" s="113"/>
      <c r="AC1126" s="113"/>
    </row>
    <row r="1127" spans="1:29" ht="60" customHeight="1" x14ac:dyDescent="0.2">
      <c r="A1127" s="50" t="s">
        <v>1860</v>
      </c>
      <c r="B1127" s="74"/>
      <c r="C1127" s="66" t="s">
        <v>1861</v>
      </c>
      <c r="D1127" s="53" t="s">
        <v>48</v>
      </c>
      <c r="E1127" s="54" t="s">
        <v>585</v>
      </c>
      <c r="F1127" s="55" t="s">
        <v>1849</v>
      </c>
      <c r="G1127" s="67" t="s">
        <v>68</v>
      </c>
      <c r="H1127" s="57" t="s">
        <v>37</v>
      </c>
      <c r="I1127" s="55" t="s">
        <v>637</v>
      </c>
      <c r="J1127" s="57">
        <v>1650</v>
      </c>
      <c r="K1127" s="58"/>
      <c r="L1127" s="114">
        <f>8-1</f>
        <v>7</v>
      </c>
      <c r="M1127" s="60"/>
      <c r="N1127" s="61"/>
      <c r="O1127" s="61"/>
      <c r="P1127" s="77">
        <f>0</f>
        <v>0</v>
      </c>
      <c r="Q1127" s="77">
        <f>2</f>
        <v>2</v>
      </c>
      <c r="R1127" s="77">
        <f>1-1</f>
        <v>0</v>
      </c>
      <c r="S1127" s="77">
        <f>3</f>
        <v>3</v>
      </c>
      <c r="T1127" s="77">
        <f>1</f>
        <v>1</v>
      </c>
      <c r="U1127" s="77">
        <f>1</f>
        <v>1</v>
      </c>
      <c r="V1127" s="77">
        <f>0</f>
        <v>0</v>
      </c>
      <c r="W1127" s="63"/>
      <c r="X1127" s="63"/>
      <c r="Z1127" s="63"/>
      <c r="AA1127" s="113"/>
      <c r="AB1127" s="113"/>
      <c r="AC1127" s="113"/>
    </row>
    <row r="1128" spans="1:29" ht="60" customHeight="1" x14ac:dyDescent="0.2">
      <c r="A1128" s="50" t="s">
        <v>1862</v>
      </c>
      <c r="B1128" s="74"/>
      <c r="C1128" s="66" t="s">
        <v>1863</v>
      </c>
      <c r="D1128" s="53" t="s">
        <v>48</v>
      </c>
      <c r="E1128" s="54" t="s">
        <v>585</v>
      </c>
      <c r="F1128" s="55" t="s">
        <v>1849</v>
      </c>
      <c r="G1128" s="67" t="s">
        <v>68</v>
      </c>
      <c r="H1128" s="57" t="s">
        <v>37</v>
      </c>
      <c r="I1128" s="55" t="s">
        <v>637</v>
      </c>
      <c r="J1128" s="57">
        <v>2000</v>
      </c>
      <c r="K1128" s="58"/>
      <c r="L1128" s="114">
        <f>14-14+14</f>
        <v>14</v>
      </c>
      <c r="M1128" s="60"/>
      <c r="N1128" s="61"/>
      <c r="O1128" s="61"/>
      <c r="P1128" s="77">
        <f>0</f>
        <v>0</v>
      </c>
      <c r="Q1128" s="77">
        <f>3-3+3</f>
        <v>3</v>
      </c>
      <c r="R1128" s="77">
        <f>4-4+4</f>
        <v>4</v>
      </c>
      <c r="S1128" s="77">
        <f>2-2+2</f>
        <v>2</v>
      </c>
      <c r="T1128" s="77">
        <f>4-4+4</f>
        <v>4</v>
      </c>
      <c r="U1128" s="77">
        <f>1-1+1</f>
        <v>1</v>
      </c>
      <c r="V1128" s="77">
        <f>0</f>
        <v>0</v>
      </c>
      <c r="W1128" s="63"/>
      <c r="X1128" s="63"/>
      <c r="Z1128" s="63"/>
      <c r="AA1128" s="113"/>
      <c r="AB1128" s="113"/>
      <c r="AC1128" s="113"/>
    </row>
    <row r="1129" spans="1:29" ht="60" customHeight="1" x14ac:dyDescent="0.2">
      <c r="A1129" s="50" t="s">
        <v>1864</v>
      </c>
      <c r="B1129" s="51"/>
      <c r="C1129" s="66" t="s">
        <v>1865</v>
      </c>
      <c r="D1129" s="53" t="s">
        <v>48</v>
      </c>
      <c r="E1129" s="54" t="s">
        <v>585</v>
      </c>
      <c r="F1129" s="55" t="s">
        <v>1849</v>
      </c>
      <c r="G1129" s="67" t="s">
        <v>68</v>
      </c>
      <c r="H1129" s="57" t="s">
        <v>37</v>
      </c>
      <c r="I1129" s="55" t="s">
        <v>637</v>
      </c>
      <c r="J1129" s="57">
        <v>1850</v>
      </c>
      <c r="K1129" s="58"/>
      <c r="L1129" s="114">
        <f>2</f>
        <v>2</v>
      </c>
      <c r="M1129" s="60"/>
      <c r="N1129" s="61"/>
      <c r="O1129" s="61"/>
      <c r="P1129" s="77">
        <f>0</f>
        <v>0</v>
      </c>
      <c r="Q1129" s="77">
        <f>0</f>
        <v>0</v>
      </c>
      <c r="R1129" s="77">
        <f>0</f>
        <v>0</v>
      </c>
      <c r="S1129" s="77">
        <f>0</f>
        <v>0</v>
      </c>
      <c r="T1129" s="77">
        <f>0</f>
        <v>0</v>
      </c>
      <c r="U1129" s="77">
        <f>2</f>
        <v>2</v>
      </c>
      <c r="V1129" s="77">
        <f>0</f>
        <v>0</v>
      </c>
      <c r="W1129" s="63"/>
      <c r="X1129" s="63"/>
      <c r="Z1129" s="63"/>
      <c r="AA1129" s="113"/>
      <c r="AB1129" s="113"/>
      <c r="AC1129" s="113"/>
    </row>
    <row r="1130" spans="1:29" ht="60" customHeight="1" x14ac:dyDescent="0.2">
      <c r="A1130" s="50" t="s">
        <v>1866</v>
      </c>
      <c r="B1130" s="74"/>
      <c r="C1130" s="66" t="s">
        <v>1867</v>
      </c>
      <c r="D1130" s="53" t="s">
        <v>48</v>
      </c>
      <c r="E1130" s="54" t="s">
        <v>585</v>
      </c>
      <c r="F1130" s="67" t="s">
        <v>1849</v>
      </c>
      <c r="G1130" s="67" t="s">
        <v>68</v>
      </c>
      <c r="H1130" s="57" t="s">
        <v>37</v>
      </c>
      <c r="I1130" s="55" t="s">
        <v>51</v>
      </c>
      <c r="J1130" s="57">
        <v>1750</v>
      </c>
      <c r="K1130" s="58"/>
      <c r="L1130" s="114">
        <f>13-13+13</f>
        <v>13</v>
      </c>
      <c r="M1130" s="60"/>
      <c r="N1130" s="61"/>
      <c r="O1130" s="61"/>
      <c r="P1130" s="77">
        <f>0</f>
        <v>0</v>
      </c>
      <c r="Q1130" s="77">
        <f>2-2+2</f>
        <v>2</v>
      </c>
      <c r="R1130" s="77">
        <f>4-4+4</f>
        <v>4</v>
      </c>
      <c r="S1130" s="77">
        <f>3-3+3</f>
        <v>3</v>
      </c>
      <c r="T1130" s="77">
        <f>3-3+3</f>
        <v>3</v>
      </c>
      <c r="U1130" s="77">
        <f>1-1+1</f>
        <v>1</v>
      </c>
      <c r="V1130" s="77">
        <f>0</f>
        <v>0</v>
      </c>
      <c r="W1130" s="63"/>
      <c r="X1130" s="63"/>
      <c r="Z1130" s="63"/>
      <c r="AA1130" s="113"/>
      <c r="AB1130" s="113"/>
      <c r="AC1130" s="113"/>
    </row>
    <row r="1131" spans="1:29" ht="60" customHeight="1" x14ac:dyDescent="0.2">
      <c r="A1131" s="50" t="s">
        <v>1868</v>
      </c>
      <c r="B1131" s="74"/>
      <c r="C1131" s="66" t="s">
        <v>1869</v>
      </c>
      <c r="D1131" s="53" t="s">
        <v>48</v>
      </c>
      <c r="E1131" s="54" t="s">
        <v>585</v>
      </c>
      <c r="F1131" s="67" t="s">
        <v>1849</v>
      </c>
      <c r="G1131" s="67" t="s">
        <v>68</v>
      </c>
      <c r="H1131" s="57" t="s">
        <v>37</v>
      </c>
      <c r="I1131" s="55" t="s">
        <v>51</v>
      </c>
      <c r="J1131" s="57">
        <v>1450</v>
      </c>
      <c r="K1131" s="58"/>
      <c r="L1131" s="114">
        <f>2</f>
        <v>2</v>
      </c>
      <c r="M1131" s="60"/>
      <c r="N1131" s="61"/>
      <c r="O1131" s="61"/>
      <c r="P1131" s="77">
        <f>0</f>
        <v>0</v>
      </c>
      <c r="Q1131" s="77">
        <f>0</f>
        <v>0</v>
      </c>
      <c r="R1131" s="77">
        <f>0</f>
        <v>0</v>
      </c>
      <c r="S1131" s="77">
        <f>0</f>
        <v>0</v>
      </c>
      <c r="T1131" s="77">
        <f>1</f>
        <v>1</v>
      </c>
      <c r="U1131" s="77">
        <f>1</f>
        <v>1</v>
      </c>
      <c r="V1131" s="77">
        <f>0</f>
        <v>0</v>
      </c>
      <c r="W1131" s="63"/>
      <c r="X1131" s="63"/>
      <c r="Z1131" s="63"/>
      <c r="AA1131" s="113"/>
      <c r="AB1131" s="113"/>
      <c r="AC1131" s="113"/>
    </row>
    <row r="1132" spans="1:29" ht="60" customHeight="1" x14ac:dyDescent="0.2">
      <c r="A1132" s="50" t="s">
        <v>1870</v>
      </c>
      <c r="B1132" s="74"/>
      <c r="C1132" s="66" t="s">
        <v>1871</v>
      </c>
      <c r="D1132" s="53" t="s">
        <v>48</v>
      </c>
      <c r="E1132" s="54" t="s">
        <v>585</v>
      </c>
      <c r="F1132" s="67" t="s">
        <v>1849</v>
      </c>
      <c r="G1132" s="67" t="s">
        <v>68</v>
      </c>
      <c r="H1132" s="57" t="s">
        <v>37</v>
      </c>
      <c r="I1132" s="55" t="s">
        <v>51</v>
      </c>
      <c r="J1132" s="57">
        <v>1950</v>
      </c>
      <c r="K1132" s="58"/>
      <c r="L1132" s="114">
        <f>9-1</f>
        <v>8</v>
      </c>
      <c r="M1132" s="60"/>
      <c r="N1132" s="61"/>
      <c r="O1132" s="61"/>
      <c r="P1132" s="77">
        <f>0</f>
        <v>0</v>
      </c>
      <c r="Q1132" s="77">
        <f>1</f>
        <v>1</v>
      </c>
      <c r="R1132" s="77">
        <f>2-1</f>
        <v>1</v>
      </c>
      <c r="S1132" s="77">
        <f>3</f>
        <v>3</v>
      </c>
      <c r="T1132" s="77">
        <f>4-1</f>
        <v>3</v>
      </c>
      <c r="U1132" s="77">
        <f>0</f>
        <v>0</v>
      </c>
      <c r="V1132" s="77">
        <f>0</f>
        <v>0</v>
      </c>
      <c r="W1132" s="63"/>
      <c r="X1132" s="63"/>
      <c r="Z1132" s="63"/>
      <c r="AA1132" s="113"/>
      <c r="AB1132" s="113"/>
      <c r="AC1132" s="113"/>
    </row>
    <row r="1133" spans="1:29" ht="60" customHeight="1" x14ac:dyDescent="0.2">
      <c r="A1133" s="50" t="s">
        <v>1872</v>
      </c>
      <c r="B1133" s="74"/>
      <c r="C1133" s="66" t="s">
        <v>1873</v>
      </c>
      <c r="D1133" s="53" t="s">
        <v>48</v>
      </c>
      <c r="E1133" s="54" t="s">
        <v>585</v>
      </c>
      <c r="F1133" s="67" t="s">
        <v>1874</v>
      </c>
      <c r="G1133" s="67" t="s">
        <v>68</v>
      </c>
      <c r="H1133" s="57" t="s">
        <v>37</v>
      </c>
      <c r="I1133" s="55" t="s">
        <v>51</v>
      </c>
      <c r="J1133" s="57">
        <v>1750</v>
      </c>
      <c r="K1133" s="58"/>
      <c r="L1133" s="114">
        <f>2-2+2</f>
        <v>2</v>
      </c>
      <c r="M1133" s="60"/>
      <c r="N1133" s="61"/>
      <c r="O1133" s="61"/>
      <c r="P1133" s="77">
        <f>0</f>
        <v>0</v>
      </c>
      <c r="Q1133" s="77">
        <f>1-1+1</f>
        <v>1</v>
      </c>
      <c r="R1133" s="77">
        <f>0</f>
        <v>0</v>
      </c>
      <c r="S1133" s="77">
        <f>1-1+1</f>
        <v>1</v>
      </c>
      <c r="T1133" s="77">
        <f>0</f>
        <v>0</v>
      </c>
      <c r="U1133" s="77">
        <f>0</f>
        <v>0</v>
      </c>
      <c r="V1133" s="77">
        <f>0</f>
        <v>0</v>
      </c>
      <c r="W1133" s="63"/>
      <c r="X1133" s="63"/>
      <c r="Z1133" s="63"/>
      <c r="AA1133" s="113"/>
      <c r="AB1133" s="113"/>
      <c r="AC1133" s="113"/>
    </row>
    <row r="1134" spans="1:29" ht="60" customHeight="1" x14ac:dyDescent="0.2">
      <c r="A1134" s="50" t="s">
        <v>1875</v>
      </c>
      <c r="B1134" s="74"/>
      <c r="C1134" s="66" t="s">
        <v>1876</v>
      </c>
      <c r="D1134" s="53" t="s">
        <v>58</v>
      </c>
      <c r="E1134" s="54" t="s">
        <v>585</v>
      </c>
      <c r="F1134" s="67" t="s">
        <v>1877</v>
      </c>
      <c r="G1134" s="67" t="s">
        <v>68</v>
      </c>
      <c r="H1134" s="57" t="s">
        <v>37</v>
      </c>
      <c r="I1134" s="55" t="s">
        <v>51</v>
      </c>
      <c r="J1134" s="57">
        <v>1750</v>
      </c>
      <c r="K1134" s="58"/>
      <c r="L1134" s="114">
        <f>4-1+1</f>
        <v>4</v>
      </c>
      <c r="M1134" s="60"/>
      <c r="N1134" s="61"/>
      <c r="O1134" s="61"/>
      <c r="P1134" s="77">
        <f>1</f>
        <v>1</v>
      </c>
      <c r="Q1134" s="77">
        <f>1</f>
        <v>1</v>
      </c>
      <c r="R1134" s="77">
        <f>1-1+1</f>
        <v>1</v>
      </c>
      <c r="S1134" s="77">
        <f>1</f>
        <v>1</v>
      </c>
      <c r="T1134" s="77">
        <f>0</f>
        <v>0</v>
      </c>
      <c r="U1134" s="77">
        <f>0</f>
        <v>0</v>
      </c>
      <c r="V1134" s="77">
        <f>0</f>
        <v>0</v>
      </c>
      <c r="W1134" s="63"/>
      <c r="X1134" s="63"/>
      <c r="Z1134" s="63"/>
      <c r="AA1134" s="113"/>
      <c r="AB1134" s="113"/>
      <c r="AC1134" s="113"/>
    </row>
    <row r="1135" spans="1:29" ht="60" customHeight="1" x14ac:dyDescent="0.2">
      <c r="A1135" s="50" t="s">
        <v>1878</v>
      </c>
      <c r="B1135" s="74"/>
      <c r="C1135" s="66" t="s">
        <v>1879</v>
      </c>
      <c r="D1135" s="53" t="s">
        <v>48</v>
      </c>
      <c r="E1135" s="54" t="s">
        <v>585</v>
      </c>
      <c r="F1135" s="67" t="s">
        <v>1849</v>
      </c>
      <c r="G1135" s="67" t="s">
        <v>68</v>
      </c>
      <c r="H1135" s="57" t="s">
        <v>37</v>
      </c>
      <c r="I1135" s="55" t="s">
        <v>51</v>
      </c>
      <c r="J1135" s="57">
        <v>1650</v>
      </c>
      <c r="K1135" s="58"/>
      <c r="L1135" s="114">
        <f>3-1</f>
        <v>2</v>
      </c>
      <c r="M1135" s="60"/>
      <c r="N1135" s="61"/>
      <c r="O1135" s="61"/>
      <c r="P1135" s="77">
        <f>0</f>
        <v>0</v>
      </c>
      <c r="Q1135" s="77">
        <f>2-1</f>
        <v>1</v>
      </c>
      <c r="R1135" s="77">
        <f>0</f>
        <v>0</v>
      </c>
      <c r="S1135" s="77">
        <f>0</f>
        <v>0</v>
      </c>
      <c r="T1135" s="77">
        <f>1</f>
        <v>1</v>
      </c>
      <c r="U1135" s="77">
        <f>0</f>
        <v>0</v>
      </c>
      <c r="V1135" s="77">
        <f>0</f>
        <v>0</v>
      </c>
      <c r="W1135" s="63"/>
      <c r="X1135" s="63"/>
      <c r="Z1135" s="63"/>
      <c r="AA1135" s="113"/>
      <c r="AB1135" s="113"/>
      <c r="AC1135" s="113"/>
    </row>
    <row r="1136" spans="1:29" ht="60" hidden="1" customHeight="1" x14ac:dyDescent="0.2">
      <c r="A1136" s="50" t="s">
        <v>1880</v>
      </c>
      <c r="B1136" s="74"/>
      <c r="C1136" s="66" t="s">
        <v>1881</v>
      </c>
      <c r="D1136" s="53" t="s">
        <v>58</v>
      </c>
      <c r="E1136" s="54" t="s">
        <v>585</v>
      </c>
      <c r="F1136" s="67" t="s">
        <v>1877</v>
      </c>
      <c r="G1136" s="67" t="s">
        <v>68</v>
      </c>
      <c r="H1136" s="57" t="s">
        <v>37</v>
      </c>
      <c r="I1136" s="55" t="s">
        <v>51</v>
      </c>
      <c r="J1136" s="57">
        <v>1650</v>
      </c>
      <c r="K1136" s="58"/>
      <c r="L1136" s="114">
        <f>0</f>
        <v>0</v>
      </c>
      <c r="M1136" s="60"/>
      <c r="N1136" s="61"/>
      <c r="O1136" s="61"/>
      <c r="P1136" s="77">
        <f>0</f>
        <v>0</v>
      </c>
      <c r="Q1136" s="77">
        <f>0</f>
        <v>0</v>
      </c>
      <c r="R1136" s="77">
        <f>0</f>
        <v>0</v>
      </c>
      <c r="S1136" s="77">
        <f>0</f>
        <v>0</v>
      </c>
      <c r="T1136" s="77">
        <f>0</f>
        <v>0</v>
      </c>
      <c r="U1136" s="77">
        <f>0</f>
        <v>0</v>
      </c>
      <c r="V1136" s="77">
        <f>0</f>
        <v>0</v>
      </c>
      <c r="W1136" s="63"/>
      <c r="X1136" s="63"/>
      <c r="Z1136" s="63"/>
      <c r="AA1136" s="113"/>
      <c r="AB1136" s="113"/>
      <c r="AC1136" s="113"/>
    </row>
    <row r="1137" spans="1:29" ht="60" customHeight="1" x14ac:dyDescent="0.2">
      <c r="A1137" s="50" t="s">
        <v>1882</v>
      </c>
      <c r="B1137" s="74"/>
      <c r="C1137" s="66" t="s">
        <v>1883</v>
      </c>
      <c r="D1137" s="53" t="s">
        <v>48</v>
      </c>
      <c r="E1137" s="54" t="s">
        <v>585</v>
      </c>
      <c r="F1137" s="67" t="s">
        <v>1849</v>
      </c>
      <c r="G1137" s="67" t="s">
        <v>68</v>
      </c>
      <c r="H1137" s="57" t="s">
        <v>37</v>
      </c>
      <c r="I1137" s="55" t="s">
        <v>51</v>
      </c>
      <c r="J1137" s="57">
        <v>1950</v>
      </c>
      <c r="K1137" s="58"/>
      <c r="L1137" s="114">
        <f>5</f>
        <v>5</v>
      </c>
      <c r="M1137" s="60"/>
      <c r="N1137" s="61"/>
      <c r="O1137" s="61"/>
      <c r="P1137" s="77">
        <f>0</f>
        <v>0</v>
      </c>
      <c r="Q1137" s="77">
        <f>1</f>
        <v>1</v>
      </c>
      <c r="R1137" s="77">
        <f>0</f>
        <v>0</v>
      </c>
      <c r="S1137" s="77">
        <f>0</f>
        <v>0</v>
      </c>
      <c r="T1137" s="77">
        <f>1</f>
        <v>1</v>
      </c>
      <c r="U1137" s="77">
        <f>3</f>
        <v>3</v>
      </c>
      <c r="V1137" s="77">
        <f>0</f>
        <v>0</v>
      </c>
      <c r="W1137" s="63"/>
      <c r="X1137" s="63"/>
      <c r="Z1137" s="63"/>
      <c r="AA1137" s="113"/>
      <c r="AB1137" s="113"/>
      <c r="AC1137" s="113"/>
    </row>
    <row r="1138" spans="1:29" ht="60" hidden="1" customHeight="1" x14ac:dyDescent="0.2">
      <c r="A1138" s="50" t="s">
        <v>1884</v>
      </c>
      <c r="B1138" s="74"/>
      <c r="C1138" s="66" t="s">
        <v>1885</v>
      </c>
      <c r="D1138" s="53" t="s">
        <v>48</v>
      </c>
      <c r="E1138" s="54" t="s">
        <v>585</v>
      </c>
      <c r="F1138" s="55" t="s">
        <v>1849</v>
      </c>
      <c r="G1138" s="67" t="s">
        <v>68</v>
      </c>
      <c r="H1138" s="57" t="s">
        <v>37</v>
      </c>
      <c r="I1138" s="55" t="s">
        <v>637</v>
      </c>
      <c r="J1138" s="57">
        <v>1950</v>
      </c>
      <c r="K1138" s="58"/>
      <c r="L1138" s="114">
        <f>0</f>
        <v>0</v>
      </c>
      <c r="M1138" s="60"/>
      <c r="N1138" s="61"/>
      <c r="O1138" s="61"/>
      <c r="P1138" s="77">
        <f>0</f>
        <v>0</v>
      </c>
      <c r="Q1138" s="77">
        <f>0</f>
        <v>0</v>
      </c>
      <c r="R1138" s="77">
        <f>0</f>
        <v>0</v>
      </c>
      <c r="S1138" s="77">
        <f>0</f>
        <v>0</v>
      </c>
      <c r="T1138" s="77">
        <f>0</f>
        <v>0</v>
      </c>
      <c r="U1138" s="77">
        <f>0</f>
        <v>0</v>
      </c>
      <c r="V1138" s="77">
        <f>0</f>
        <v>0</v>
      </c>
      <c r="W1138" s="63"/>
      <c r="X1138" s="63"/>
      <c r="Z1138" s="63"/>
      <c r="AA1138" s="113"/>
      <c r="AB1138" s="113"/>
      <c r="AC1138" s="113"/>
    </row>
    <row r="1139" spans="1:29" ht="60" customHeight="1" x14ac:dyDescent="0.2">
      <c r="A1139" s="50" t="s">
        <v>1886</v>
      </c>
      <c r="B1139" s="74"/>
      <c r="C1139" s="66" t="s">
        <v>1887</v>
      </c>
      <c r="D1139" s="53" t="s">
        <v>48</v>
      </c>
      <c r="E1139" s="54" t="s">
        <v>585</v>
      </c>
      <c r="F1139" s="55" t="s">
        <v>1849</v>
      </c>
      <c r="G1139" s="67" t="s">
        <v>68</v>
      </c>
      <c r="H1139" s="57" t="s">
        <v>37</v>
      </c>
      <c r="I1139" s="55" t="s">
        <v>637</v>
      </c>
      <c r="J1139" s="57">
        <v>2000</v>
      </c>
      <c r="K1139" s="58"/>
      <c r="L1139" s="114">
        <f>5-1</f>
        <v>4</v>
      </c>
      <c r="M1139" s="60"/>
      <c r="N1139" s="61"/>
      <c r="O1139" s="61"/>
      <c r="P1139" s="77">
        <f>0</f>
        <v>0</v>
      </c>
      <c r="Q1139" s="77">
        <f>2</f>
        <v>2</v>
      </c>
      <c r="R1139" s="77">
        <f>1</f>
        <v>1</v>
      </c>
      <c r="S1139" s="77">
        <f>1</f>
        <v>1</v>
      </c>
      <c r="T1139" s="77">
        <f>1-1</f>
        <v>0</v>
      </c>
      <c r="U1139" s="77">
        <f>0</f>
        <v>0</v>
      </c>
      <c r="V1139" s="77">
        <f>0</f>
        <v>0</v>
      </c>
      <c r="W1139" s="63"/>
      <c r="X1139" s="63"/>
      <c r="Z1139" s="63"/>
      <c r="AA1139" s="113"/>
      <c r="AB1139" s="113"/>
      <c r="AC1139" s="113"/>
    </row>
    <row r="1140" spans="1:29" ht="60" customHeight="1" x14ac:dyDescent="0.2">
      <c r="A1140" s="50" t="s">
        <v>1888</v>
      </c>
      <c r="B1140" s="74"/>
      <c r="C1140" s="66" t="s">
        <v>1889</v>
      </c>
      <c r="D1140" s="53" t="s">
        <v>48</v>
      </c>
      <c r="E1140" s="54" t="s">
        <v>585</v>
      </c>
      <c r="F1140" s="55" t="s">
        <v>1849</v>
      </c>
      <c r="G1140" s="67" t="s">
        <v>68</v>
      </c>
      <c r="H1140" s="57" t="s">
        <v>37</v>
      </c>
      <c r="I1140" s="55" t="s">
        <v>637</v>
      </c>
      <c r="J1140" s="57">
        <v>1750</v>
      </c>
      <c r="K1140" s="58"/>
      <c r="L1140" s="114">
        <f>3-1</f>
        <v>2</v>
      </c>
      <c r="M1140" s="60"/>
      <c r="N1140" s="61"/>
      <c r="O1140" s="61"/>
      <c r="P1140" s="77">
        <f>0</f>
        <v>0</v>
      </c>
      <c r="Q1140" s="77">
        <f>1-1</f>
        <v>0</v>
      </c>
      <c r="R1140" s="77">
        <f>2-1</f>
        <v>1</v>
      </c>
      <c r="S1140" s="77">
        <f>0</f>
        <v>0</v>
      </c>
      <c r="T1140" s="77">
        <f>0</f>
        <v>0</v>
      </c>
      <c r="U1140" s="77">
        <f>1</f>
        <v>1</v>
      </c>
      <c r="V1140" s="77">
        <f>0</f>
        <v>0</v>
      </c>
      <c r="W1140" s="63"/>
      <c r="X1140" s="63"/>
      <c r="Z1140" s="63"/>
      <c r="AA1140" s="113"/>
      <c r="AB1140" s="113"/>
      <c r="AC1140" s="113"/>
    </row>
    <row r="1141" spans="1:29" ht="60" customHeight="1" x14ac:dyDescent="0.2">
      <c r="A1141" s="50" t="s">
        <v>1890</v>
      </c>
      <c r="B1141" s="74"/>
      <c r="C1141" s="66" t="s">
        <v>1891</v>
      </c>
      <c r="D1141" s="57" t="s">
        <v>48</v>
      </c>
      <c r="E1141" s="54" t="s">
        <v>585</v>
      </c>
      <c r="F1141" s="55" t="s">
        <v>1849</v>
      </c>
      <c r="G1141" s="67" t="s">
        <v>68</v>
      </c>
      <c r="H1141" s="57" t="s">
        <v>37</v>
      </c>
      <c r="I1141" s="55" t="s">
        <v>1565</v>
      </c>
      <c r="J1141" s="57">
        <v>1650</v>
      </c>
      <c r="K1141" s="58"/>
      <c r="L1141" s="114">
        <f>9</f>
        <v>9</v>
      </c>
      <c r="M1141" s="60"/>
      <c r="N1141" s="61"/>
      <c r="O1141" s="61"/>
      <c r="P1141" s="77">
        <f>0</f>
        <v>0</v>
      </c>
      <c r="Q1141" s="77">
        <f>2</f>
        <v>2</v>
      </c>
      <c r="R1141" s="77">
        <f>1</f>
        <v>1</v>
      </c>
      <c r="S1141" s="77">
        <f>3</f>
        <v>3</v>
      </c>
      <c r="T1141" s="77">
        <f>2</f>
        <v>2</v>
      </c>
      <c r="U1141" s="77">
        <f>1</f>
        <v>1</v>
      </c>
      <c r="V1141" s="77">
        <f>0</f>
        <v>0</v>
      </c>
      <c r="W1141" s="63"/>
      <c r="X1141" s="63"/>
      <c r="Z1141" s="63"/>
      <c r="AA1141" s="113"/>
      <c r="AB1141" s="113"/>
      <c r="AC1141" s="113"/>
    </row>
    <row r="1142" spans="1:29" ht="60" customHeight="1" x14ac:dyDescent="0.2">
      <c r="A1142" s="50" t="s">
        <v>1892</v>
      </c>
      <c r="B1142" s="74"/>
      <c r="C1142" s="66" t="s">
        <v>1893</v>
      </c>
      <c r="D1142" s="57" t="s">
        <v>48</v>
      </c>
      <c r="E1142" s="54" t="s">
        <v>585</v>
      </c>
      <c r="F1142" s="55" t="s">
        <v>1849</v>
      </c>
      <c r="G1142" s="67" t="s">
        <v>68</v>
      </c>
      <c r="H1142" s="57" t="s">
        <v>37</v>
      </c>
      <c r="I1142" s="55" t="s">
        <v>637</v>
      </c>
      <c r="J1142" s="57">
        <v>1950</v>
      </c>
      <c r="K1142" s="58"/>
      <c r="L1142" s="114">
        <f>9</f>
        <v>9</v>
      </c>
      <c r="M1142" s="60"/>
      <c r="N1142" s="61"/>
      <c r="O1142" s="61"/>
      <c r="P1142" s="77">
        <f>0</f>
        <v>0</v>
      </c>
      <c r="Q1142" s="77">
        <f>3</f>
        <v>3</v>
      </c>
      <c r="R1142" s="77">
        <f>3</f>
        <v>3</v>
      </c>
      <c r="S1142" s="77">
        <f>1</f>
        <v>1</v>
      </c>
      <c r="T1142" s="77">
        <f>0</f>
        <v>0</v>
      </c>
      <c r="U1142" s="77">
        <f>2</f>
        <v>2</v>
      </c>
      <c r="V1142" s="77">
        <f>0</f>
        <v>0</v>
      </c>
      <c r="W1142" s="63"/>
      <c r="X1142" s="63"/>
      <c r="Z1142" s="63"/>
      <c r="AA1142" s="113"/>
      <c r="AB1142" s="113"/>
      <c r="AC1142" s="113"/>
    </row>
    <row r="1143" spans="1:29" ht="60" customHeight="1" x14ac:dyDescent="0.2">
      <c r="A1143" s="50" t="s">
        <v>1894</v>
      </c>
      <c r="B1143" s="74"/>
      <c r="C1143" s="66" t="s">
        <v>1895</v>
      </c>
      <c r="D1143" s="53" t="s">
        <v>48</v>
      </c>
      <c r="E1143" s="54" t="s">
        <v>585</v>
      </c>
      <c r="F1143" s="67" t="s">
        <v>1849</v>
      </c>
      <c r="G1143" s="67" t="s">
        <v>68</v>
      </c>
      <c r="H1143" s="57" t="s">
        <v>37</v>
      </c>
      <c r="I1143" s="122" t="s">
        <v>637</v>
      </c>
      <c r="J1143" s="57">
        <v>1850</v>
      </c>
      <c r="K1143" s="58"/>
      <c r="L1143" s="114">
        <f>9-1</f>
        <v>8</v>
      </c>
      <c r="M1143" s="60"/>
      <c r="N1143" s="61"/>
      <c r="O1143" s="61"/>
      <c r="P1143" s="77">
        <f>0</f>
        <v>0</v>
      </c>
      <c r="Q1143" s="77">
        <f>1</f>
        <v>1</v>
      </c>
      <c r="R1143" s="77">
        <f>3-1</f>
        <v>2</v>
      </c>
      <c r="S1143" s="77">
        <f>5-1</f>
        <v>4</v>
      </c>
      <c r="T1143" s="77">
        <f>2-1</f>
        <v>1</v>
      </c>
      <c r="U1143" s="77">
        <f>1-1</f>
        <v>0</v>
      </c>
      <c r="V1143" s="77">
        <f>0</f>
        <v>0</v>
      </c>
      <c r="W1143" s="63"/>
      <c r="X1143" s="63"/>
      <c r="Z1143" s="63"/>
      <c r="AA1143" s="113"/>
      <c r="AB1143" s="113"/>
      <c r="AC1143" s="113"/>
    </row>
    <row r="1144" spans="1:29" ht="60" hidden="1" customHeight="1" x14ac:dyDescent="0.2">
      <c r="A1144" s="50" t="s">
        <v>1896</v>
      </c>
      <c r="B1144" s="51"/>
      <c r="C1144" s="68" t="s">
        <v>1897</v>
      </c>
      <c r="D1144" s="53" t="s">
        <v>48</v>
      </c>
      <c r="E1144" s="54" t="s">
        <v>585</v>
      </c>
      <c r="F1144" s="55" t="s">
        <v>1874</v>
      </c>
      <c r="G1144" s="67" t="s">
        <v>68</v>
      </c>
      <c r="H1144" s="57" t="s">
        <v>37</v>
      </c>
      <c r="I1144" s="55" t="s">
        <v>51</v>
      </c>
      <c r="J1144" s="89">
        <v>2750</v>
      </c>
      <c r="K1144" s="58"/>
      <c r="L1144" s="114">
        <f>0</f>
        <v>0</v>
      </c>
      <c r="M1144" s="60"/>
      <c r="N1144" s="61"/>
      <c r="O1144" s="61"/>
      <c r="P1144" s="77">
        <f>0</f>
        <v>0</v>
      </c>
      <c r="Q1144" s="77">
        <f>0</f>
        <v>0</v>
      </c>
      <c r="R1144" s="77">
        <f>0</f>
        <v>0</v>
      </c>
      <c r="S1144" s="77">
        <f>0</f>
        <v>0</v>
      </c>
      <c r="T1144" s="77">
        <f>0</f>
        <v>0</v>
      </c>
      <c r="U1144" s="77">
        <f>0</f>
        <v>0</v>
      </c>
      <c r="V1144" s="77">
        <f>0</f>
        <v>0</v>
      </c>
      <c r="W1144" s="63"/>
      <c r="X1144" s="63"/>
      <c r="Z1144" s="63"/>
      <c r="AA1144" s="113"/>
      <c r="AB1144" s="113"/>
      <c r="AC1144" s="113"/>
    </row>
    <row r="1145" spans="1:29" ht="60" customHeight="1" x14ac:dyDescent="0.2">
      <c r="A1145" s="50" t="s">
        <v>1898</v>
      </c>
      <c r="B1145" s="74"/>
      <c r="C1145" s="54" t="s">
        <v>1899</v>
      </c>
      <c r="D1145" s="57" t="s">
        <v>58</v>
      </c>
      <c r="E1145" s="54" t="s">
        <v>585</v>
      </c>
      <c r="F1145" s="55" t="s">
        <v>1877</v>
      </c>
      <c r="G1145" s="67" t="s">
        <v>68</v>
      </c>
      <c r="H1145" s="57" t="s">
        <v>37</v>
      </c>
      <c r="I1145" s="55" t="s">
        <v>51</v>
      </c>
      <c r="J1145" s="57">
        <v>2750</v>
      </c>
      <c r="K1145" s="58"/>
      <c r="L1145" s="114">
        <f>5</f>
        <v>5</v>
      </c>
      <c r="M1145" s="60"/>
      <c r="N1145" s="61"/>
      <c r="O1145" s="61"/>
      <c r="P1145" s="77">
        <f>1</f>
        <v>1</v>
      </c>
      <c r="Q1145" s="77">
        <f>1</f>
        <v>1</v>
      </c>
      <c r="R1145" s="77">
        <f>3</f>
        <v>3</v>
      </c>
      <c r="S1145" s="77">
        <f>0</f>
        <v>0</v>
      </c>
      <c r="T1145" s="77">
        <f>0</f>
        <v>0</v>
      </c>
      <c r="U1145" s="77">
        <f>0</f>
        <v>0</v>
      </c>
      <c r="V1145" s="77">
        <f>0</f>
        <v>0</v>
      </c>
      <c r="W1145" s="63"/>
      <c r="X1145" s="63"/>
      <c r="Z1145" s="63"/>
      <c r="AA1145" s="113"/>
      <c r="AB1145" s="113"/>
      <c r="AC1145" s="113"/>
    </row>
    <row r="1146" spans="1:29" ht="60" hidden="1" customHeight="1" x14ac:dyDescent="0.2">
      <c r="A1146" s="50" t="s">
        <v>1900</v>
      </c>
      <c r="B1146" s="74"/>
      <c r="C1146" s="66" t="s">
        <v>1901</v>
      </c>
      <c r="D1146" s="53" t="s">
        <v>48</v>
      </c>
      <c r="E1146" s="54" t="s">
        <v>585</v>
      </c>
      <c r="F1146" s="55" t="s">
        <v>1874</v>
      </c>
      <c r="G1146" s="67" t="s">
        <v>68</v>
      </c>
      <c r="H1146" s="57" t="s">
        <v>37</v>
      </c>
      <c r="I1146" s="55" t="s">
        <v>51</v>
      </c>
      <c r="J1146" s="57">
        <v>1950</v>
      </c>
      <c r="K1146" s="58"/>
      <c r="L1146" s="114">
        <f>0</f>
        <v>0</v>
      </c>
      <c r="M1146" s="60"/>
      <c r="N1146" s="61"/>
      <c r="O1146" s="61"/>
      <c r="P1146" s="77">
        <f>0</f>
        <v>0</v>
      </c>
      <c r="Q1146" s="77">
        <f>0</f>
        <v>0</v>
      </c>
      <c r="R1146" s="77">
        <f>0</f>
        <v>0</v>
      </c>
      <c r="S1146" s="77">
        <f>0</f>
        <v>0</v>
      </c>
      <c r="T1146" s="77">
        <f>0</f>
        <v>0</v>
      </c>
      <c r="U1146" s="77">
        <f>0</f>
        <v>0</v>
      </c>
      <c r="V1146" s="77">
        <f>0</f>
        <v>0</v>
      </c>
      <c r="W1146" s="63"/>
      <c r="X1146" s="63"/>
      <c r="Z1146" s="63"/>
      <c r="AA1146" s="113"/>
      <c r="AB1146" s="113"/>
      <c r="AC1146" s="113"/>
    </row>
    <row r="1147" spans="1:29" ht="60" customHeight="1" x14ac:dyDescent="0.2">
      <c r="A1147" s="50" t="s">
        <v>1902</v>
      </c>
      <c r="B1147" s="74"/>
      <c r="C1147" s="66" t="s">
        <v>1903</v>
      </c>
      <c r="D1147" s="57" t="s">
        <v>58</v>
      </c>
      <c r="E1147" s="54" t="s">
        <v>585</v>
      </c>
      <c r="F1147" s="55" t="s">
        <v>1877</v>
      </c>
      <c r="G1147" s="67" t="s">
        <v>68</v>
      </c>
      <c r="H1147" s="57" t="s">
        <v>37</v>
      </c>
      <c r="I1147" s="55" t="s">
        <v>51</v>
      </c>
      <c r="J1147" s="57">
        <v>1950</v>
      </c>
      <c r="K1147" s="58"/>
      <c r="L1147" s="114">
        <f>6-1</f>
        <v>5</v>
      </c>
      <c r="M1147" s="60"/>
      <c r="N1147" s="61"/>
      <c r="O1147" s="61"/>
      <c r="P1147" s="77">
        <f>2</f>
        <v>2</v>
      </c>
      <c r="Q1147" s="77">
        <f>1</f>
        <v>1</v>
      </c>
      <c r="R1147" s="77">
        <f>3-1</f>
        <v>2</v>
      </c>
      <c r="S1147" s="77">
        <f>0</f>
        <v>0</v>
      </c>
      <c r="T1147" s="77">
        <f>0</f>
        <v>0</v>
      </c>
      <c r="U1147" s="77">
        <f>0</f>
        <v>0</v>
      </c>
      <c r="V1147" s="77">
        <f>0</f>
        <v>0</v>
      </c>
      <c r="W1147" s="63"/>
      <c r="X1147" s="63"/>
      <c r="Z1147" s="63"/>
      <c r="AA1147" s="113"/>
      <c r="AB1147" s="113"/>
      <c r="AC1147" s="113"/>
    </row>
    <row r="1148" spans="1:29" ht="60" hidden="1" customHeight="1" x14ac:dyDescent="0.2">
      <c r="A1148" s="50" t="s">
        <v>1904</v>
      </c>
      <c r="B1148" s="74"/>
      <c r="C1148" s="66" t="s">
        <v>1905</v>
      </c>
      <c r="D1148" s="53" t="s">
        <v>48</v>
      </c>
      <c r="E1148" s="54" t="s">
        <v>585</v>
      </c>
      <c r="F1148" s="55" t="s">
        <v>1874</v>
      </c>
      <c r="G1148" s="67" t="s">
        <v>68</v>
      </c>
      <c r="H1148" s="57" t="s">
        <v>37</v>
      </c>
      <c r="I1148" s="55" t="s">
        <v>51</v>
      </c>
      <c r="J1148" s="57">
        <v>2350</v>
      </c>
      <c r="K1148" s="58"/>
      <c r="L1148" s="114">
        <f>0</f>
        <v>0</v>
      </c>
      <c r="M1148" s="60"/>
      <c r="N1148" s="61"/>
      <c r="O1148" s="61"/>
      <c r="P1148" s="77">
        <f>0</f>
        <v>0</v>
      </c>
      <c r="Q1148" s="77">
        <f>0</f>
        <v>0</v>
      </c>
      <c r="R1148" s="77">
        <f>0</f>
        <v>0</v>
      </c>
      <c r="S1148" s="77">
        <f>0</f>
        <v>0</v>
      </c>
      <c r="T1148" s="77">
        <f>0</f>
        <v>0</v>
      </c>
      <c r="U1148" s="77">
        <f>0</f>
        <v>0</v>
      </c>
      <c r="V1148" s="77">
        <f>0</f>
        <v>0</v>
      </c>
      <c r="W1148" s="63"/>
      <c r="X1148" s="63"/>
      <c r="Z1148" s="63"/>
      <c r="AA1148" s="113"/>
      <c r="AB1148" s="113"/>
      <c r="AC1148" s="113"/>
    </row>
    <row r="1149" spans="1:29" ht="60" customHeight="1" x14ac:dyDescent="0.2">
      <c r="A1149" s="50" t="s">
        <v>1906</v>
      </c>
      <c r="B1149" s="74"/>
      <c r="C1149" s="66" t="s">
        <v>1907</v>
      </c>
      <c r="D1149" s="57" t="s">
        <v>58</v>
      </c>
      <c r="E1149" s="54" t="s">
        <v>585</v>
      </c>
      <c r="F1149" s="55" t="s">
        <v>1877</v>
      </c>
      <c r="G1149" s="67" t="s">
        <v>68</v>
      </c>
      <c r="H1149" s="57" t="s">
        <v>37</v>
      </c>
      <c r="I1149" s="55" t="s">
        <v>51</v>
      </c>
      <c r="J1149" s="57">
        <v>2350</v>
      </c>
      <c r="K1149" s="58"/>
      <c r="L1149" s="114">
        <f>1</f>
        <v>1</v>
      </c>
      <c r="M1149" s="60"/>
      <c r="N1149" s="61"/>
      <c r="O1149" s="61"/>
      <c r="P1149" s="77">
        <f>1</f>
        <v>1</v>
      </c>
      <c r="Q1149" s="77">
        <f>0</f>
        <v>0</v>
      </c>
      <c r="R1149" s="77">
        <f>0</f>
        <v>0</v>
      </c>
      <c r="S1149" s="77">
        <f>0</f>
        <v>0</v>
      </c>
      <c r="T1149" s="77">
        <f>0</f>
        <v>0</v>
      </c>
      <c r="U1149" s="77">
        <f>0</f>
        <v>0</v>
      </c>
      <c r="V1149" s="77">
        <f>0</f>
        <v>0</v>
      </c>
      <c r="W1149" s="63"/>
      <c r="X1149" s="63"/>
      <c r="Z1149" s="63"/>
      <c r="AA1149" s="113"/>
      <c r="AB1149" s="113"/>
      <c r="AC1149" s="113"/>
    </row>
    <row r="1150" spans="1:29" ht="60" customHeight="1" x14ac:dyDescent="0.2">
      <c r="A1150" s="50" t="s">
        <v>1908</v>
      </c>
      <c r="B1150" s="74"/>
      <c r="C1150" s="66" t="s">
        <v>1909</v>
      </c>
      <c r="D1150" s="53" t="s">
        <v>48</v>
      </c>
      <c r="E1150" s="54" t="s">
        <v>585</v>
      </c>
      <c r="F1150" s="55" t="s">
        <v>1874</v>
      </c>
      <c r="G1150" s="67" t="s">
        <v>68</v>
      </c>
      <c r="H1150" s="57" t="s">
        <v>37</v>
      </c>
      <c r="I1150" s="55" t="s">
        <v>51</v>
      </c>
      <c r="J1150" s="57">
        <v>2350</v>
      </c>
      <c r="K1150" s="58"/>
      <c r="L1150" s="114">
        <f>3</f>
        <v>3</v>
      </c>
      <c r="M1150" s="60"/>
      <c r="N1150" s="61"/>
      <c r="O1150" s="61"/>
      <c r="P1150" s="77">
        <f>0</f>
        <v>0</v>
      </c>
      <c r="Q1150" s="77">
        <f>1</f>
        <v>1</v>
      </c>
      <c r="R1150" s="77">
        <f>0</f>
        <v>0</v>
      </c>
      <c r="S1150" s="77">
        <f>0</f>
        <v>0</v>
      </c>
      <c r="T1150" s="77">
        <f>1</f>
        <v>1</v>
      </c>
      <c r="U1150" s="77">
        <f>1</f>
        <v>1</v>
      </c>
      <c r="V1150" s="77">
        <f>0</f>
        <v>0</v>
      </c>
      <c r="W1150" s="63"/>
      <c r="X1150" s="63"/>
      <c r="Z1150" s="63"/>
      <c r="AA1150" s="113"/>
      <c r="AB1150" s="113"/>
      <c r="AC1150" s="113"/>
    </row>
    <row r="1151" spans="1:29" ht="60" hidden="1" customHeight="1" x14ac:dyDescent="0.2">
      <c r="A1151" s="50" t="s">
        <v>1910</v>
      </c>
      <c r="B1151" s="74"/>
      <c r="C1151" s="66" t="s">
        <v>1911</v>
      </c>
      <c r="D1151" s="57" t="s">
        <v>58</v>
      </c>
      <c r="E1151" s="54" t="s">
        <v>585</v>
      </c>
      <c r="F1151" s="55" t="s">
        <v>1877</v>
      </c>
      <c r="G1151" s="67" t="s">
        <v>68</v>
      </c>
      <c r="H1151" s="57" t="s">
        <v>37</v>
      </c>
      <c r="I1151" s="55" t="s">
        <v>51</v>
      </c>
      <c r="J1151" s="57">
        <v>2350</v>
      </c>
      <c r="K1151" s="58"/>
      <c r="L1151" s="114">
        <f>0</f>
        <v>0</v>
      </c>
      <c r="M1151" s="60"/>
      <c r="N1151" s="61"/>
      <c r="O1151" s="61"/>
      <c r="P1151" s="77">
        <f>0</f>
        <v>0</v>
      </c>
      <c r="Q1151" s="77">
        <f>0</f>
        <v>0</v>
      </c>
      <c r="R1151" s="77">
        <f>0</f>
        <v>0</v>
      </c>
      <c r="S1151" s="77">
        <f>0</f>
        <v>0</v>
      </c>
      <c r="T1151" s="77">
        <f>0</f>
        <v>0</v>
      </c>
      <c r="U1151" s="77">
        <f>0</f>
        <v>0</v>
      </c>
      <c r="V1151" s="77">
        <f>0</f>
        <v>0</v>
      </c>
      <c r="W1151" s="63"/>
      <c r="X1151" s="63"/>
      <c r="Z1151" s="63"/>
      <c r="AA1151" s="113"/>
      <c r="AB1151" s="113"/>
      <c r="AC1151" s="113"/>
    </row>
    <row r="1152" spans="1:29" ht="60" customHeight="1" x14ac:dyDescent="0.2">
      <c r="A1152" s="50" t="s">
        <v>1912</v>
      </c>
      <c r="B1152" s="51"/>
      <c r="C1152" s="66" t="s">
        <v>1913</v>
      </c>
      <c r="D1152" s="53" t="s">
        <v>48</v>
      </c>
      <c r="E1152" s="54" t="s">
        <v>585</v>
      </c>
      <c r="F1152" s="55" t="s">
        <v>1874</v>
      </c>
      <c r="G1152" s="67" t="s">
        <v>68</v>
      </c>
      <c r="H1152" s="57" t="s">
        <v>37</v>
      </c>
      <c r="I1152" s="55" t="s">
        <v>51</v>
      </c>
      <c r="J1152" s="57">
        <v>1950</v>
      </c>
      <c r="K1152" s="58"/>
      <c r="L1152" s="114">
        <f>4</f>
        <v>4</v>
      </c>
      <c r="M1152" s="60"/>
      <c r="N1152" s="61"/>
      <c r="O1152" s="61"/>
      <c r="P1152" s="77">
        <f>0</f>
        <v>0</v>
      </c>
      <c r="Q1152" s="77">
        <f>2</f>
        <v>2</v>
      </c>
      <c r="R1152" s="77">
        <f>1</f>
        <v>1</v>
      </c>
      <c r="S1152" s="77">
        <f>0</f>
        <v>0</v>
      </c>
      <c r="T1152" s="77">
        <f>0</f>
        <v>0</v>
      </c>
      <c r="U1152" s="77">
        <f>0</f>
        <v>0</v>
      </c>
      <c r="V1152" s="77">
        <f>1</f>
        <v>1</v>
      </c>
      <c r="W1152" s="63"/>
      <c r="X1152" s="63"/>
      <c r="Z1152" s="63"/>
      <c r="AA1152" s="113"/>
      <c r="AB1152" s="113"/>
      <c r="AC1152" s="113"/>
    </row>
    <row r="1153" spans="1:29" ht="60" customHeight="1" x14ac:dyDescent="0.2">
      <c r="A1153" s="50" t="s">
        <v>1914</v>
      </c>
      <c r="B1153" s="74"/>
      <c r="C1153" s="87" t="s">
        <v>1915</v>
      </c>
      <c r="D1153" s="57" t="s">
        <v>58</v>
      </c>
      <c r="E1153" s="54" t="s">
        <v>585</v>
      </c>
      <c r="F1153" s="55" t="s">
        <v>1877</v>
      </c>
      <c r="G1153" s="67" t="s">
        <v>68</v>
      </c>
      <c r="H1153" s="57" t="s">
        <v>37</v>
      </c>
      <c r="I1153" s="55" t="s">
        <v>51</v>
      </c>
      <c r="J1153" s="57">
        <v>1950</v>
      </c>
      <c r="K1153" s="58"/>
      <c r="L1153" s="132">
        <f>1</f>
        <v>1</v>
      </c>
      <c r="M1153" s="60"/>
      <c r="N1153" s="61"/>
      <c r="O1153" s="61"/>
      <c r="P1153" s="77">
        <f>0</f>
        <v>0</v>
      </c>
      <c r="Q1153" s="77">
        <f>1</f>
        <v>1</v>
      </c>
      <c r="R1153" s="77">
        <f>0</f>
        <v>0</v>
      </c>
      <c r="S1153" s="77">
        <f>0</f>
        <v>0</v>
      </c>
      <c r="T1153" s="77">
        <f>0</f>
        <v>0</v>
      </c>
      <c r="U1153" s="77">
        <f>0</f>
        <v>0</v>
      </c>
      <c r="V1153" s="77">
        <f>0</f>
        <v>0</v>
      </c>
      <c r="W1153" s="63"/>
      <c r="X1153" s="63"/>
      <c r="Z1153" s="63"/>
      <c r="AA1153" s="113"/>
      <c r="AB1153" s="113"/>
      <c r="AC1153" s="113"/>
    </row>
    <row r="1154" spans="1:29" ht="60" customHeight="1" x14ac:dyDescent="0.2">
      <c r="A1154" s="50" t="s">
        <v>1916</v>
      </c>
      <c r="B1154" s="51"/>
      <c r="C1154" s="66" t="s">
        <v>1917</v>
      </c>
      <c r="D1154" s="53" t="s">
        <v>48</v>
      </c>
      <c r="E1154" s="54" t="s">
        <v>585</v>
      </c>
      <c r="F1154" s="55" t="s">
        <v>1874</v>
      </c>
      <c r="G1154" s="67" t="s">
        <v>68</v>
      </c>
      <c r="H1154" s="57" t="s">
        <v>37</v>
      </c>
      <c r="I1154" s="55" t="s">
        <v>51</v>
      </c>
      <c r="J1154" s="57">
        <v>1950</v>
      </c>
      <c r="K1154" s="58"/>
      <c r="L1154" s="132">
        <f>1</f>
        <v>1</v>
      </c>
      <c r="M1154" s="60"/>
      <c r="N1154" s="61"/>
      <c r="O1154" s="61"/>
      <c r="P1154" s="77">
        <f>0</f>
        <v>0</v>
      </c>
      <c r="Q1154" s="77">
        <f>0</f>
        <v>0</v>
      </c>
      <c r="R1154" s="77">
        <f>1</f>
        <v>1</v>
      </c>
      <c r="S1154" s="77">
        <f>0</f>
        <v>0</v>
      </c>
      <c r="T1154" s="77">
        <f>0</f>
        <v>0</v>
      </c>
      <c r="U1154" s="77">
        <f>0</f>
        <v>0</v>
      </c>
      <c r="V1154" s="77">
        <f>0</f>
        <v>0</v>
      </c>
      <c r="W1154" s="63"/>
      <c r="X1154" s="63"/>
      <c r="Z1154" s="63"/>
      <c r="AA1154" s="113"/>
      <c r="AB1154" s="113"/>
      <c r="AC1154" s="113"/>
    </row>
    <row r="1155" spans="1:29" ht="60" customHeight="1" x14ac:dyDescent="0.2">
      <c r="A1155" s="50" t="s">
        <v>1918</v>
      </c>
      <c r="B1155" s="51"/>
      <c r="C1155" s="66" t="s">
        <v>1919</v>
      </c>
      <c r="D1155" s="53" t="s">
        <v>58</v>
      </c>
      <c r="E1155" s="54" t="s">
        <v>585</v>
      </c>
      <c r="F1155" s="55" t="s">
        <v>1874</v>
      </c>
      <c r="G1155" s="67" t="s">
        <v>68</v>
      </c>
      <c r="H1155" s="57" t="s">
        <v>37</v>
      </c>
      <c r="I1155" s="55" t="s">
        <v>51</v>
      </c>
      <c r="J1155" s="57">
        <v>1950</v>
      </c>
      <c r="K1155" s="58"/>
      <c r="L1155" s="132">
        <f>6</f>
        <v>6</v>
      </c>
      <c r="M1155" s="60"/>
      <c r="N1155" s="61"/>
      <c r="O1155" s="61"/>
      <c r="P1155" s="77">
        <f>1</f>
        <v>1</v>
      </c>
      <c r="Q1155" s="77">
        <f>3</f>
        <v>3</v>
      </c>
      <c r="R1155" s="77">
        <f>0</f>
        <v>0</v>
      </c>
      <c r="S1155" s="77">
        <f>2</f>
        <v>2</v>
      </c>
      <c r="T1155" s="77">
        <f>0</f>
        <v>0</v>
      </c>
      <c r="U1155" s="77">
        <f>0</f>
        <v>0</v>
      </c>
      <c r="V1155" s="77">
        <f>0</f>
        <v>0</v>
      </c>
      <c r="W1155" s="63"/>
      <c r="X1155" s="63"/>
      <c r="Z1155" s="63"/>
      <c r="AA1155" s="113"/>
      <c r="AB1155" s="113"/>
      <c r="AC1155" s="113"/>
    </row>
    <row r="1156" spans="1:29" ht="60" customHeight="1" x14ac:dyDescent="0.2">
      <c r="A1156" s="50" t="s">
        <v>1920</v>
      </c>
      <c r="B1156" s="74"/>
      <c r="C1156" s="66" t="s">
        <v>1921</v>
      </c>
      <c r="D1156" s="53" t="s">
        <v>48</v>
      </c>
      <c r="E1156" s="54" t="s">
        <v>585</v>
      </c>
      <c r="F1156" s="55" t="s">
        <v>1874</v>
      </c>
      <c r="G1156" s="67" t="s">
        <v>68</v>
      </c>
      <c r="H1156" s="57" t="s">
        <v>37</v>
      </c>
      <c r="I1156" s="55" t="s">
        <v>51</v>
      </c>
      <c r="J1156" s="57">
        <v>1950</v>
      </c>
      <c r="K1156" s="58"/>
      <c r="L1156" s="132">
        <f>6-1</f>
        <v>5</v>
      </c>
      <c r="M1156" s="60"/>
      <c r="N1156" s="61"/>
      <c r="O1156" s="61"/>
      <c r="P1156" s="77">
        <f>0</f>
        <v>0</v>
      </c>
      <c r="Q1156" s="77">
        <f>1</f>
        <v>1</v>
      </c>
      <c r="R1156" s="77">
        <f>2</f>
        <v>2</v>
      </c>
      <c r="S1156" s="77">
        <f>1</f>
        <v>1</v>
      </c>
      <c r="T1156" s="77">
        <f>1</f>
        <v>1</v>
      </c>
      <c r="U1156" s="77">
        <f>1-1</f>
        <v>0</v>
      </c>
      <c r="V1156" s="77">
        <f>0</f>
        <v>0</v>
      </c>
      <c r="W1156" s="63"/>
      <c r="X1156" s="63"/>
      <c r="Z1156" s="63"/>
      <c r="AA1156" s="113"/>
      <c r="AB1156" s="113"/>
      <c r="AC1156" s="113"/>
    </row>
    <row r="1157" spans="1:29" ht="60" customHeight="1" x14ac:dyDescent="0.2">
      <c r="A1157" s="50" t="s">
        <v>1922</v>
      </c>
      <c r="B1157" s="74"/>
      <c r="C1157" s="87" t="s">
        <v>1923</v>
      </c>
      <c r="D1157" s="57" t="s">
        <v>58</v>
      </c>
      <c r="E1157" s="54" t="s">
        <v>585</v>
      </c>
      <c r="F1157" s="55" t="s">
        <v>1877</v>
      </c>
      <c r="G1157" s="67" t="s">
        <v>68</v>
      </c>
      <c r="H1157" s="57" t="s">
        <v>37</v>
      </c>
      <c r="I1157" s="55" t="s">
        <v>51</v>
      </c>
      <c r="J1157" s="57">
        <v>1950</v>
      </c>
      <c r="K1157" s="58"/>
      <c r="L1157" s="132">
        <f>7</f>
        <v>7</v>
      </c>
      <c r="M1157" s="60"/>
      <c r="N1157" s="61"/>
      <c r="O1157" s="61"/>
      <c r="P1157" s="77">
        <f>1</f>
        <v>1</v>
      </c>
      <c r="Q1157" s="77">
        <f>3</f>
        <v>3</v>
      </c>
      <c r="R1157" s="77">
        <f>3</f>
        <v>3</v>
      </c>
      <c r="S1157" s="77">
        <f>0</f>
        <v>0</v>
      </c>
      <c r="T1157" s="77">
        <f>0</f>
        <v>0</v>
      </c>
      <c r="U1157" s="77">
        <f>0</f>
        <v>0</v>
      </c>
      <c r="V1157" s="77">
        <f>0</f>
        <v>0</v>
      </c>
      <c r="W1157" s="63"/>
      <c r="X1157" s="63"/>
      <c r="Z1157" s="63"/>
      <c r="AA1157" s="113"/>
      <c r="AB1157" s="113"/>
      <c r="AC1157" s="113"/>
    </row>
    <row r="1158" spans="1:29" ht="60" hidden="1" customHeight="1" x14ac:dyDescent="0.2">
      <c r="A1158" s="50" t="s">
        <v>1924</v>
      </c>
      <c r="B1158" s="74"/>
      <c r="C1158" s="66" t="s">
        <v>1925</v>
      </c>
      <c r="D1158" s="57" t="s">
        <v>58</v>
      </c>
      <c r="E1158" s="54" t="s">
        <v>585</v>
      </c>
      <c r="F1158" s="55" t="s">
        <v>1877</v>
      </c>
      <c r="G1158" s="67" t="s">
        <v>68</v>
      </c>
      <c r="H1158" s="57" t="s">
        <v>37</v>
      </c>
      <c r="I1158" s="55" t="s">
        <v>51</v>
      </c>
      <c r="J1158" s="57">
        <v>1950</v>
      </c>
      <c r="K1158" s="58"/>
      <c r="L1158" s="132">
        <f>0</f>
        <v>0</v>
      </c>
      <c r="M1158" s="60"/>
      <c r="N1158" s="61"/>
      <c r="O1158" s="61"/>
      <c r="P1158" s="77">
        <f>0</f>
        <v>0</v>
      </c>
      <c r="Q1158" s="77">
        <f>0</f>
        <v>0</v>
      </c>
      <c r="R1158" s="77">
        <f>0</f>
        <v>0</v>
      </c>
      <c r="S1158" s="77">
        <f>0</f>
        <v>0</v>
      </c>
      <c r="T1158" s="77">
        <f>0</f>
        <v>0</v>
      </c>
      <c r="U1158" s="77">
        <f>0</f>
        <v>0</v>
      </c>
      <c r="V1158" s="77">
        <f>0</f>
        <v>0</v>
      </c>
      <c r="W1158" s="63"/>
      <c r="X1158" s="63"/>
      <c r="Z1158" s="63"/>
      <c r="AA1158" s="113"/>
      <c r="AB1158" s="113"/>
      <c r="AC1158" s="113"/>
    </row>
    <row r="1159" spans="1:29" ht="60" hidden="1" customHeight="1" x14ac:dyDescent="0.2">
      <c r="A1159" s="50" t="s">
        <v>1926</v>
      </c>
      <c r="B1159" s="74"/>
      <c r="C1159" s="68" t="s">
        <v>1927</v>
      </c>
      <c r="D1159" s="53" t="s">
        <v>48</v>
      </c>
      <c r="E1159" s="54" t="s">
        <v>585</v>
      </c>
      <c r="F1159" s="55" t="s">
        <v>1874</v>
      </c>
      <c r="G1159" s="67" t="s">
        <v>68</v>
      </c>
      <c r="H1159" s="57" t="s">
        <v>37</v>
      </c>
      <c r="I1159" s="55" t="s">
        <v>51</v>
      </c>
      <c r="J1159" s="57">
        <v>1950</v>
      </c>
      <c r="K1159" s="58"/>
      <c r="L1159" s="132">
        <f>0</f>
        <v>0</v>
      </c>
      <c r="M1159" s="60"/>
      <c r="N1159" s="61"/>
      <c r="O1159" s="61"/>
      <c r="P1159" s="77">
        <f>0</f>
        <v>0</v>
      </c>
      <c r="Q1159" s="77">
        <f>0</f>
        <v>0</v>
      </c>
      <c r="R1159" s="77">
        <f>0</f>
        <v>0</v>
      </c>
      <c r="S1159" s="77">
        <f>0</f>
        <v>0</v>
      </c>
      <c r="T1159" s="77">
        <f>0</f>
        <v>0</v>
      </c>
      <c r="U1159" s="77">
        <f>0</f>
        <v>0</v>
      </c>
      <c r="V1159" s="77">
        <f>0</f>
        <v>0</v>
      </c>
      <c r="W1159" s="63"/>
      <c r="X1159" s="63"/>
      <c r="Z1159" s="63"/>
      <c r="AA1159" s="113"/>
      <c r="AB1159" s="113"/>
      <c r="AC1159" s="113"/>
    </row>
    <row r="1160" spans="1:29" ht="60" customHeight="1" x14ac:dyDescent="0.2">
      <c r="A1160" s="50" t="s">
        <v>1928</v>
      </c>
      <c r="B1160" s="74"/>
      <c r="C1160" s="54" t="s">
        <v>1929</v>
      </c>
      <c r="D1160" s="57" t="s">
        <v>58</v>
      </c>
      <c r="E1160" s="54" t="s">
        <v>585</v>
      </c>
      <c r="F1160" s="55" t="s">
        <v>1877</v>
      </c>
      <c r="G1160" s="67" t="s">
        <v>68</v>
      </c>
      <c r="H1160" s="57" t="s">
        <v>37</v>
      </c>
      <c r="I1160" s="55" t="s">
        <v>51</v>
      </c>
      <c r="J1160" s="57">
        <v>1950</v>
      </c>
      <c r="K1160" s="58"/>
      <c r="L1160" s="132">
        <f>2</f>
        <v>2</v>
      </c>
      <c r="M1160" s="60"/>
      <c r="N1160" s="61"/>
      <c r="O1160" s="61"/>
      <c r="P1160" s="77">
        <f>0</f>
        <v>0</v>
      </c>
      <c r="Q1160" s="77">
        <f>0</f>
        <v>0</v>
      </c>
      <c r="R1160" s="77">
        <f>1</f>
        <v>1</v>
      </c>
      <c r="S1160" s="77">
        <f>1</f>
        <v>1</v>
      </c>
      <c r="T1160" s="77">
        <f>0</f>
        <v>0</v>
      </c>
      <c r="U1160" s="77">
        <f>0</f>
        <v>0</v>
      </c>
      <c r="V1160" s="77">
        <f>0</f>
        <v>0</v>
      </c>
      <c r="W1160" s="63"/>
      <c r="X1160" s="63"/>
      <c r="Z1160" s="63"/>
      <c r="AA1160" s="113"/>
      <c r="AB1160" s="113"/>
      <c r="AC1160" s="113"/>
    </row>
    <row r="1161" spans="1:29" ht="60" customHeight="1" x14ac:dyDescent="0.2">
      <c r="A1161" s="50" t="s">
        <v>1930</v>
      </c>
      <c r="B1161" s="74"/>
      <c r="C1161" s="68" t="s">
        <v>1931</v>
      </c>
      <c r="D1161" s="53" t="s">
        <v>48</v>
      </c>
      <c r="E1161" s="54" t="s">
        <v>585</v>
      </c>
      <c r="F1161" s="55" t="s">
        <v>1874</v>
      </c>
      <c r="G1161" s="67" t="s">
        <v>68</v>
      </c>
      <c r="H1161" s="57" t="s">
        <v>37</v>
      </c>
      <c r="I1161" s="55" t="s">
        <v>51</v>
      </c>
      <c r="J1161" s="57">
        <v>2150</v>
      </c>
      <c r="K1161" s="58"/>
      <c r="L1161" s="132">
        <f>2</f>
        <v>2</v>
      </c>
      <c r="M1161" s="60"/>
      <c r="N1161" s="61"/>
      <c r="O1161" s="61"/>
      <c r="P1161" s="77">
        <f>0</f>
        <v>0</v>
      </c>
      <c r="Q1161" s="77">
        <f>1</f>
        <v>1</v>
      </c>
      <c r="R1161" s="77">
        <f>0</f>
        <v>0</v>
      </c>
      <c r="S1161" s="77">
        <f>1</f>
        <v>1</v>
      </c>
      <c r="T1161" s="77">
        <f>0</f>
        <v>0</v>
      </c>
      <c r="U1161" s="77">
        <f>0</f>
        <v>0</v>
      </c>
      <c r="V1161" s="77">
        <f>0</f>
        <v>0</v>
      </c>
      <c r="W1161" s="63"/>
      <c r="X1161" s="63"/>
      <c r="Z1161" s="63"/>
      <c r="AA1161" s="113"/>
      <c r="AB1161" s="113"/>
      <c r="AC1161" s="113"/>
    </row>
    <row r="1162" spans="1:29" ht="60" hidden="1" customHeight="1" x14ac:dyDescent="0.2">
      <c r="A1162" s="50" t="s">
        <v>1932</v>
      </c>
      <c r="B1162" s="74"/>
      <c r="C1162" s="68" t="s">
        <v>1933</v>
      </c>
      <c r="D1162" s="57" t="s">
        <v>58</v>
      </c>
      <c r="E1162" s="54" t="s">
        <v>585</v>
      </c>
      <c r="F1162" s="55" t="s">
        <v>1877</v>
      </c>
      <c r="G1162" s="67" t="s">
        <v>68</v>
      </c>
      <c r="H1162" s="57" t="s">
        <v>37</v>
      </c>
      <c r="I1162" s="55" t="s">
        <v>51</v>
      </c>
      <c r="J1162" s="57">
        <v>2150</v>
      </c>
      <c r="K1162" s="58"/>
      <c r="L1162" s="132">
        <f>0</f>
        <v>0</v>
      </c>
      <c r="M1162" s="60"/>
      <c r="N1162" s="61"/>
      <c r="O1162" s="61"/>
      <c r="P1162" s="77">
        <f>0</f>
        <v>0</v>
      </c>
      <c r="Q1162" s="77">
        <f>0</f>
        <v>0</v>
      </c>
      <c r="R1162" s="77">
        <f>0</f>
        <v>0</v>
      </c>
      <c r="S1162" s="77">
        <f>0</f>
        <v>0</v>
      </c>
      <c r="T1162" s="77">
        <f>0</f>
        <v>0</v>
      </c>
      <c r="U1162" s="77">
        <f>0</f>
        <v>0</v>
      </c>
      <c r="V1162" s="77">
        <f>0</f>
        <v>0</v>
      </c>
      <c r="W1162" s="63"/>
      <c r="X1162" s="63"/>
      <c r="Z1162" s="63"/>
      <c r="AA1162" s="113"/>
      <c r="AB1162" s="113"/>
      <c r="AC1162" s="113"/>
    </row>
    <row r="1163" spans="1:29" ht="60" hidden="1" customHeight="1" x14ac:dyDescent="0.2">
      <c r="A1163" s="50" t="s">
        <v>1934</v>
      </c>
      <c r="B1163" s="74"/>
      <c r="C1163" s="66" t="s">
        <v>1935</v>
      </c>
      <c r="D1163" s="53" t="s">
        <v>48</v>
      </c>
      <c r="E1163" s="54" t="s">
        <v>585</v>
      </c>
      <c r="F1163" s="55" t="s">
        <v>1874</v>
      </c>
      <c r="G1163" s="67" t="s">
        <v>68</v>
      </c>
      <c r="H1163" s="57" t="s">
        <v>37</v>
      </c>
      <c r="I1163" s="55" t="s">
        <v>51</v>
      </c>
      <c r="J1163" s="57">
        <v>1950</v>
      </c>
      <c r="K1163" s="58"/>
      <c r="L1163" s="132">
        <f>0</f>
        <v>0</v>
      </c>
      <c r="M1163" s="60"/>
      <c r="N1163" s="61"/>
      <c r="O1163" s="61"/>
      <c r="P1163" s="77">
        <f>0</f>
        <v>0</v>
      </c>
      <c r="Q1163" s="77">
        <f>0</f>
        <v>0</v>
      </c>
      <c r="R1163" s="77">
        <f>0</f>
        <v>0</v>
      </c>
      <c r="S1163" s="77">
        <f>0</f>
        <v>0</v>
      </c>
      <c r="T1163" s="77">
        <f>0</f>
        <v>0</v>
      </c>
      <c r="U1163" s="77">
        <f>0</f>
        <v>0</v>
      </c>
      <c r="V1163" s="77">
        <f>0</f>
        <v>0</v>
      </c>
      <c r="W1163" s="63"/>
      <c r="X1163" s="63"/>
      <c r="Z1163" s="63"/>
      <c r="AA1163" s="113"/>
      <c r="AB1163" s="113"/>
      <c r="AC1163" s="113"/>
    </row>
    <row r="1164" spans="1:29" ht="60" hidden="1" customHeight="1" x14ac:dyDescent="0.2">
      <c r="A1164" s="50" t="s">
        <v>1936</v>
      </c>
      <c r="B1164" s="74"/>
      <c r="C1164" s="87" t="s">
        <v>1937</v>
      </c>
      <c r="D1164" s="57" t="s">
        <v>58</v>
      </c>
      <c r="E1164" s="54" t="s">
        <v>585</v>
      </c>
      <c r="F1164" s="55" t="s">
        <v>1877</v>
      </c>
      <c r="G1164" s="67" t="s">
        <v>68</v>
      </c>
      <c r="H1164" s="57" t="s">
        <v>37</v>
      </c>
      <c r="I1164" s="55" t="s">
        <v>51</v>
      </c>
      <c r="J1164" s="57">
        <v>1950</v>
      </c>
      <c r="K1164" s="58"/>
      <c r="L1164" s="132">
        <f>0</f>
        <v>0</v>
      </c>
      <c r="M1164" s="60"/>
      <c r="N1164" s="61"/>
      <c r="O1164" s="61"/>
      <c r="P1164" s="77">
        <f>0</f>
        <v>0</v>
      </c>
      <c r="Q1164" s="77">
        <f>0</f>
        <v>0</v>
      </c>
      <c r="R1164" s="77">
        <f>0</f>
        <v>0</v>
      </c>
      <c r="S1164" s="77">
        <f>0</f>
        <v>0</v>
      </c>
      <c r="T1164" s="77">
        <f>0</f>
        <v>0</v>
      </c>
      <c r="U1164" s="77">
        <f>0</f>
        <v>0</v>
      </c>
      <c r="V1164" s="77">
        <f>0</f>
        <v>0</v>
      </c>
      <c r="W1164" s="63"/>
      <c r="X1164" s="63"/>
      <c r="Z1164" s="63"/>
      <c r="AA1164" s="113"/>
      <c r="AB1164" s="113"/>
      <c r="AC1164" s="113"/>
    </row>
    <row r="1165" spans="1:29" ht="60" hidden="1" customHeight="1" x14ac:dyDescent="0.2">
      <c r="A1165" s="50" t="s">
        <v>1938</v>
      </c>
      <c r="B1165" s="51"/>
      <c r="C1165" s="66" t="s">
        <v>1939</v>
      </c>
      <c r="D1165" s="53" t="s">
        <v>48</v>
      </c>
      <c r="E1165" s="54" t="s">
        <v>585</v>
      </c>
      <c r="F1165" s="55" t="s">
        <v>1874</v>
      </c>
      <c r="G1165" s="67" t="s">
        <v>68</v>
      </c>
      <c r="H1165" s="57" t="s">
        <v>37</v>
      </c>
      <c r="I1165" s="55" t="s">
        <v>51</v>
      </c>
      <c r="J1165" s="57">
        <v>2450</v>
      </c>
      <c r="K1165" s="58"/>
      <c r="L1165" s="132">
        <f>1-1</f>
        <v>0</v>
      </c>
      <c r="M1165" s="60"/>
      <c r="N1165" s="61"/>
      <c r="O1165" s="61"/>
      <c r="P1165" s="77">
        <f>0</f>
        <v>0</v>
      </c>
      <c r="Q1165" s="77">
        <f>0</f>
        <v>0</v>
      </c>
      <c r="R1165" s="77">
        <f>0</f>
        <v>0</v>
      </c>
      <c r="S1165" s="77">
        <f>0</f>
        <v>0</v>
      </c>
      <c r="T1165" s="77">
        <f>0</f>
        <v>0</v>
      </c>
      <c r="U1165" s="77">
        <f>1-1</f>
        <v>0</v>
      </c>
      <c r="V1165" s="77">
        <f>0</f>
        <v>0</v>
      </c>
      <c r="W1165" s="63"/>
      <c r="X1165" s="63"/>
      <c r="Z1165" s="63"/>
      <c r="AA1165" s="113"/>
      <c r="AB1165" s="113"/>
      <c r="AC1165" s="113"/>
    </row>
    <row r="1166" spans="1:29" ht="60" customHeight="1" x14ac:dyDescent="0.2">
      <c r="A1166" s="50" t="s">
        <v>1940</v>
      </c>
      <c r="B1166" s="51"/>
      <c r="C1166" s="87" t="s">
        <v>1941</v>
      </c>
      <c r="D1166" s="53" t="s">
        <v>58</v>
      </c>
      <c r="E1166" s="54" t="s">
        <v>585</v>
      </c>
      <c r="F1166" s="55" t="s">
        <v>1877</v>
      </c>
      <c r="G1166" s="67" t="s">
        <v>68</v>
      </c>
      <c r="H1166" s="57" t="s">
        <v>37</v>
      </c>
      <c r="I1166" s="55" t="s">
        <v>51</v>
      </c>
      <c r="J1166" s="57">
        <v>2450</v>
      </c>
      <c r="K1166" s="58"/>
      <c r="L1166" s="132">
        <f>1</f>
        <v>1</v>
      </c>
      <c r="M1166" s="60"/>
      <c r="N1166" s="61"/>
      <c r="O1166" s="61"/>
      <c r="P1166" s="77">
        <f>0</f>
        <v>0</v>
      </c>
      <c r="Q1166" s="77">
        <f>0</f>
        <v>0</v>
      </c>
      <c r="R1166" s="77">
        <f>0</f>
        <v>0</v>
      </c>
      <c r="S1166" s="77">
        <f>1</f>
        <v>1</v>
      </c>
      <c r="T1166" s="77">
        <f>0</f>
        <v>0</v>
      </c>
      <c r="U1166" s="77">
        <f>0</f>
        <v>0</v>
      </c>
      <c r="V1166" s="77">
        <f>0</f>
        <v>0</v>
      </c>
      <c r="W1166" s="63"/>
      <c r="X1166" s="63"/>
      <c r="Z1166" s="63"/>
      <c r="AA1166" s="113"/>
      <c r="AB1166" s="113"/>
      <c r="AC1166" s="113"/>
    </row>
    <row r="1167" spans="1:29" ht="60" hidden="1" customHeight="1" x14ac:dyDescent="0.2">
      <c r="A1167" s="50" t="s">
        <v>1942</v>
      </c>
      <c r="B1167" s="74"/>
      <c r="C1167" s="66" t="s">
        <v>1943</v>
      </c>
      <c r="D1167" s="53" t="s">
        <v>48</v>
      </c>
      <c r="E1167" s="54" t="s">
        <v>585</v>
      </c>
      <c r="F1167" s="55" t="s">
        <v>1874</v>
      </c>
      <c r="G1167" s="67" t="s">
        <v>68</v>
      </c>
      <c r="H1167" s="57" t="s">
        <v>37</v>
      </c>
      <c r="I1167" s="55" t="s">
        <v>51</v>
      </c>
      <c r="J1167" s="57">
        <v>2350</v>
      </c>
      <c r="K1167" s="58"/>
      <c r="L1167" s="132">
        <f>0</f>
        <v>0</v>
      </c>
      <c r="M1167" s="60"/>
      <c r="N1167" s="61"/>
      <c r="O1167" s="61"/>
      <c r="P1167" s="77">
        <f>0</f>
        <v>0</v>
      </c>
      <c r="Q1167" s="77">
        <f>0</f>
        <v>0</v>
      </c>
      <c r="R1167" s="77">
        <f>0</f>
        <v>0</v>
      </c>
      <c r="S1167" s="77">
        <f>0</f>
        <v>0</v>
      </c>
      <c r="T1167" s="77">
        <f>0</f>
        <v>0</v>
      </c>
      <c r="U1167" s="77">
        <f>0</f>
        <v>0</v>
      </c>
      <c r="V1167" s="77">
        <f>0</f>
        <v>0</v>
      </c>
      <c r="W1167" s="63"/>
      <c r="X1167" s="63"/>
      <c r="Z1167" s="63"/>
      <c r="AA1167" s="113"/>
      <c r="AB1167" s="113"/>
      <c r="AC1167" s="113"/>
    </row>
    <row r="1168" spans="1:29" ht="60" customHeight="1" x14ac:dyDescent="0.2">
      <c r="A1168" s="50" t="s">
        <v>1944</v>
      </c>
      <c r="B1168" s="74"/>
      <c r="C1168" s="87" t="s">
        <v>1945</v>
      </c>
      <c r="D1168" s="57" t="s">
        <v>58</v>
      </c>
      <c r="E1168" s="54" t="s">
        <v>585</v>
      </c>
      <c r="F1168" s="55" t="s">
        <v>1877</v>
      </c>
      <c r="G1168" s="67" t="s">
        <v>68</v>
      </c>
      <c r="H1168" s="57" t="s">
        <v>37</v>
      </c>
      <c r="I1168" s="55" t="s">
        <v>51</v>
      </c>
      <c r="J1168" s="57">
        <v>2350</v>
      </c>
      <c r="K1168" s="58"/>
      <c r="L1168" s="132">
        <f>2</f>
        <v>2</v>
      </c>
      <c r="M1168" s="60"/>
      <c r="N1168" s="61"/>
      <c r="O1168" s="61"/>
      <c r="P1168" s="77">
        <f>0</f>
        <v>0</v>
      </c>
      <c r="Q1168" s="77">
        <f>2</f>
        <v>2</v>
      </c>
      <c r="R1168" s="77">
        <f>0</f>
        <v>0</v>
      </c>
      <c r="S1168" s="77">
        <f>0</f>
        <v>0</v>
      </c>
      <c r="T1168" s="77">
        <f>0</f>
        <v>0</v>
      </c>
      <c r="U1168" s="77">
        <f>0</f>
        <v>0</v>
      </c>
      <c r="V1168" s="77">
        <f>0</f>
        <v>0</v>
      </c>
      <c r="W1168" s="63"/>
      <c r="X1168" s="63"/>
      <c r="Z1168" s="63"/>
      <c r="AA1168" s="113"/>
      <c r="AB1168" s="113"/>
      <c r="AC1168" s="113"/>
    </row>
    <row r="1169" spans="1:29" ht="60" customHeight="1" x14ac:dyDescent="0.2">
      <c r="A1169" s="50" t="s">
        <v>1946</v>
      </c>
      <c r="B1169" s="74"/>
      <c r="C1169" s="66" t="s">
        <v>1947</v>
      </c>
      <c r="D1169" s="57" t="s">
        <v>58</v>
      </c>
      <c r="E1169" s="54" t="s">
        <v>585</v>
      </c>
      <c r="F1169" s="55" t="s">
        <v>1877</v>
      </c>
      <c r="G1169" s="67" t="s">
        <v>68</v>
      </c>
      <c r="H1169" s="57" t="s">
        <v>37</v>
      </c>
      <c r="I1169" s="55" t="s">
        <v>51</v>
      </c>
      <c r="J1169" s="57">
        <v>2350</v>
      </c>
      <c r="K1169" s="58"/>
      <c r="L1169" s="132">
        <f>1-1+1</f>
        <v>1</v>
      </c>
      <c r="M1169" s="60"/>
      <c r="N1169" s="61"/>
      <c r="O1169" s="61"/>
      <c r="P1169" s="77">
        <f>0</f>
        <v>0</v>
      </c>
      <c r="Q1169" s="77">
        <f>1-1+1</f>
        <v>1</v>
      </c>
      <c r="R1169" s="77">
        <f>1-1</f>
        <v>0</v>
      </c>
      <c r="S1169" s="77">
        <f>0</f>
        <v>0</v>
      </c>
      <c r="T1169" s="77">
        <f>0</f>
        <v>0</v>
      </c>
      <c r="U1169" s="77">
        <f>0</f>
        <v>0</v>
      </c>
      <c r="V1169" s="77">
        <f>0</f>
        <v>0</v>
      </c>
      <c r="W1169" s="63"/>
      <c r="X1169" s="63"/>
      <c r="Z1169" s="63"/>
      <c r="AA1169" s="113"/>
      <c r="AB1169" s="113"/>
      <c r="AC1169" s="113"/>
    </row>
    <row r="1170" spans="1:29" ht="60" customHeight="1" x14ac:dyDescent="0.2">
      <c r="A1170" s="50" t="s">
        <v>1948</v>
      </c>
      <c r="B1170" s="51"/>
      <c r="C1170" s="66" t="s">
        <v>1949</v>
      </c>
      <c r="D1170" s="53" t="s">
        <v>58</v>
      </c>
      <c r="E1170" s="54" t="s">
        <v>585</v>
      </c>
      <c r="F1170" s="55" t="s">
        <v>1874</v>
      </c>
      <c r="G1170" s="67" t="s">
        <v>68</v>
      </c>
      <c r="H1170" s="57" t="s">
        <v>37</v>
      </c>
      <c r="I1170" s="55" t="s">
        <v>51</v>
      </c>
      <c r="J1170" s="57">
        <v>2150</v>
      </c>
      <c r="K1170" s="58"/>
      <c r="L1170" s="132">
        <f>3</f>
        <v>3</v>
      </c>
      <c r="M1170" s="60"/>
      <c r="N1170" s="61"/>
      <c r="O1170" s="61"/>
      <c r="P1170" s="77">
        <f>0</f>
        <v>0</v>
      </c>
      <c r="Q1170" s="77">
        <f>1</f>
        <v>1</v>
      </c>
      <c r="R1170" s="77">
        <f>2</f>
        <v>2</v>
      </c>
      <c r="S1170" s="77">
        <f>0</f>
        <v>0</v>
      </c>
      <c r="T1170" s="77">
        <f>0</f>
        <v>0</v>
      </c>
      <c r="U1170" s="77">
        <f>0</f>
        <v>0</v>
      </c>
      <c r="V1170" s="77">
        <f>0</f>
        <v>0</v>
      </c>
      <c r="W1170" s="63"/>
      <c r="X1170" s="63"/>
      <c r="Z1170" s="63"/>
      <c r="AA1170" s="113"/>
      <c r="AB1170" s="113"/>
      <c r="AC1170" s="113"/>
    </row>
    <row r="1171" spans="1:29" ht="60" hidden="1" customHeight="1" x14ac:dyDescent="0.2">
      <c r="A1171" s="50" t="s">
        <v>1950</v>
      </c>
      <c r="B1171" s="51"/>
      <c r="C1171" s="66" t="s">
        <v>1951</v>
      </c>
      <c r="D1171" s="53" t="s">
        <v>48</v>
      </c>
      <c r="E1171" s="54" t="s">
        <v>585</v>
      </c>
      <c r="F1171" s="67" t="s">
        <v>1874</v>
      </c>
      <c r="G1171" s="67" t="s">
        <v>68</v>
      </c>
      <c r="H1171" s="57" t="s">
        <v>37</v>
      </c>
      <c r="I1171" s="55" t="s">
        <v>51</v>
      </c>
      <c r="J1171" s="57">
        <v>2350</v>
      </c>
      <c r="K1171" s="58"/>
      <c r="L1171" s="132">
        <f>0</f>
        <v>0</v>
      </c>
      <c r="M1171" s="60"/>
      <c r="N1171" s="61"/>
      <c r="O1171" s="61"/>
      <c r="P1171" s="77">
        <f>0</f>
        <v>0</v>
      </c>
      <c r="Q1171" s="77">
        <f>0</f>
        <v>0</v>
      </c>
      <c r="R1171" s="77">
        <f>0</f>
        <v>0</v>
      </c>
      <c r="S1171" s="77">
        <f>0</f>
        <v>0</v>
      </c>
      <c r="T1171" s="77">
        <f>0</f>
        <v>0</v>
      </c>
      <c r="U1171" s="77">
        <f>0</f>
        <v>0</v>
      </c>
      <c r="V1171" s="77">
        <f>0</f>
        <v>0</v>
      </c>
      <c r="W1171" s="63"/>
      <c r="X1171" s="63"/>
      <c r="Z1171" s="63"/>
      <c r="AA1171" s="113"/>
      <c r="AB1171" s="113"/>
      <c r="AC1171" s="113"/>
    </row>
    <row r="1172" spans="1:29" ht="60" customHeight="1" x14ac:dyDescent="0.2">
      <c r="A1172" s="50" t="s">
        <v>1952</v>
      </c>
      <c r="B1172" s="51"/>
      <c r="C1172" s="66" t="s">
        <v>1953</v>
      </c>
      <c r="D1172" s="53" t="s">
        <v>58</v>
      </c>
      <c r="E1172" s="54" t="s">
        <v>585</v>
      </c>
      <c r="F1172" s="67" t="s">
        <v>1877</v>
      </c>
      <c r="G1172" s="67" t="s">
        <v>68</v>
      </c>
      <c r="H1172" s="57" t="s">
        <v>37</v>
      </c>
      <c r="I1172" s="55" t="s">
        <v>51</v>
      </c>
      <c r="J1172" s="57">
        <v>2350</v>
      </c>
      <c r="K1172" s="58"/>
      <c r="L1172" s="132">
        <f>5</f>
        <v>5</v>
      </c>
      <c r="M1172" s="60"/>
      <c r="N1172" s="61"/>
      <c r="O1172" s="61"/>
      <c r="P1172" s="77">
        <f>1</f>
        <v>1</v>
      </c>
      <c r="Q1172" s="77">
        <f>2</f>
        <v>2</v>
      </c>
      <c r="R1172" s="77">
        <f>1</f>
        <v>1</v>
      </c>
      <c r="S1172" s="77">
        <f>1</f>
        <v>1</v>
      </c>
      <c r="T1172" s="77">
        <f>0</f>
        <v>0</v>
      </c>
      <c r="U1172" s="77">
        <f>0</f>
        <v>0</v>
      </c>
      <c r="V1172" s="77">
        <f>0</f>
        <v>0</v>
      </c>
      <c r="W1172" s="63"/>
      <c r="X1172" s="63"/>
      <c r="Z1172" s="63"/>
      <c r="AA1172" s="113"/>
      <c r="AB1172" s="113"/>
      <c r="AC1172" s="113"/>
    </row>
    <row r="1173" spans="1:29" ht="60" customHeight="1" x14ac:dyDescent="0.2">
      <c r="A1173" s="50" t="s">
        <v>1954</v>
      </c>
      <c r="B1173" s="74"/>
      <c r="C1173" s="68" t="s">
        <v>1955</v>
      </c>
      <c r="D1173" s="53" t="s">
        <v>48</v>
      </c>
      <c r="E1173" s="54" t="s">
        <v>585</v>
      </c>
      <c r="F1173" s="67" t="s">
        <v>1874</v>
      </c>
      <c r="G1173" s="67" t="s">
        <v>68</v>
      </c>
      <c r="H1173" s="57" t="s">
        <v>37</v>
      </c>
      <c r="I1173" s="55" t="s">
        <v>51</v>
      </c>
      <c r="J1173" s="57">
        <v>2350</v>
      </c>
      <c r="K1173" s="58"/>
      <c r="L1173" s="132">
        <f>4</f>
        <v>4</v>
      </c>
      <c r="M1173" s="60"/>
      <c r="N1173" s="61"/>
      <c r="O1173" s="61"/>
      <c r="P1173" s="77">
        <f>0</f>
        <v>0</v>
      </c>
      <c r="Q1173" s="77">
        <f>1</f>
        <v>1</v>
      </c>
      <c r="R1173" s="77">
        <f>2</f>
        <v>2</v>
      </c>
      <c r="S1173" s="77">
        <f>0</f>
        <v>0</v>
      </c>
      <c r="T1173" s="77">
        <f>1</f>
        <v>1</v>
      </c>
      <c r="U1173" s="77">
        <f>0</f>
        <v>0</v>
      </c>
      <c r="V1173" s="77">
        <f>0</f>
        <v>0</v>
      </c>
      <c r="W1173" s="63"/>
      <c r="X1173" s="63"/>
      <c r="Z1173" s="63"/>
      <c r="AA1173" s="113"/>
      <c r="AB1173" s="113"/>
      <c r="AC1173" s="113"/>
    </row>
    <row r="1174" spans="1:29" ht="60" customHeight="1" x14ac:dyDescent="0.2">
      <c r="A1174" s="50" t="s">
        <v>1956</v>
      </c>
      <c r="B1174" s="74"/>
      <c r="C1174" s="66" t="s">
        <v>1957</v>
      </c>
      <c r="D1174" s="53" t="s">
        <v>58</v>
      </c>
      <c r="E1174" s="54" t="s">
        <v>585</v>
      </c>
      <c r="F1174" s="67" t="s">
        <v>1877</v>
      </c>
      <c r="G1174" s="67" t="s">
        <v>68</v>
      </c>
      <c r="H1174" s="57" t="s">
        <v>37</v>
      </c>
      <c r="I1174" s="55" t="s">
        <v>51</v>
      </c>
      <c r="J1174" s="57">
        <v>2350</v>
      </c>
      <c r="K1174" s="58"/>
      <c r="L1174" s="132">
        <f>1</f>
        <v>1</v>
      </c>
      <c r="M1174" s="60"/>
      <c r="N1174" s="61"/>
      <c r="O1174" s="61"/>
      <c r="P1174" s="77">
        <f>0</f>
        <v>0</v>
      </c>
      <c r="Q1174" s="77">
        <f>1</f>
        <v>1</v>
      </c>
      <c r="R1174" s="77">
        <f>0</f>
        <v>0</v>
      </c>
      <c r="S1174" s="77">
        <f>0</f>
        <v>0</v>
      </c>
      <c r="T1174" s="77">
        <f>0</f>
        <v>0</v>
      </c>
      <c r="U1174" s="77">
        <f>0</f>
        <v>0</v>
      </c>
      <c r="V1174" s="77">
        <f>0</f>
        <v>0</v>
      </c>
      <c r="W1174" s="63"/>
      <c r="X1174" s="63"/>
      <c r="Z1174" s="63"/>
      <c r="AA1174" s="113"/>
      <c r="AB1174" s="113"/>
      <c r="AC1174" s="113"/>
    </row>
    <row r="1175" spans="1:29" ht="60" hidden="1" customHeight="1" x14ac:dyDescent="0.2">
      <c r="A1175" s="50" t="s">
        <v>1958</v>
      </c>
      <c r="B1175" s="74"/>
      <c r="C1175" s="66" t="s">
        <v>1959</v>
      </c>
      <c r="D1175" s="53" t="s">
        <v>48</v>
      </c>
      <c r="E1175" s="54" t="s">
        <v>585</v>
      </c>
      <c r="F1175" s="67" t="s">
        <v>1874</v>
      </c>
      <c r="G1175" s="67" t="s">
        <v>68</v>
      </c>
      <c r="H1175" s="57" t="s">
        <v>37</v>
      </c>
      <c r="I1175" s="55" t="s">
        <v>51</v>
      </c>
      <c r="J1175" s="57">
        <v>2350</v>
      </c>
      <c r="K1175" s="58"/>
      <c r="L1175" s="132">
        <f>0</f>
        <v>0</v>
      </c>
      <c r="M1175" s="60"/>
      <c r="N1175" s="61"/>
      <c r="O1175" s="61"/>
      <c r="P1175" s="77">
        <f>0</f>
        <v>0</v>
      </c>
      <c r="Q1175" s="77">
        <f>0</f>
        <v>0</v>
      </c>
      <c r="R1175" s="77">
        <f>0</f>
        <v>0</v>
      </c>
      <c r="S1175" s="77">
        <f>0</f>
        <v>0</v>
      </c>
      <c r="T1175" s="77">
        <f>0</f>
        <v>0</v>
      </c>
      <c r="U1175" s="77">
        <f>0</f>
        <v>0</v>
      </c>
      <c r="V1175" s="77">
        <f>0</f>
        <v>0</v>
      </c>
      <c r="W1175" s="63"/>
      <c r="X1175" s="63"/>
      <c r="Z1175" s="63"/>
      <c r="AA1175" s="113"/>
      <c r="AB1175" s="113"/>
      <c r="AC1175" s="113"/>
    </row>
    <row r="1176" spans="1:29" ht="60" hidden="1" customHeight="1" x14ac:dyDescent="0.2">
      <c r="A1176" s="50" t="s">
        <v>1960</v>
      </c>
      <c r="B1176" s="74"/>
      <c r="C1176" s="66" t="s">
        <v>1961</v>
      </c>
      <c r="D1176" s="53" t="s">
        <v>58</v>
      </c>
      <c r="E1176" s="54" t="s">
        <v>585</v>
      </c>
      <c r="F1176" s="67" t="s">
        <v>1877</v>
      </c>
      <c r="G1176" s="67" t="s">
        <v>68</v>
      </c>
      <c r="H1176" s="57" t="s">
        <v>37</v>
      </c>
      <c r="I1176" s="55" t="s">
        <v>51</v>
      </c>
      <c r="J1176" s="57">
        <v>2350</v>
      </c>
      <c r="K1176" s="58"/>
      <c r="L1176" s="132">
        <f>0</f>
        <v>0</v>
      </c>
      <c r="M1176" s="60"/>
      <c r="N1176" s="61"/>
      <c r="O1176" s="61"/>
      <c r="P1176" s="77">
        <f>0</f>
        <v>0</v>
      </c>
      <c r="Q1176" s="77">
        <f>0</f>
        <v>0</v>
      </c>
      <c r="R1176" s="77">
        <f>0</f>
        <v>0</v>
      </c>
      <c r="S1176" s="77">
        <f>0</f>
        <v>0</v>
      </c>
      <c r="T1176" s="77">
        <f>0</f>
        <v>0</v>
      </c>
      <c r="U1176" s="77">
        <f>0</f>
        <v>0</v>
      </c>
      <c r="V1176" s="77">
        <f>0</f>
        <v>0</v>
      </c>
      <c r="W1176" s="63"/>
      <c r="X1176" s="63"/>
      <c r="Z1176" s="63"/>
      <c r="AA1176" s="113"/>
      <c r="AB1176" s="113"/>
      <c r="AC1176" s="113"/>
    </row>
    <row r="1177" spans="1:29" ht="60" customHeight="1" x14ac:dyDescent="0.2">
      <c r="A1177" s="50" t="s">
        <v>1962</v>
      </c>
      <c r="B1177" s="74"/>
      <c r="C1177" s="66" t="s">
        <v>1963</v>
      </c>
      <c r="D1177" s="53" t="s">
        <v>48</v>
      </c>
      <c r="E1177" s="54" t="s">
        <v>585</v>
      </c>
      <c r="F1177" s="67" t="s">
        <v>1874</v>
      </c>
      <c r="G1177" s="67" t="s">
        <v>68</v>
      </c>
      <c r="H1177" s="57" t="s">
        <v>37</v>
      </c>
      <c r="I1177" s="55" t="s">
        <v>51</v>
      </c>
      <c r="J1177" s="57">
        <v>2350</v>
      </c>
      <c r="K1177" s="58"/>
      <c r="L1177" s="132">
        <f>10-10+10</f>
        <v>10</v>
      </c>
      <c r="M1177" s="60"/>
      <c r="N1177" s="61"/>
      <c r="O1177" s="61"/>
      <c r="P1177" s="77">
        <f>0</f>
        <v>0</v>
      </c>
      <c r="Q1177" s="77">
        <f>1-1+1</f>
        <v>1</v>
      </c>
      <c r="R1177" s="77">
        <f>3-3+3</f>
        <v>3</v>
      </c>
      <c r="S1177" s="77">
        <f>4-4+4</f>
        <v>4</v>
      </c>
      <c r="T1177" s="77">
        <f>1-1+1</f>
        <v>1</v>
      </c>
      <c r="U1177" s="77">
        <f>1-1+1</f>
        <v>1</v>
      </c>
      <c r="V1177" s="77">
        <f>0</f>
        <v>0</v>
      </c>
      <c r="W1177" s="63"/>
      <c r="X1177" s="63"/>
      <c r="Z1177" s="63"/>
      <c r="AA1177" s="113"/>
      <c r="AB1177" s="113"/>
      <c r="AC1177" s="113"/>
    </row>
    <row r="1178" spans="1:29" ht="60" customHeight="1" x14ac:dyDescent="0.2">
      <c r="A1178" s="50" t="s">
        <v>1964</v>
      </c>
      <c r="B1178" s="74"/>
      <c r="C1178" s="66" t="s">
        <v>1965</v>
      </c>
      <c r="D1178" s="53" t="s">
        <v>58</v>
      </c>
      <c r="E1178" s="54" t="s">
        <v>585</v>
      </c>
      <c r="F1178" s="67" t="s">
        <v>1877</v>
      </c>
      <c r="G1178" s="67" t="s">
        <v>68</v>
      </c>
      <c r="H1178" s="57" t="s">
        <v>37</v>
      </c>
      <c r="I1178" s="55" t="s">
        <v>51</v>
      </c>
      <c r="J1178" s="57">
        <v>2350</v>
      </c>
      <c r="K1178" s="58"/>
      <c r="L1178" s="132">
        <f>4</f>
        <v>4</v>
      </c>
      <c r="M1178" s="60"/>
      <c r="N1178" s="61"/>
      <c r="O1178" s="61"/>
      <c r="P1178" s="77">
        <f>2</f>
        <v>2</v>
      </c>
      <c r="Q1178" s="77">
        <f>1</f>
        <v>1</v>
      </c>
      <c r="R1178" s="77">
        <f>1</f>
        <v>1</v>
      </c>
      <c r="S1178" s="77">
        <f>0</f>
        <v>0</v>
      </c>
      <c r="T1178" s="77">
        <f>0</f>
        <v>0</v>
      </c>
      <c r="U1178" s="77">
        <f>0</f>
        <v>0</v>
      </c>
      <c r="V1178" s="77">
        <f>0</f>
        <v>0</v>
      </c>
      <c r="W1178" s="63"/>
      <c r="X1178" s="63"/>
      <c r="Z1178" s="63"/>
      <c r="AA1178" s="113"/>
      <c r="AB1178" s="113"/>
      <c r="AC1178" s="113"/>
    </row>
    <row r="1179" spans="1:29" ht="60" hidden="1" customHeight="1" x14ac:dyDescent="0.2">
      <c r="A1179" s="50" t="s">
        <v>1966</v>
      </c>
      <c r="B1179" s="74"/>
      <c r="C1179" s="66" t="s">
        <v>1967</v>
      </c>
      <c r="D1179" s="53" t="s">
        <v>48</v>
      </c>
      <c r="E1179" s="54" t="s">
        <v>585</v>
      </c>
      <c r="F1179" s="67" t="s">
        <v>1874</v>
      </c>
      <c r="G1179" s="67" t="s">
        <v>68</v>
      </c>
      <c r="H1179" s="57" t="s">
        <v>37</v>
      </c>
      <c r="I1179" s="55" t="s">
        <v>51</v>
      </c>
      <c r="J1179" s="57">
        <v>2450</v>
      </c>
      <c r="K1179" s="58"/>
      <c r="L1179" s="132">
        <f>0</f>
        <v>0</v>
      </c>
      <c r="M1179" s="60"/>
      <c r="N1179" s="61"/>
      <c r="O1179" s="61"/>
      <c r="P1179" s="77">
        <f>0</f>
        <v>0</v>
      </c>
      <c r="Q1179" s="77">
        <f>0</f>
        <v>0</v>
      </c>
      <c r="R1179" s="77">
        <f>0</f>
        <v>0</v>
      </c>
      <c r="S1179" s="77">
        <f>0</f>
        <v>0</v>
      </c>
      <c r="T1179" s="77">
        <f>0</f>
        <v>0</v>
      </c>
      <c r="U1179" s="77">
        <f>0</f>
        <v>0</v>
      </c>
      <c r="V1179" s="77">
        <f>0</f>
        <v>0</v>
      </c>
      <c r="W1179" s="63"/>
      <c r="X1179" s="63"/>
      <c r="Z1179" s="63"/>
      <c r="AA1179" s="113"/>
      <c r="AB1179" s="113"/>
      <c r="AC1179" s="113"/>
    </row>
    <row r="1180" spans="1:29" ht="60" hidden="1" customHeight="1" x14ac:dyDescent="0.2">
      <c r="A1180" s="50" t="s">
        <v>1968</v>
      </c>
      <c r="B1180" s="74"/>
      <c r="C1180" s="66" t="s">
        <v>1969</v>
      </c>
      <c r="D1180" s="53" t="s">
        <v>58</v>
      </c>
      <c r="E1180" s="54" t="s">
        <v>585</v>
      </c>
      <c r="F1180" s="67" t="s">
        <v>1877</v>
      </c>
      <c r="G1180" s="67" t="s">
        <v>68</v>
      </c>
      <c r="H1180" s="57" t="s">
        <v>37</v>
      </c>
      <c r="I1180" s="55" t="s">
        <v>51</v>
      </c>
      <c r="J1180" s="89">
        <v>2450</v>
      </c>
      <c r="K1180" s="58"/>
      <c r="L1180" s="132">
        <f>0</f>
        <v>0</v>
      </c>
      <c r="M1180" s="60"/>
      <c r="N1180" s="61"/>
      <c r="O1180" s="61"/>
      <c r="P1180" s="77">
        <f>0</f>
        <v>0</v>
      </c>
      <c r="Q1180" s="77">
        <f>0</f>
        <v>0</v>
      </c>
      <c r="R1180" s="77">
        <f>0</f>
        <v>0</v>
      </c>
      <c r="S1180" s="77">
        <f>0</f>
        <v>0</v>
      </c>
      <c r="T1180" s="77">
        <f>0</f>
        <v>0</v>
      </c>
      <c r="U1180" s="77">
        <f>0</f>
        <v>0</v>
      </c>
      <c r="V1180" s="77">
        <f>0</f>
        <v>0</v>
      </c>
      <c r="W1180" s="63"/>
      <c r="X1180" s="63"/>
      <c r="Z1180" s="63"/>
      <c r="AA1180" s="113"/>
      <c r="AB1180" s="113"/>
      <c r="AC1180" s="113"/>
    </row>
    <row r="1181" spans="1:29" ht="60" customHeight="1" x14ac:dyDescent="0.2">
      <c r="A1181" s="50" t="s">
        <v>1970</v>
      </c>
      <c r="B1181" s="74"/>
      <c r="C1181" s="66" t="s">
        <v>1971</v>
      </c>
      <c r="D1181" s="53" t="s">
        <v>48</v>
      </c>
      <c r="E1181" s="54" t="s">
        <v>585</v>
      </c>
      <c r="F1181" s="55" t="s">
        <v>1874</v>
      </c>
      <c r="G1181" s="67" t="s">
        <v>68</v>
      </c>
      <c r="H1181" s="57" t="s">
        <v>37</v>
      </c>
      <c r="I1181" s="55" t="s">
        <v>51</v>
      </c>
      <c r="J1181" s="57">
        <v>1850</v>
      </c>
      <c r="K1181" s="58"/>
      <c r="L1181" s="132">
        <f>6</f>
        <v>6</v>
      </c>
      <c r="M1181" s="60"/>
      <c r="N1181" s="61"/>
      <c r="O1181" s="61"/>
      <c r="P1181" s="77">
        <f>0</f>
        <v>0</v>
      </c>
      <c r="Q1181" s="77">
        <f>2</f>
        <v>2</v>
      </c>
      <c r="R1181" s="77">
        <f>0</f>
        <v>0</v>
      </c>
      <c r="S1181" s="77">
        <f>1</f>
        <v>1</v>
      </c>
      <c r="T1181" s="77">
        <f>3</f>
        <v>3</v>
      </c>
      <c r="U1181" s="77">
        <f>0</f>
        <v>0</v>
      </c>
      <c r="V1181" s="77">
        <f>0</f>
        <v>0</v>
      </c>
      <c r="W1181" s="63"/>
      <c r="X1181" s="63"/>
      <c r="Z1181" s="63"/>
      <c r="AA1181" s="113"/>
      <c r="AB1181" s="113"/>
      <c r="AC1181" s="113"/>
    </row>
    <row r="1182" spans="1:29" ht="60" customHeight="1" x14ac:dyDescent="0.2">
      <c r="A1182" s="50" t="s">
        <v>1972</v>
      </c>
      <c r="B1182" s="74"/>
      <c r="C1182" s="66" t="s">
        <v>1973</v>
      </c>
      <c r="D1182" s="57" t="s">
        <v>58</v>
      </c>
      <c r="E1182" s="54" t="s">
        <v>585</v>
      </c>
      <c r="F1182" s="55" t="s">
        <v>1877</v>
      </c>
      <c r="G1182" s="67" t="s">
        <v>68</v>
      </c>
      <c r="H1182" s="57" t="s">
        <v>37</v>
      </c>
      <c r="I1182" s="55" t="s">
        <v>51</v>
      </c>
      <c r="J1182" s="57">
        <v>1850</v>
      </c>
      <c r="K1182" s="58"/>
      <c r="L1182" s="132">
        <f>12-12+12</f>
        <v>12</v>
      </c>
      <c r="M1182" s="60"/>
      <c r="N1182" s="61"/>
      <c r="O1182" s="61"/>
      <c r="P1182" s="77">
        <f>4-4+4</f>
        <v>4</v>
      </c>
      <c r="Q1182" s="77">
        <f>4-4+4</f>
        <v>4</v>
      </c>
      <c r="R1182" s="77">
        <f>4-4+4</f>
        <v>4</v>
      </c>
      <c r="S1182" s="77">
        <f>0</f>
        <v>0</v>
      </c>
      <c r="T1182" s="77">
        <f>0</f>
        <v>0</v>
      </c>
      <c r="U1182" s="77">
        <f>0</f>
        <v>0</v>
      </c>
      <c r="V1182" s="77">
        <f>0</f>
        <v>0</v>
      </c>
      <c r="W1182" s="63"/>
      <c r="X1182" s="63"/>
      <c r="Z1182" s="63"/>
      <c r="AA1182" s="113"/>
      <c r="AB1182" s="113"/>
      <c r="AC1182" s="113"/>
    </row>
    <row r="1183" spans="1:29" ht="60" customHeight="1" x14ac:dyDescent="0.2">
      <c r="A1183" s="50" t="s">
        <v>1974</v>
      </c>
      <c r="B1183" s="51"/>
      <c r="C1183" s="68" t="s">
        <v>1975</v>
      </c>
      <c r="D1183" s="57" t="s">
        <v>58</v>
      </c>
      <c r="E1183" s="54" t="s">
        <v>585</v>
      </c>
      <c r="F1183" s="67" t="s">
        <v>49</v>
      </c>
      <c r="G1183" s="67" t="s">
        <v>50</v>
      </c>
      <c r="H1183" s="57" t="s">
        <v>37</v>
      </c>
      <c r="I1183" s="55" t="s">
        <v>51</v>
      </c>
      <c r="J1183" s="57">
        <v>1350</v>
      </c>
      <c r="K1183" s="58"/>
      <c r="L1183" s="132">
        <f>42-29+29</f>
        <v>42</v>
      </c>
      <c r="M1183" s="60"/>
      <c r="N1183" s="61"/>
      <c r="O1183" s="61"/>
      <c r="P1183" s="77"/>
      <c r="Q1183" s="77">
        <f>10-5+5</f>
        <v>10</v>
      </c>
      <c r="R1183" s="77">
        <f>6-5+5</f>
        <v>6</v>
      </c>
      <c r="S1183" s="77">
        <f>10-5+5</f>
        <v>10</v>
      </c>
      <c r="T1183" s="77">
        <f>12-10+10</f>
        <v>12</v>
      </c>
      <c r="U1183" s="77">
        <f>2-2+2</f>
        <v>2</v>
      </c>
      <c r="V1183" s="77">
        <f>2-2+2</f>
        <v>2</v>
      </c>
      <c r="W1183" s="63"/>
      <c r="X1183" s="63"/>
      <c r="Z1183" s="63"/>
      <c r="AA1183" s="113"/>
      <c r="AB1183" s="113"/>
      <c r="AC1183" s="113"/>
    </row>
    <row r="1184" spans="1:29" ht="60" hidden="1" customHeight="1" x14ac:dyDescent="0.2">
      <c r="A1184" s="50" t="s">
        <v>1976</v>
      </c>
      <c r="B1184" s="51"/>
      <c r="C1184" s="66" t="s">
        <v>1977</v>
      </c>
      <c r="D1184" s="57" t="s">
        <v>58</v>
      </c>
      <c r="E1184" s="54" t="s">
        <v>585</v>
      </c>
      <c r="F1184" s="67" t="s">
        <v>49</v>
      </c>
      <c r="G1184" s="67" t="s">
        <v>50</v>
      </c>
      <c r="H1184" s="57" t="s">
        <v>442</v>
      </c>
      <c r="I1184" s="55" t="s">
        <v>637</v>
      </c>
      <c r="J1184" s="57">
        <v>1350</v>
      </c>
      <c r="K1184" s="58"/>
      <c r="L1184" s="132"/>
      <c r="M1184" s="60"/>
      <c r="N1184" s="61"/>
      <c r="O1184" s="61"/>
      <c r="P1184" s="77"/>
      <c r="Q1184" s="77"/>
      <c r="R1184" s="77"/>
      <c r="S1184" s="77"/>
      <c r="T1184" s="77"/>
      <c r="U1184" s="77"/>
      <c r="V1184" s="77"/>
      <c r="W1184" s="63"/>
      <c r="X1184" s="63"/>
      <c r="Z1184" s="63"/>
      <c r="AA1184" s="113"/>
      <c r="AB1184" s="113"/>
      <c r="AC1184" s="113"/>
    </row>
    <row r="1185" spans="1:29" ht="60" customHeight="1" x14ac:dyDescent="0.2">
      <c r="A1185" s="50" t="s">
        <v>1978</v>
      </c>
      <c r="B1185" s="51"/>
      <c r="C1185" s="54" t="s">
        <v>1979</v>
      </c>
      <c r="D1185" s="57" t="s">
        <v>58</v>
      </c>
      <c r="E1185" s="54" t="s">
        <v>585</v>
      </c>
      <c r="F1185" s="67" t="s">
        <v>59</v>
      </c>
      <c r="G1185" s="67" t="s">
        <v>50</v>
      </c>
      <c r="H1185" s="57" t="s">
        <v>37</v>
      </c>
      <c r="I1185" s="55" t="s">
        <v>51</v>
      </c>
      <c r="J1185" s="57">
        <v>1350</v>
      </c>
      <c r="K1185" s="58"/>
      <c r="L1185" s="132">
        <f>15-13+13</f>
        <v>15</v>
      </c>
      <c r="M1185" s="60"/>
      <c r="N1185" s="61"/>
      <c r="O1185" s="61"/>
      <c r="P1185" s="77">
        <f>1-1+1</f>
        <v>1</v>
      </c>
      <c r="Q1185" s="77">
        <f>4-4+4</f>
        <v>4</v>
      </c>
      <c r="R1185" s="77">
        <f>7-5+5</f>
        <v>7</v>
      </c>
      <c r="S1185" s="77">
        <f>3-3+3</f>
        <v>3</v>
      </c>
      <c r="T1185" s="77">
        <f>0</f>
        <v>0</v>
      </c>
      <c r="U1185" s="77">
        <f>0</f>
        <v>0</v>
      </c>
      <c r="V1185" s="77">
        <f>0</f>
        <v>0</v>
      </c>
      <c r="W1185" s="63"/>
      <c r="X1185" s="63"/>
      <c r="Z1185" s="63"/>
      <c r="AA1185" s="113"/>
      <c r="AB1185" s="113"/>
      <c r="AC1185" s="113"/>
    </row>
    <row r="1186" spans="1:29" ht="60" customHeight="1" x14ac:dyDescent="0.2">
      <c r="A1186" s="50" t="s">
        <v>1980</v>
      </c>
      <c r="B1186" s="74"/>
      <c r="C1186" s="68" t="s">
        <v>1981</v>
      </c>
      <c r="D1186" s="53" t="s">
        <v>48</v>
      </c>
      <c r="E1186" s="54" t="s">
        <v>585</v>
      </c>
      <c r="F1186" s="67" t="s">
        <v>49</v>
      </c>
      <c r="G1186" s="67" t="s">
        <v>50</v>
      </c>
      <c r="H1186" s="57" t="s">
        <v>37</v>
      </c>
      <c r="I1186" s="55" t="s">
        <v>51</v>
      </c>
      <c r="J1186" s="57">
        <v>1250</v>
      </c>
      <c r="K1186" s="58"/>
      <c r="L1186" s="132">
        <f>2</f>
        <v>2</v>
      </c>
      <c r="M1186" s="60"/>
      <c r="N1186" s="61"/>
      <c r="O1186" s="61"/>
      <c r="P1186" s="77">
        <f>0</f>
        <v>0</v>
      </c>
      <c r="Q1186" s="77">
        <f>0</f>
        <v>0</v>
      </c>
      <c r="R1186" s="77">
        <f>1</f>
        <v>1</v>
      </c>
      <c r="S1186" s="77">
        <f>1</f>
        <v>1</v>
      </c>
      <c r="T1186" s="77">
        <f>0</f>
        <v>0</v>
      </c>
      <c r="U1186" s="77">
        <f>0</f>
        <v>0</v>
      </c>
      <c r="V1186" s="77">
        <f>0</f>
        <v>0</v>
      </c>
      <c r="W1186" s="63"/>
      <c r="X1186" s="63"/>
      <c r="Z1186" s="63"/>
      <c r="AA1186" s="113"/>
      <c r="AB1186" s="113"/>
      <c r="AC1186" s="113"/>
    </row>
    <row r="1187" spans="1:29" ht="60" customHeight="1" x14ac:dyDescent="0.2">
      <c r="A1187" s="50" t="s">
        <v>1982</v>
      </c>
      <c r="B1187" s="74"/>
      <c r="C1187" s="54" t="s">
        <v>1983</v>
      </c>
      <c r="D1187" s="57" t="s">
        <v>58</v>
      </c>
      <c r="E1187" s="54" t="s">
        <v>585</v>
      </c>
      <c r="F1187" s="67" t="s">
        <v>59</v>
      </c>
      <c r="G1187" s="67" t="s">
        <v>50</v>
      </c>
      <c r="H1187" s="57" t="s">
        <v>37</v>
      </c>
      <c r="I1187" s="55" t="s">
        <v>51</v>
      </c>
      <c r="J1187" s="57">
        <v>1250</v>
      </c>
      <c r="K1187" s="58"/>
      <c r="L1187" s="132">
        <f>2</f>
        <v>2</v>
      </c>
      <c r="M1187" s="60"/>
      <c r="N1187" s="61"/>
      <c r="O1187" s="61"/>
      <c r="P1187" s="77">
        <f>1</f>
        <v>1</v>
      </c>
      <c r="Q1187" s="77">
        <f>0</f>
        <v>0</v>
      </c>
      <c r="R1187" s="77">
        <f>1</f>
        <v>1</v>
      </c>
      <c r="S1187" s="77">
        <f>0</f>
        <v>0</v>
      </c>
      <c r="T1187" s="77">
        <f>0</f>
        <v>0</v>
      </c>
      <c r="U1187" s="77">
        <f>0</f>
        <v>0</v>
      </c>
      <c r="V1187" s="77">
        <f>0</f>
        <v>0</v>
      </c>
      <c r="W1187" s="63"/>
      <c r="X1187" s="63"/>
      <c r="Z1187" s="63"/>
      <c r="AA1187" s="113"/>
      <c r="AB1187" s="113"/>
      <c r="AC1187" s="113"/>
    </row>
    <row r="1188" spans="1:29" ht="60" customHeight="1" x14ac:dyDescent="0.2">
      <c r="A1188" s="50" t="s">
        <v>1984</v>
      </c>
      <c r="B1188" s="74"/>
      <c r="C1188" s="68" t="s">
        <v>1985</v>
      </c>
      <c r="D1188" s="53" t="s">
        <v>48</v>
      </c>
      <c r="E1188" s="54" t="s">
        <v>585</v>
      </c>
      <c r="F1188" s="67" t="s">
        <v>49</v>
      </c>
      <c r="G1188" s="67" t="s">
        <v>50</v>
      </c>
      <c r="H1188" s="57" t="s">
        <v>37</v>
      </c>
      <c r="I1188" s="55" t="s">
        <v>51</v>
      </c>
      <c r="J1188" s="57">
        <v>1300</v>
      </c>
      <c r="K1188" s="58"/>
      <c r="L1188" s="132">
        <f>21-17+17</f>
        <v>21</v>
      </c>
      <c r="M1188" s="60"/>
      <c r="N1188" s="61"/>
      <c r="O1188" s="61"/>
      <c r="P1188" s="77">
        <f>0</f>
        <v>0</v>
      </c>
      <c r="Q1188" s="77">
        <f>4-4+4</f>
        <v>4</v>
      </c>
      <c r="R1188" s="77">
        <f>9-5+5</f>
        <v>9</v>
      </c>
      <c r="S1188" s="77">
        <f>5-5+5</f>
        <v>5</v>
      </c>
      <c r="T1188" s="77">
        <f>3-3+3</f>
        <v>3</v>
      </c>
      <c r="U1188" s="77">
        <f>0</f>
        <v>0</v>
      </c>
      <c r="V1188" s="77">
        <f>0</f>
        <v>0</v>
      </c>
      <c r="W1188" s="63"/>
      <c r="X1188" s="63"/>
      <c r="Z1188" s="63"/>
      <c r="AA1188" s="113"/>
      <c r="AB1188" s="113"/>
      <c r="AC1188" s="113"/>
    </row>
    <row r="1189" spans="1:29" ht="60" hidden="1" customHeight="1" x14ac:dyDescent="0.2">
      <c r="A1189" s="50" t="s">
        <v>1986</v>
      </c>
      <c r="B1189" s="133"/>
      <c r="C1189" s="66" t="s">
        <v>1987</v>
      </c>
      <c r="D1189" s="57" t="s">
        <v>58</v>
      </c>
      <c r="E1189" s="54" t="s">
        <v>585</v>
      </c>
      <c r="F1189" s="67" t="s">
        <v>59</v>
      </c>
      <c r="G1189" s="67" t="s">
        <v>50</v>
      </c>
      <c r="H1189" s="57" t="s">
        <v>37</v>
      </c>
      <c r="I1189" s="55" t="s">
        <v>51</v>
      </c>
      <c r="J1189" s="57">
        <v>1300</v>
      </c>
      <c r="K1189" s="58"/>
      <c r="L1189" s="114">
        <f>0</f>
        <v>0</v>
      </c>
      <c r="M1189" s="60"/>
      <c r="N1189" s="61"/>
      <c r="O1189" s="61"/>
      <c r="P1189" s="77">
        <f>0</f>
        <v>0</v>
      </c>
      <c r="Q1189" s="77">
        <f>0</f>
        <v>0</v>
      </c>
      <c r="R1189" s="77">
        <f>0</f>
        <v>0</v>
      </c>
      <c r="S1189" s="77">
        <f>0</f>
        <v>0</v>
      </c>
      <c r="T1189" s="77">
        <f>0</f>
        <v>0</v>
      </c>
      <c r="U1189" s="77">
        <f>0</f>
        <v>0</v>
      </c>
      <c r="V1189" s="77">
        <f>0</f>
        <v>0</v>
      </c>
      <c r="W1189" s="63"/>
      <c r="X1189" s="63"/>
      <c r="Z1189" s="63"/>
      <c r="AA1189" s="113"/>
      <c r="AB1189" s="113"/>
      <c r="AC1189" s="113"/>
    </row>
    <row r="1190" spans="1:29" ht="60" customHeight="1" x14ac:dyDescent="0.2">
      <c r="A1190" s="50" t="s">
        <v>1988</v>
      </c>
      <c r="B1190" s="133"/>
      <c r="C1190" s="68" t="s">
        <v>1989</v>
      </c>
      <c r="D1190" s="53" t="s">
        <v>48</v>
      </c>
      <c r="E1190" s="54" t="s">
        <v>585</v>
      </c>
      <c r="F1190" s="67" t="s">
        <v>49</v>
      </c>
      <c r="G1190" s="67" t="s">
        <v>50</v>
      </c>
      <c r="H1190" s="57" t="s">
        <v>37</v>
      </c>
      <c r="I1190" s="55" t="s">
        <v>51</v>
      </c>
      <c r="J1190" s="57">
        <v>1350</v>
      </c>
      <c r="K1190" s="58"/>
      <c r="L1190" s="114">
        <f>5</f>
        <v>5</v>
      </c>
      <c r="M1190" s="60"/>
      <c r="N1190" s="61"/>
      <c r="O1190" s="61"/>
      <c r="P1190" s="77">
        <f>0</f>
        <v>0</v>
      </c>
      <c r="Q1190" s="77">
        <f>3</f>
        <v>3</v>
      </c>
      <c r="R1190" s="77">
        <f>0</f>
        <v>0</v>
      </c>
      <c r="S1190" s="77">
        <f>2</f>
        <v>2</v>
      </c>
      <c r="T1190" s="77">
        <f>0</f>
        <v>0</v>
      </c>
      <c r="U1190" s="77">
        <f>0</f>
        <v>0</v>
      </c>
      <c r="V1190" s="77">
        <f>0</f>
        <v>0</v>
      </c>
      <c r="W1190" s="63"/>
      <c r="X1190" s="63"/>
      <c r="Z1190" s="63"/>
      <c r="AA1190" s="113"/>
      <c r="AB1190" s="113"/>
      <c r="AC1190" s="113"/>
    </row>
    <row r="1191" spans="1:29" ht="60" customHeight="1" x14ac:dyDescent="0.2">
      <c r="A1191" s="50" t="s">
        <v>1990</v>
      </c>
      <c r="B1191" s="74"/>
      <c r="C1191" s="54" t="s">
        <v>1991</v>
      </c>
      <c r="D1191" s="57" t="s">
        <v>58</v>
      </c>
      <c r="E1191" s="54" t="s">
        <v>585</v>
      </c>
      <c r="F1191" s="67" t="s">
        <v>59</v>
      </c>
      <c r="G1191" s="67" t="s">
        <v>50</v>
      </c>
      <c r="H1191" s="57" t="s">
        <v>37</v>
      </c>
      <c r="I1191" s="55" t="s">
        <v>51</v>
      </c>
      <c r="J1191" s="57">
        <v>1350</v>
      </c>
      <c r="K1191" s="58"/>
      <c r="L1191" s="114">
        <f>3</f>
        <v>3</v>
      </c>
      <c r="M1191" s="60"/>
      <c r="N1191" s="61"/>
      <c r="O1191" s="61"/>
      <c r="P1191" s="77">
        <f>2</f>
        <v>2</v>
      </c>
      <c r="Q1191" s="77">
        <f>0</f>
        <v>0</v>
      </c>
      <c r="R1191" s="77">
        <f>0</f>
        <v>0</v>
      </c>
      <c r="S1191" s="77">
        <f>1</f>
        <v>1</v>
      </c>
      <c r="T1191" s="77">
        <f>0</f>
        <v>0</v>
      </c>
      <c r="U1191" s="77">
        <f>0</f>
        <v>0</v>
      </c>
      <c r="V1191" s="77">
        <f>0</f>
        <v>0</v>
      </c>
      <c r="W1191" s="63"/>
      <c r="X1191" s="63"/>
      <c r="Z1191" s="63"/>
      <c r="AA1191" s="113"/>
      <c r="AB1191" s="113"/>
      <c r="AC1191" s="113"/>
    </row>
    <row r="1192" spans="1:29" ht="60" customHeight="1" x14ac:dyDescent="0.2">
      <c r="A1192" s="50" t="s">
        <v>1992</v>
      </c>
      <c r="B1192" s="51"/>
      <c r="C1192" s="68" t="s">
        <v>1993</v>
      </c>
      <c r="D1192" s="53" t="s">
        <v>48</v>
      </c>
      <c r="E1192" s="54" t="s">
        <v>585</v>
      </c>
      <c r="F1192" s="67" t="s">
        <v>49</v>
      </c>
      <c r="G1192" s="67" t="s">
        <v>50</v>
      </c>
      <c r="H1192" s="57" t="s">
        <v>37</v>
      </c>
      <c r="I1192" s="55" t="s">
        <v>51</v>
      </c>
      <c r="J1192" s="57">
        <v>1250</v>
      </c>
      <c r="K1192" s="58"/>
      <c r="L1192" s="114">
        <f>3</f>
        <v>3</v>
      </c>
      <c r="M1192" s="60"/>
      <c r="N1192" s="61"/>
      <c r="O1192" s="61"/>
      <c r="P1192" s="77">
        <f>0</f>
        <v>0</v>
      </c>
      <c r="Q1192" s="77">
        <f>0</f>
        <v>0</v>
      </c>
      <c r="R1192" s="77">
        <f>0</f>
        <v>0</v>
      </c>
      <c r="S1192" s="77">
        <f>0</f>
        <v>0</v>
      </c>
      <c r="T1192" s="77">
        <f>2</f>
        <v>2</v>
      </c>
      <c r="U1192" s="77">
        <f>1</f>
        <v>1</v>
      </c>
      <c r="V1192" s="77">
        <f>0</f>
        <v>0</v>
      </c>
      <c r="W1192" s="63"/>
      <c r="X1192" s="63"/>
      <c r="Z1192" s="63"/>
      <c r="AA1192" s="113"/>
      <c r="AB1192" s="113"/>
      <c r="AC1192" s="113"/>
    </row>
    <row r="1193" spans="1:29" ht="60" customHeight="1" x14ac:dyDescent="0.2">
      <c r="A1193" s="50" t="s">
        <v>1994</v>
      </c>
      <c r="B1193" s="51"/>
      <c r="C1193" s="68" t="s">
        <v>1995</v>
      </c>
      <c r="D1193" s="53" t="s">
        <v>58</v>
      </c>
      <c r="E1193" s="54" t="s">
        <v>585</v>
      </c>
      <c r="F1193" s="67" t="s">
        <v>59</v>
      </c>
      <c r="G1193" s="67" t="s">
        <v>50</v>
      </c>
      <c r="H1193" s="57" t="s">
        <v>37</v>
      </c>
      <c r="I1193" s="55" t="s">
        <v>51</v>
      </c>
      <c r="J1193" s="57">
        <v>1250</v>
      </c>
      <c r="K1193" s="58"/>
      <c r="L1193" s="114">
        <f>1</f>
        <v>1</v>
      </c>
      <c r="M1193" s="60"/>
      <c r="N1193" s="61"/>
      <c r="O1193" s="61"/>
      <c r="P1193" s="77">
        <f>0</f>
        <v>0</v>
      </c>
      <c r="Q1193" s="77">
        <f>0</f>
        <v>0</v>
      </c>
      <c r="R1193" s="77">
        <f>1</f>
        <v>1</v>
      </c>
      <c r="S1193" s="77">
        <f>0</f>
        <v>0</v>
      </c>
      <c r="T1193" s="77">
        <f>0</f>
        <v>0</v>
      </c>
      <c r="U1193" s="77">
        <f>0</f>
        <v>0</v>
      </c>
      <c r="V1193" s="77">
        <f>0</f>
        <v>0</v>
      </c>
      <c r="W1193" s="63"/>
      <c r="X1193" s="63"/>
      <c r="Z1193" s="63"/>
      <c r="AA1193" s="113"/>
      <c r="AB1193" s="113"/>
      <c r="AC1193" s="113"/>
    </row>
    <row r="1194" spans="1:29" ht="60" customHeight="1" x14ac:dyDescent="0.2">
      <c r="A1194" s="50" t="s">
        <v>1996</v>
      </c>
      <c r="B1194" s="74"/>
      <c r="C1194" s="66" t="s">
        <v>1997</v>
      </c>
      <c r="D1194" s="53" t="s">
        <v>58</v>
      </c>
      <c r="E1194" s="54" t="s">
        <v>585</v>
      </c>
      <c r="F1194" s="67" t="s">
        <v>59</v>
      </c>
      <c r="G1194" s="67" t="s">
        <v>50</v>
      </c>
      <c r="H1194" s="57" t="s">
        <v>37</v>
      </c>
      <c r="I1194" s="55" t="s">
        <v>51</v>
      </c>
      <c r="J1194" s="57">
        <v>1350</v>
      </c>
      <c r="K1194" s="58"/>
      <c r="L1194" s="114">
        <f>19-18+18</f>
        <v>19</v>
      </c>
      <c r="M1194" s="60"/>
      <c r="N1194" s="61"/>
      <c r="O1194" s="61"/>
      <c r="P1194" s="77">
        <f>0</f>
        <v>0</v>
      </c>
      <c r="Q1194" s="77">
        <f>5-5+5</f>
        <v>5</v>
      </c>
      <c r="R1194" s="77">
        <f>6-5+5</f>
        <v>6</v>
      </c>
      <c r="S1194" s="77">
        <f>4-4+4</f>
        <v>4</v>
      </c>
      <c r="T1194" s="77">
        <f>3-3+3</f>
        <v>3</v>
      </c>
      <c r="U1194" s="77">
        <f>1-1+1</f>
        <v>1</v>
      </c>
      <c r="V1194" s="77">
        <f>0</f>
        <v>0</v>
      </c>
      <c r="W1194" s="63"/>
      <c r="X1194" s="63"/>
      <c r="Z1194" s="63"/>
      <c r="AA1194" s="113"/>
      <c r="AB1194" s="113"/>
      <c r="AC1194" s="113"/>
    </row>
    <row r="1195" spans="1:29" ht="60" hidden="1" customHeight="1" x14ac:dyDescent="0.2">
      <c r="A1195" s="50" t="s">
        <v>1998</v>
      </c>
      <c r="B1195" s="74"/>
      <c r="C1195" s="87" t="s">
        <v>1999</v>
      </c>
      <c r="D1195" s="53" t="s">
        <v>48</v>
      </c>
      <c r="E1195" s="54" t="s">
        <v>585</v>
      </c>
      <c r="F1195" s="67" t="s">
        <v>49</v>
      </c>
      <c r="G1195" s="67" t="s">
        <v>50</v>
      </c>
      <c r="H1195" s="57" t="s">
        <v>442</v>
      </c>
      <c r="I1195" s="55" t="s">
        <v>637</v>
      </c>
      <c r="J1195" s="57">
        <v>1350</v>
      </c>
      <c r="K1195" s="58"/>
      <c r="L1195" s="114"/>
      <c r="M1195" s="60"/>
      <c r="N1195" s="61"/>
      <c r="O1195" s="61"/>
      <c r="P1195" s="77"/>
      <c r="Q1195" s="77"/>
      <c r="R1195" s="77"/>
      <c r="S1195" s="77"/>
      <c r="T1195" s="77"/>
      <c r="U1195" s="77"/>
      <c r="V1195" s="77"/>
      <c r="W1195" s="63"/>
      <c r="X1195" s="63"/>
      <c r="Z1195" s="63"/>
      <c r="AA1195" s="113"/>
      <c r="AB1195" s="113"/>
      <c r="AC1195" s="113"/>
    </row>
    <row r="1196" spans="1:29" ht="60" customHeight="1" x14ac:dyDescent="0.2">
      <c r="A1196" s="50" t="s">
        <v>2000</v>
      </c>
      <c r="B1196" s="74"/>
      <c r="C1196" s="87" t="s">
        <v>2001</v>
      </c>
      <c r="D1196" s="53" t="s">
        <v>58</v>
      </c>
      <c r="E1196" s="54" t="s">
        <v>585</v>
      </c>
      <c r="F1196" s="67" t="s">
        <v>59</v>
      </c>
      <c r="G1196" s="67" t="s">
        <v>50</v>
      </c>
      <c r="H1196" s="57" t="s">
        <v>37</v>
      </c>
      <c r="I1196" s="55" t="s">
        <v>51</v>
      </c>
      <c r="J1196" s="57">
        <v>1350</v>
      </c>
      <c r="K1196" s="58"/>
      <c r="L1196" s="114">
        <f>5</f>
        <v>5</v>
      </c>
      <c r="M1196" s="60"/>
      <c r="N1196" s="61"/>
      <c r="O1196" s="61"/>
      <c r="P1196" s="77">
        <f>1</f>
        <v>1</v>
      </c>
      <c r="Q1196" s="77">
        <f>1</f>
        <v>1</v>
      </c>
      <c r="R1196" s="77">
        <f>2</f>
        <v>2</v>
      </c>
      <c r="S1196" s="77">
        <f>1</f>
        <v>1</v>
      </c>
      <c r="T1196" s="77">
        <f>0</f>
        <v>0</v>
      </c>
      <c r="U1196" s="77">
        <f>0</f>
        <v>0</v>
      </c>
      <c r="V1196" s="77">
        <f>0</f>
        <v>0</v>
      </c>
      <c r="W1196" s="63"/>
      <c r="X1196" s="63"/>
      <c r="Z1196" s="63"/>
      <c r="AA1196" s="113"/>
      <c r="AB1196" s="113"/>
      <c r="AC1196" s="113"/>
    </row>
    <row r="1197" spans="1:29" ht="60" hidden="1" customHeight="1" x14ac:dyDescent="0.2">
      <c r="A1197" s="50" t="s">
        <v>2002</v>
      </c>
      <c r="B1197" s="74"/>
      <c r="C1197" s="68" t="s">
        <v>2003</v>
      </c>
      <c r="D1197" s="53" t="s">
        <v>48</v>
      </c>
      <c r="E1197" s="54" t="s">
        <v>585</v>
      </c>
      <c r="F1197" s="67" t="s">
        <v>49</v>
      </c>
      <c r="G1197" s="67" t="s">
        <v>50</v>
      </c>
      <c r="H1197" s="57" t="s">
        <v>37</v>
      </c>
      <c r="I1197" s="55" t="s">
        <v>51</v>
      </c>
      <c r="J1197" s="57">
        <v>1250</v>
      </c>
      <c r="K1197" s="58"/>
      <c r="L1197" s="114">
        <f>0</f>
        <v>0</v>
      </c>
      <c r="M1197" s="60"/>
      <c r="N1197" s="61"/>
      <c r="O1197" s="61"/>
      <c r="P1197" s="77">
        <f>0</f>
        <v>0</v>
      </c>
      <c r="Q1197" s="77">
        <f>0</f>
        <v>0</v>
      </c>
      <c r="R1197" s="77">
        <f>0</f>
        <v>0</v>
      </c>
      <c r="S1197" s="77">
        <f>0</f>
        <v>0</v>
      </c>
      <c r="T1197" s="77">
        <f>0</f>
        <v>0</v>
      </c>
      <c r="U1197" s="77">
        <f>0</f>
        <v>0</v>
      </c>
      <c r="V1197" s="77">
        <f>0</f>
        <v>0</v>
      </c>
      <c r="W1197" s="63"/>
      <c r="X1197" s="63"/>
      <c r="Z1197" s="63"/>
      <c r="AA1197" s="113"/>
      <c r="AB1197" s="113"/>
      <c r="AC1197" s="113"/>
    </row>
    <row r="1198" spans="1:29" ht="60" hidden="1" customHeight="1" x14ac:dyDescent="0.2">
      <c r="A1198" s="50" t="s">
        <v>2004</v>
      </c>
      <c r="B1198" s="74"/>
      <c r="C1198" s="87" t="s">
        <v>2005</v>
      </c>
      <c r="D1198" s="53" t="s">
        <v>48</v>
      </c>
      <c r="E1198" s="54" t="s">
        <v>585</v>
      </c>
      <c r="F1198" s="67" t="s">
        <v>49</v>
      </c>
      <c r="G1198" s="67" t="s">
        <v>50</v>
      </c>
      <c r="H1198" s="57" t="s">
        <v>442</v>
      </c>
      <c r="I1198" s="55" t="s">
        <v>637</v>
      </c>
      <c r="J1198" s="57">
        <v>1250</v>
      </c>
      <c r="K1198" s="58"/>
      <c r="L1198" s="114"/>
      <c r="M1198" s="60"/>
      <c r="N1198" s="61"/>
      <c r="O1198" s="61"/>
      <c r="P1198" s="77"/>
      <c r="Q1198" s="77"/>
      <c r="R1198" s="77"/>
      <c r="S1198" s="77"/>
      <c r="T1198" s="77"/>
      <c r="U1198" s="77"/>
      <c r="V1198" s="77"/>
      <c r="W1198" s="63"/>
      <c r="X1198" s="63"/>
      <c r="Z1198" s="63"/>
      <c r="AA1198" s="113"/>
      <c r="AB1198" s="113"/>
      <c r="AC1198" s="113"/>
    </row>
    <row r="1199" spans="1:29" ht="60" hidden="1" customHeight="1" x14ac:dyDescent="0.2">
      <c r="A1199" s="50" t="s">
        <v>2006</v>
      </c>
      <c r="B1199" s="74"/>
      <c r="C1199" s="87" t="s">
        <v>2007</v>
      </c>
      <c r="D1199" s="53" t="s">
        <v>48</v>
      </c>
      <c r="E1199" s="54" t="s">
        <v>585</v>
      </c>
      <c r="F1199" s="67" t="s">
        <v>49</v>
      </c>
      <c r="G1199" s="67" t="s">
        <v>50</v>
      </c>
      <c r="H1199" s="57" t="s">
        <v>149</v>
      </c>
      <c r="I1199" s="55" t="s">
        <v>637</v>
      </c>
      <c r="J1199" s="57">
        <v>1250</v>
      </c>
      <c r="K1199" s="58"/>
      <c r="L1199" s="114"/>
      <c r="M1199" s="60"/>
      <c r="N1199" s="61"/>
      <c r="O1199" s="61"/>
      <c r="P1199" s="77"/>
      <c r="Q1199" s="77"/>
      <c r="R1199" s="77"/>
      <c r="S1199" s="77"/>
      <c r="T1199" s="77"/>
      <c r="U1199" s="77"/>
      <c r="V1199" s="77"/>
      <c r="W1199" s="63"/>
      <c r="X1199" s="63"/>
      <c r="Z1199" s="63"/>
      <c r="AA1199" s="113"/>
      <c r="AB1199" s="113"/>
      <c r="AC1199" s="113"/>
    </row>
    <row r="1200" spans="1:29" ht="60" customHeight="1" x14ac:dyDescent="0.2">
      <c r="A1200" s="50" t="s">
        <v>2008</v>
      </c>
      <c r="B1200" s="74"/>
      <c r="C1200" s="66" t="s">
        <v>2009</v>
      </c>
      <c r="D1200" s="53" t="s">
        <v>48</v>
      </c>
      <c r="E1200" s="54" t="s">
        <v>585</v>
      </c>
      <c r="F1200" s="67" t="s">
        <v>49</v>
      </c>
      <c r="G1200" s="67" t="s">
        <v>50</v>
      </c>
      <c r="H1200" s="57" t="s">
        <v>37</v>
      </c>
      <c r="I1200" s="55" t="s">
        <v>51</v>
      </c>
      <c r="J1200" s="57">
        <v>1300</v>
      </c>
      <c r="K1200" s="58"/>
      <c r="L1200" s="114">
        <f>6-1</f>
        <v>5</v>
      </c>
      <c r="M1200" s="60"/>
      <c r="N1200" s="61"/>
      <c r="O1200" s="61"/>
      <c r="P1200" s="77">
        <f>0</f>
        <v>0</v>
      </c>
      <c r="Q1200" s="77">
        <f>0</f>
        <v>0</v>
      </c>
      <c r="R1200" s="77">
        <f>0</f>
        <v>0</v>
      </c>
      <c r="S1200" s="77">
        <f>2</f>
        <v>2</v>
      </c>
      <c r="T1200" s="77">
        <f>4-1</f>
        <v>3</v>
      </c>
      <c r="U1200" s="77">
        <f>0</f>
        <v>0</v>
      </c>
      <c r="V1200" s="77">
        <f>0</f>
        <v>0</v>
      </c>
      <c r="W1200" s="63"/>
      <c r="X1200" s="63"/>
      <c r="Z1200" s="63"/>
      <c r="AA1200" s="113"/>
      <c r="AB1200" s="113"/>
      <c r="AC1200" s="113"/>
    </row>
    <row r="1201" spans="1:29" ht="60" customHeight="1" x14ac:dyDescent="0.2">
      <c r="A1201" s="50" t="s">
        <v>2010</v>
      </c>
      <c r="B1201" s="74"/>
      <c r="C1201" s="66" t="s">
        <v>2011</v>
      </c>
      <c r="D1201" s="57" t="s">
        <v>58</v>
      </c>
      <c r="E1201" s="54" t="s">
        <v>585</v>
      </c>
      <c r="F1201" s="67" t="s">
        <v>59</v>
      </c>
      <c r="G1201" s="67" t="s">
        <v>50</v>
      </c>
      <c r="H1201" s="57" t="s">
        <v>37</v>
      </c>
      <c r="I1201" s="55" t="s">
        <v>51</v>
      </c>
      <c r="J1201" s="57">
        <v>1300</v>
      </c>
      <c r="K1201" s="58"/>
      <c r="L1201" s="114">
        <f>4</f>
        <v>4</v>
      </c>
      <c r="M1201" s="60"/>
      <c r="N1201" s="61"/>
      <c r="O1201" s="61"/>
      <c r="P1201" s="77">
        <f>0</f>
        <v>0</v>
      </c>
      <c r="Q1201" s="77">
        <f>1</f>
        <v>1</v>
      </c>
      <c r="R1201" s="77">
        <f>3</f>
        <v>3</v>
      </c>
      <c r="S1201" s="77">
        <f>0</f>
        <v>0</v>
      </c>
      <c r="T1201" s="77">
        <f>0</f>
        <v>0</v>
      </c>
      <c r="U1201" s="77">
        <f>0</f>
        <v>0</v>
      </c>
      <c r="V1201" s="77">
        <f>0</f>
        <v>0</v>
      </c>
      <c r="W1201" s="63"/>
      <c r="X1201" s="63"/>
      <c r="Z1201" s="63"/>
      <c r="AA1201" s="113"/>
      <c r="AB1201" s="113"/>
      <c r="AC1201" s="113"/>
    </row>
    <row r="1202" spans="1:29" ht="60" hidden="1" customHeight="1" x14ac:dyDescent="0.2">
      <c r="A1202" s="50" t="s">
        <v>2012</v>
      </c>
      <c r="B1202" s="74"/>
      <c r="C1202" s="66" t="s">
        <v>2013</v>
      </c>
      <c r="D1202" s="57" t="s">
        <v>48</v>
      </c>
      <c r="E1202" s="54" t="s">
        <v>585</v>
      </c>
      <c r="F1202" s="55" t="s">
        <v>49</v>
      </c>
      <c r="G1202" s="67" t="s">
        <v>50</v>
      </c>
      <c r="H1202" s="57" t="s">
        <v>37</v>
      </c>
      <c r="I1202" s="55" t="s">
        <v>51</v>
      </c>
      <c r="J1202" s="57">
        <v>1250</v>
      </c>
      <c r="K1202" s="58"/>
      <c r="L1202" s="114">
        <f>0</f>
        <v>0</v>
      </c>
      <c r="M1202" s="60"/>
      <c r="N1202" s="61"/>
      <c r="O1202" s="61"/>
      <c r="P1202" s="77">
        <f>0</f>
        <v>0</v>
      </c>
      <c r="Q1202" s="77">
        <f>0</f>
        <v>0</v>
      </c>
      <c r="R1202" s="77">
        <f>0</f>
        <v>0</v>
      </c>
      <c r="S1202" s="77">
        <f>0</f>
        <v>0</v>
      </c>
      <c r="T1202" s="77">
        <f>0</f>
        <v>0</v>
      </c>
      <c r="U1202" s="77">
        <f>0</f>
        <v>0</v>
      </c>
      <c r="V1202" s="77">
        <f>0</f>
        <v>0</v>
      </c>
      <c r="W1202" s="63"/>
      <c r="X1202" s="63"/>
      <c r="Z1202" s="63"/>
      <c r="AA1202" s="113"/>
      <c r="AB1202" s="113"/>
      <c r="AC1202" s="113"/>
    </row>
    <row r="1203" spans="1:29" ht="60" hidden="1" customHeight="1" x14ac:dyDescent="0.2">
      <c r="A1203" s="50" t="s">
        <v>2014</v>
      </c>
      <c r="B1203" s="74"/>
      <c r="C1203" s="54" t="s">
        <v>2015</v>
      </c>
      <c r="D1203" s="57" t="s">
        <v>48</v>
      </c>
      <c r="E1203" s="54" t="s">
        <v>585</v>
      </c>
      <c r="F1203" s="55" t="s">
        <v>49</v>
      </c>
      <c r="G1203" s="67" t="s">
        <v>50</v>
      </c>
      <c r="H1203" s="57" t="s">
        <v>442</v>
      </c>
      <c r="I1203" s="55" t="s">
        <v>637</v>
      </c>
      <c r="J1203" s="57">
        <v>1250</v>
      </c>
      <c r="K1203" s="58"/>
      <c r="L1203" s="114"/>
      <c r="M1203" s="60"/>
      <c r="N1203" s="61"/>
      <c r="O1203" s="61"/>
      <c r="P1203" s="77"/>
      <c r="Q1203" s="77"/>
      <c r="R1203" s="77"/>
      <c r="S1203" s="77"/>
      <c r="T1203" s="77"/>
      <c r="U1203" s="77"/>
      <c r="V1203" s="77"/>
      <c r="W1203" s="63"/>
      <c r="X1203" s="63"/>
      <c r="Z1203" s="63"/>
      <c r="AA1203" s="113"/>
      <c r="AB1203" s="113"/>
      <c r="AC1203" s="113"/>
    </row>
    <row r="1204" spans="1:29" ht="60" customHeight="1" x14ac:dyDescent="0.2">
      <c r="A1204" s="50" t="s">
        <v>2016</v>
      </c>
      <c r="B1204" s="74"/>
      <c r="C1204" s="66" t="s">
        <v>2017</v>
      </c>
      <c r="D1204" s="57" t="s">
        <v>58</v>
      </c>
      <c r="E1204" s="54" t="s">
        <v>585</v>
      </c>
      <c r="F1204" s="67" t="s">
        <v>59</v>
      </c>
      <c r="G1204" s="67" t="s">
        <v>50</v>
      </c>
      <c r="H1204" s="57" t="s">
        <v>37</v>
      </c>
      <c r="I1204" s="55" t="s">
        <v>51</v>
      </c>
      <c r="J1204" s="57">
        <v>1250</v>
      </c>
      <c r="K1204" s="58"/>
      <c r="L1204" s="114">
        <f>1</f>
        <v>1</v>
      </c>
      <c r="M1204" s="60"/>
      <c r="N1204" s="61"/>
      <c r="O1204" s="61"/>
      <c r="P1204" s="77">
        <f>0</f>
        <v>0</v>
      </c>
      <c r="Q1204" s="77">
        <f>0</f>
        <v>0</v>
      </c>
      <c r="R1204" s="77">
        <f>0</f>
        <v>0</v>
      </c>
      <c r="S1204" s="77">
        <f>1</f>
        <v>1</v>
      </c>
      <c r="T1204" s="77">
        <f>0</f>
        <v>0</v>
      </c>
      <c r="U1204" s="77">
        <f>0</f>
        <v>0</v>
      </c>
      <c r="V1204" s="77">
        <f>0</f>
        <v>0</v>
      </c>
      <c r="W1204" s="63"/>
      <c r="X1204" s="63"/>
      <c r="Z1204" s="63"/>
      <c r="AA1204" s="113"/>
      <c r="AB1204" s="113"/>
      <c r="AC1204" s="113"/>
    </row>
    <row r="1205" spans="1:29" ht="60" customHeight="1" x14ac:dyDescent="0.2">
      <c r="A1205" s="50" t="s">
        <v>2018</v>
      </c>
      <c r="B1205" s="74"/>
      <c r="C1205" s="66" t="s">
        <v>2019</v>
      </c>
      <c r="D1205" s="57" t="s">
        <v>48</v>
      </c>
      <c r="E1205" s="54" t="s">
        <v>585</v>
      </c>
      <c r="F1205" s="55" t="s">
        <v>49</v>
      </c>
      <c r="G1205" s="67" t="s">
        <v>50</v>
      </c>
      <c r="H1205" s="57" t="s">
        <v>37</v>
      </c>
      <c r="I1205" s="55" t="s">
        <v>51</v>
      </c>
      <c r="J1205" s="57">
        <v>1250</v>
      </c>
      <c r="K1205" s="58"/>
      <c r="L1205" s="114">
        <f>6+3</f>
        <v>9</v>
      </c>
      <c r="M1205" s="60"/>
      <c r="N1205" s="61"/>
      <c r="O1205" s="61"/>
      <c r="P1205" s="77">
        <f>0</f>
        <v>0</v>
      </c>
      <c r="Q1205" s="77">
        <f>0+1</f>
        <v>1</v>
      </c>
      <c r="R1205" s="77">
        <f>2+1</f>
        <v>3</v>
      </c>
      <c r="S1205" s="77">
        <f>1+1</f>
        <v>2</v>
      </c>
      <c r="T1205" s="77">
        <f>3</f>
        <v>3</v>
      </c>
      <c r="U1205" s="77">
        <f>0</f>
        <v>0</v>
      </c>
      <c r="V1205" s="77">
        <f>0</f>
        <v>0</v>
      </c>
      <c r="W1205" s="63"/>
      <c r="X1205" s="63"/>
      <c r="Z1205" s="63"/>
      <c r="AA1205" s="113"/>
      <c r="AB1205" s="113"/>
      <c r="AC1205" s="113"/>
    </row>
    <row r="1206" spans="1:29" ht="60" hidden="1" customHeight="1" x14ac:dyDescent="0.2">
      <c r="A1206" s="50" t="s">
        <v>2020</v>
      </c>
      <c r="B1206" s="74"/>
      <c r="C1206" s="66" t="s">
        <v>2021</v>
      </c>
      <c r="D1206" s="57" t="s">
        <v>58</v>
      </c>
      <c r="E1206" s="54" t="s">
        <v>585</v>
      </c>
      <c r="F1206" s="67" t="s">
        <v>59</v>
      </c>
      <c r="G1206" s="67" t="s">
        <v>50</v>
      </c>
      <c r="H1206" s="57" t="s">
        <v>37</v>
      </c>
      <c r="I1206" s="55" t="s">
        <v>51</v>
      </c>
      <c r="J1206" s="57">
        <v>1250</v>
      </c>
      <c r="K1206" s="58"/>
      <c r="L1206" s="114"/>
      <c r="M1206" s="60"/>
      <c r="N1206" s="61"/>
      <c r="O1206" s="61"/>
      <c r="P1206" s="77"/>
      <c r="Q1206" s="77"/>
      <c r="R1206" s="77"/>
      <c r="S1206" s="77"/>
      <c r="T1206" s="77"/>
      <c r="U1206" s="77"/>
      <c r="V1206" s="77"/>
      <c r="W1206" s="63"/>
      <c r="X1206" s="63"/>
      <c r="Z1206" s="63"/>
      <c r="AA1206" s="113"/>
      <c r="AB1206" s="113"/>
      <c r="AC1206" s="113"/>
    </row>
    <row r="1207" spans="1:29" ht="60" customHeight="1" x14ac:dyDescent="0.2">
      <c r="A1207" s="50" t="s">
        <v>2022</v>
      </c>
      <c r="B1207" s="74"/>
      <c r="C1207" s="66" t="s">
        <v>2023</v>
      </c>
      <c r="D1207" s="57" t="s">
        <v>58</v>
      </c>
      <c r="E1207" s="54" t="s">
        <v>585</v>
      </c>
      <c r="F1207" s="67" t="s">
        <v>59</v>
      </c>
      <c r="G1207" s="67" t="s">
        <v>50</v>
      </c>
      <c r="H1207" s="57" t="s">
        <v>37</v>
      </c>
      <c r="I1207" s="55" t="s">
        <v>51</v>
      </c>
      <c r="J1207" s="57">
        <v>1250</v>
      </c>
      <c r="K1207" s="58"/>
      <c r="L1207" s="114">
        <f>1</f>
        <v>1</v>
      </c>
      <c r="M1207" s="60"/>
      <c r="N1207" s="61"/>
      <c r="O1207" s="61"/>
      <c r="P1207" s="77">
        <f>0</f>
        <v>0</v>
      </c>
      <c r="Q1207" s="77">
        <f>0</f>
        <v>0</v>
      </c>
      <c r="R1207" s="77">
        <f>1</f>
        <v>1</v>
      </c>
      <c r="S1207" s="77">
        <f>0</f>
        <v>0</v>
      </c>
      <c r="T1207" s="77">
        <f>0</f>
        <v>0</v>
      </c>
      <c r="U1207" s="77">
        <f>0</f>
        <v>0</v>
      </c>
      <c r="V1207" s="77">
        <f>0</f>
        <v>0</v>
      </c>
      <c r="W1207" s="63"/>
      <c r="X1207" s="63"/>
      <c r="Z1207" s="63"/>
      <c r="AA1207" s="113"/>
      <c r="AB1207" s="113"/>
      <c r="AC1207" s="113"/>
    </row>
    <row r="1208" spans="1:29" ht="60" customHeight="1" x14ac:dyDescent="0.2">
      <c r="A1208" s="50" t="s">
        <v>2024</v>
      </c>
      <c r="B1208" s="51"/>
      <c r="C1208" s="66" t="s">
        <v>2025</v>
      </c>
      <c r="D1208" s="53" t="s">
        <v>48</v>
      </c>
      <c r="E1208" s="54" t="s">
        <v>585</v>
      </c>
      <c r="F1208" s="67" t="s">
        <v>49</v>
      </c>
      <c r="G1208" s="67" t="s">
        <v>50</v>
      </c>
      <c r="H1208" s="57" t="s">
        <v>60</v>
      </c>
      <c r="I1208" s="55" t="s">
        <v>637</v>
      </c>
      <c r="J1208" s="57">
        <v>950</v>
      </c>
      <c r="K1208" s="58"/>
      <c r="L1208" s="114">
        <f>28-23+23</f>
        <v>28</v>
      </c>
      <c r="M1208" s="60"/>
      <c r="N1208" s="61"/>
      <c r="O1208" s="61"/>
      <c r="P1208" s="77">
        <f>0</f>
        <v>0</v>
      </c>
      <c r="Q1208" s="77">
        <f>3-3+3</f>
        <v>3</v>
      </c>
      <c r="R1208" s="77">
        <f>9-5+5</f>
        <v>9</v>
      </c>
      <c r="S1208" s="77">
        <f>11-10+10</f>
        <v>11</v>
      </c>
      <c r="T1208" s="77">
        <f>3-3+3</f>
        <v>3</v>
      </c>
      <c r="U1208" s="77">
        <f>1-1+1</f>
        <v>1</v>
      </c>
      <c r="V1208" s="77">
        <f>1-1+1</f>
        <v>1</v>
      </c>
      <c r="W1208" s="63"/>
      <c r="X1208" s="63"/>
      <c r="Z1208" s="63"/>
      <c r="AA1208" s="113"/>
      <c r="AB1208" s="113"/>
      <c r="AC1208" s="113"/>
    </row>
    <row r="1209" spans="1:29" ht="60" customHeight="1" x14ac:dyDescent="0.2">
      <c r="A1209" s="50" t="s">
        <v>2026</v>
      </c>
      <c r="B1209" s="51"/>
      <c r="C1209" s="66" t="s">
        <v>2027</v>
      </c>
      <c r="D1209" s="53" t="s">
        <v>48</v>
      </c>
      <c r="E1209" s="54" t="s">
        <v>585</v>
      </c>
      <c r="F1209" s="67" t="s">
        <v>49</v>
      </c>
      <c r="G1209" s="67" t="s">
        <v>50</v>
      </c>
      <c r="H1209" s="57" t="s">
        <v>60</v>
      </c>
      <c r="I1209" s="55" t="s">
        <v>637</v>
      </c>
      <c r="J1209" s="57">
        <v>950</v>
      </c>
      <c r="K1209" s="58"/>
      <c r="L1209" s="114">
        <f>18-17+17</f>
        <v>18</v>
      </c>
      <c r="M1209" s="60"/>
      <c r="N1209" s="61"/>
      <c r="O1209" s="61"/>
      <c r="P1209" s="77">
        <f>0</f>
        <v>0</v>
      </c>
      <c r="Q1209" s="77">
        <f>3-3+3</f>
        <v>3</v>
      </c>
      <c r="R1209" s="77">
        <f>5-5+5</f>
        <v>5</v>
      </c>
      <c r="S1209" s="77">
        <f>6-5+5</f>
        <v>6</v>
      </c>
      <c r="T1209" s="77">
        <f>2-2+2</f>
        <v>2</v>
      </c>
      <c r="U1209" s="77">
        <f>1-1+1</f>
        <v>1</v>
      </c>
      <c r="V1209" s="77">
        <f>1-1+1</f>
        <v>1</v>
      </c>
      <c r="W1209" s="63"/>
      <c r="X1209" s="63"/>
      <c r="Z1209" s="63"/>
      <c r="AA1209" s="113"/>
      <c r="AB1209" s="113"/>
      <c r="AC1209" s="113"/>
    </row>
    <row r="1210" spans="1:29" ht="60" customHeight="1" x14ac:dyDescent="0.2">
      <c r="A1210" s="50" t="s">
        <v>2028</v>
      </c>
      <c r="B1210" s="51"/>
      <c r="C1210" s="68" t="s">
        <v>2029</v>
      </c>
      <c r="D1210" s="53" t="s">
        <v>48</v>
      </c>
      <c r="E1210" s="54" t="s">
        <v>585</v>
      </c>
      <c r="F1210" s="55" t="s">
        <v>49</v>
      </c>
      <c r="G1210" s="67" t="s">
        <v>50</v>
      </c>
      <c r="H1210" s="57" t="s">
        <v>37</v>
      </c>
      <c r="I1210" s="55" t="s">
        <v>51</v>
      </c>
      <c r="J1210" s="57">
        <v>1350</v>
      </c>
      <c r="K1210" s="58"/>
      <c r="L1210" s="114">
        <f>3</f>
        <v>3</v>
      </c>
      <c r="M1210" s="60"/>
      <c r="N1210" s="61"/>
      <c r="O1210" s="61"/>
      <c r="P1210" s="77">
        <f>0</f>
        <v>0</v>
      </c>
      <c r="Q1210" s="77">
        <f>1</f>
        <v>1</v>
      </c>
      <c r="R1210" s="77">
        <f>1</f>
        <v>1</v>
      </c>
      <c r="S1210" s="77">
        <f>0</f>
        <v>0</v>
      </c>
      <c r="T1210" s="77">
        <f>0</f>
        <v>0</v>
      </c>
      <c r="U1210" s="77">
        <f>0</f>
        <v>0</v>
      </c>
      <c r="V1210" s="77">
        <f>1</f>
        <v>1</v>
      </c>
      <c r="W1210" s="63"/>
      <c r="X1210" s="63"/>
      <c r="Z1210" s="63"/>
      <c r="AA1210" s="113"/>
      <c r="AB1210" s="113"/>
      <c r="AC1210" s="113"/>
    </row>
    <row r="1211" spans="1:29" ht="60" customHeight="1" x14ac:dyDescent="0.2">
      <c r="A1211" s="50" t="s">
        <v>2030</v>
      </c>
      <c r="B1211" s="51"/>
      <c r="C1211" s="66" t="s">
        <v>2031</v>
      </c>
      <c r="D1211" s="53" t="s">
        <v>58</v>
      </c>
      <c r="E1211" s="54" t="s">
        <v>585</v>
      </c>
      <c r="F1211" s="55" t="s">
        <v>59</v>
      </c>
      <c r="G1211" s="67" t="s">
        <v>50</v>
      </c>
      <c r="H1211" s="57" t="s">
        <v>37</v>
      </c>
      <c r="I1211" s="55" t="s">
        <v>51</v>
      </c>
      <c r="J1211" s="57">
        <v>1350</v>
      </c>
      <c r="K1211" s="58"/>
      <c r="L1211" s="114">
        <f>2</f>
        <v>2</v>
      </c>
      <c r="M1211" s="60"/>
      <c r="N1211" s="61"/>
      <c r="O1211" s="61"/>
      <c r="P1211" s="77">
        <f>1</f>
        <v>1</v>
      </c>
      <c r="Q1211" s="77">
        <f>1</f>
        <v>1</v>
      </c>
      <c r="R1211" s="77">
        <f>0</f>
        <v>0</v>
      </c>
      <c r="S1211" s="77">
        <f>0</f>
        <v>0</v>
      </c>
      <c r="T1211" s="77">
        <f>0</f>
        <v>0</v>
      </c>
      <c r="U1211" s="77">
        <f>0</f>
        <v>0</v>
      </c>
      <c r="V1211" s="77">
        <f>0</f>
        <v>0</v>
      </c>
      <c r="W1211" s="63"/>
      <c r="X1211" s="63"/>
      <c r="Z1211" s="63"/>
      <c r="AA1211" s="113"/>
      <c r="AB1211" s="113"/>
      <c r="AC1211" s="113"/>
    </row>
    <row r="1212" spans="1:29" ht="60" customHeight="1" x14ac:dyDescent="0.2">
      <c r="A1212" s="50" t="s">
        <v>2032</v>
      </c>
      <c r="B1212" s="74"/>
      <c r="C1212" s="66" t="s">
        <v>2033</v>
      </c>
      <c r="D1212" s="53" t="s">
        <v>48</v>
      </c>
      <c r="E1212" s="54" t="s">
        <v>585</v>
      </c>
      <c r="F1212" s="67" t="s">
        <v>49</v>
      </c>
      <c r="G1212" s="67" t="s">
        <v>50</v>
      </c>
      <c r="H1212" s="57" t="s">
        <v>37</v>
      </c>
      <c r="I1212" s="55" t="s">
        <v>51</v>
      </c>
      <c r="J1212" s="57">
        <v>1350</v>
      </c>
      <c r="K1212" s="58"/>
      <c r="L1212" s="114">
        <f>30-26+26</f>
        <v>30</v>
      </c>
      <c r="M1212" s="60"/>
      <c r="N1212" s="61"/>
      <c r="O1212" s="61"/>
      <c r="P1212" s="77">
        <f>0</f>
        <v>0</v>
      </c>
      <c r="Q1212" s="77">
        <f>6-5+5</f>
        <v>6</v>
      </c>
      <c r="R1212" s="77">
        <f>7-5+5</f>
        <v>7</v>
      </c>
      <c r="S1212" s="77">
        <f>11-10+10</f>
        <v>11</v>
      </c>
      <c r="T1212" s="77">
        <f>3-3+3</f>
        <v>3</v>
      </c>
      <c r="U1212" s="77">
        <f>2-2+2</f>
        <v>2</v>
      </c>
      <c r="V1212" s="77">
        <f>1-1+1</f>
        <v>1</v>
      </c>
      <c r="W1212" s="63"/>
      <c r="X1212" s="63"/>
      <c r="Z1212" s="63"/>
      <c r="AA1212" s="113"/>
      <c r="AB1212" s="113"/>
      <c r="AC1212" s="113"/>
    </row>
    <row r="1213" spans="1:29" ht="60" customHeight="1" x14ac:dyDescent="0.2">
      <c r="A1213" s="50" t="s">
        <v>2034</v>
      </c>
      <c r="B1213" s="74"/>
      <c r="C1213" s="54" t="s">
        <v>2035</v>
      </c>
      <c r="D1213" s="57" t="s">
        <v>58</v>
      </c>
      <c r="E1213" s="54" t="s">
        <v>585</v>
      </c>
      <c r="F1213" s="67" t="s">
        <v>59</v>
      </c>
      <c r="G1213" s="67" t="s">
        <v>50</v>
      </c>
      <c r="H1213" s="57" t="s">
        <v>37</v>
      </c>
      <c r="I1213" s="55" t="s">
        <v>51</v>
      </c>
      <c r="J1213" s="57">
        <v>1350</v>
      </c>
      <c r="K1213" s="58"/>
      <c r="L1213" s="114">
        <f>5-2</f>
        <v>3</v>
      </c>
      <c r="M1213" s="60"/>
      <c r="N1213" s="61"/>
      <c r="O1213" s="61"/>
      <c r="P1213" s="77">
        <f>1-1+1</f>
        <v>1</v>
      </c>
      <c r="Q1213" s="77">
        <f>2-1</f>
        <v>1</v>
      </c>
      <c r="R1213" s="77">
        <f>1-1+1</f>
        <v>1</v>
      </c>
      <c r="S1213" s="77">
        <f>1-1</f>
        <v>0</v>
      </c>
      <c r="T1213" s="77">
        <f>0</f>
        <v>0</v>
      </c>
      <c r="U1213" s="77">
        <f>0</f>
        <v>0</v>
      </c>
      <c r="V1213" s="77">
        <f>0</f>
        <v>0</v>
      </c>
      <c r="W1213" s="63"/>
      <c r="X1213" s="63"/>
      <c r="Z1213" s="63"/>
      <c r="AA1213" s="113"/>
      <c r="AB1213" s="113"/>
      <c r="AC1213" s="113"/>
    </row>
    <row r="1214" spans="1:29" ht="60" customHeight="1" x14ac:dyDescent="0.2">
      <c r="A1214" s="50" t="s">
        <v>2036</v>
      </c>
      <c r="B1214" s="74"/>
      <c r="C1214" s="68" t="s">
        <v>2037</v>
      </c>
      <c r="D1214" s="53" t="s">
        <v>48</v>
      </c>
      <c r="E1214" s="54" t="s">
        <v>585</v>
      </c>
      <c r="F1214" s="67" t="s">
        <v>49</v>
      </c>
      <c r="G1214" s="67" t="s">
        <v>50</v>
      </c>
      <c r="H1214" s="57" t="s">
        <v>37</v>
      </c>
      <c r="I1214" s="55" t="s">
        <v>51</v>
      </c>
      <c r="J1214" s="57">
        <v>1250</v>
      </c>
      <c r="K1214" s="58"/>
      <c r="L1214" s="114">
        <f>4</f>
        <v>4</v>
      </c>
      <c r="M1214" s="60"/>
      <c r="N1214" s="61"/>
      <c r="O1214" s="61"/>
      <c r="P1214" s="77">
        <f>0</f>
        <v>0</v>
      </c>
      <c r="Q1214" s="77">
        <f>0</f>
        <v>0</v>
      </c>
      <c r="R1214" s="77">
        <f>0</f>
        <v>0</v>
      </c>
      <c r="S1214" s="77">
        <f>0</f>
        <v>0</v>
      </c>
      <c r="T1214" s="77">
        <f>2</f>
        <v>2</v>
      </c>
      <c r="U1214" s="77">
        <f>2</f>
        <v>2</v>
      </c>
      <c r="V1214" s="77">
        <f>0</f>
        <v>0</v>
      </c>
      <c r="W1214" s="63"/>
      <c r="X1214" s="63"/>
      <c r="Z1214" s="63"/>
      <c r="AA1214" s="113"/>
      <c r="AB1214" s="113"/>
      <c r="AC1214" s="113"/>
    </row>
    <row r="1215" spans="1:29" ht="60" customHeight="1" x14ac:dyDescent="0.2">
      <c r="A1215" s="50" t="s">
        <v>2038</v>
      </c>
      <c r="B1215" s="74"/>
      <c r="C1215" s="54" t="s">
        <v>2039</v>
      </c>
      <c r="D1215" s="57" t="s">
        <v>58</v>
      </c>
      <c r="E1215" s="54" t="s">
        <v>585</v>
      </c>
      <c r="F1215" s="67" t="s">
        <v>59</v>
      </c>
      <c r="G1215" s="67" t="s">
        <v>50</v>
      </c>
      <c r="H1215" s="57" t="s">
        <v>37</v>
      </c>
      <c r="I1215" s="55" t="s">
        <v>51</v>
      </c>
      <c r="J1215" s="57">
        <v>1250</v>
      </c>
      <c r="K1215" s="58"/>
      <c r="L1215" s="114">
        <f>10-9+9</f>
        <v>10</v>
      </c>
      <c r="M1215" s="60"/>
      <c r="N1215" s="61"/>
      <c r="O1215" s="61"/>
      <c r="P1215" s="77">
        <f>6-5+5</f>
        <v>6</v>
      </c>
      <c r="Q1215" s="77">
        <f>0</f>
        <v>0</v>
      </c>
      <c r="R1215" s="77">
        <f>4-4+4</f>
        <v>4</v>
      </c>
      <c r="S1215" s="77">
        <f>0</f>
        <v>0</v>
      </c>
      <c r="T1215" s="77">
        <f>0</f>
        <v>0</v>
      </c>
      <c r="U1215" s="77">
        <f>0</f>
        <v>0</v>
      </c>
      <c r="V1215" s="77">
        <f>0</f>
        <v>0</v>
      </c>
      <c r="W1215" s="63"/>
      <c r="X1215" s="63"/>
      <c r="Z1215" s="63"/>
      <c r="AA1215" s="113"/>
      <c r="AB1215" s="113"/>
      <c r="AC1215" s="113"/>
    </row>
    <row r="1216" spans="1:29" ht="60" customHeight="1" x14ac:dyDescent="0.2">
      <c r="A1216" s="50" t="s">
        <v>2040</v>
      </c>
      <c r="B1216" s="74"/>
      <c r="C1216" s="87" t="s">
        <v>2041</v>
      </c>
      <c r="D1216" s="53" t="s">
        <v>48</v>
      </c>
      <c r="E1216" s="54" t="s">
        <v>585</v>
      </c>
      <c r="F1216" s="67" t="s">
        <v>49</v>
      </c>
      <c r="G1216" s="67" t="s">
        <v>50</v>
      </c>
      <c r="H1216" s="57" t="s">
        <v>60</v>
      </c>
      <c r="I1216" s="55" t="s">
        <v>637</v>
      </c>
      <c r="J1216" s="57">
        <v>950</v>
      </c>
      <c r="K1216" s="58"/>
      <c r="L1216" s="114">
        <f>14-13+13+1</f>
        <v>15</v>
      </c>
      <c r="M1216" s="60"/>
      <c r="N1216" s="61"/>
      <c r="O1216" s="61"/>
      <c r="P1216" s="77">
        <f>0</f>
        <v>0</v>
      </c>
      <c r="Q1216" s="77">
        <f>3-3+3</f>
        <v>3</v>
      </c>
      <c r="R1216" s="77">
        <f>1-1</f>
        <v>0</v>
      </c>
      <c r="S1216" s="77">
        <f>6-5+5</f>
        <v>6</v>
      </c>
      <c r="T1216" s="77">
        <f>3-3+3</f>
        <v>3</v>
      </c>
      <c r="U1216" s="77">
        <f>2-2+2+1</f>
        <v>3</v>
      </c>
      <c r="V1216" s="77">
        <f>0</f>
        <v>0</v>
      </c>
      <c r="W1216" s="63"/>
      <c r="X1216" s="63"/>
      <c r="Z1216" s="63"/>
      <c r="AA1216" s="113"/>
      <c r="AB1216" s="113"/>
      <c r="AC1216" s="113"/>
    </row>
    <row r="1217" spans="1:29" ht="60" hidden="1" customHeight="1" x14ac:dyDescent="0.2">
      <c r="A1217" s="50" t="s">
        <v>2042</v>
      </c>
      <c r="B1217" s="74"/>
      <c r="C1217" s="68" t="s">
        <v>2043</v>
      </c>
      <c r="D1217" s="53" t="s">
        <v>48</v>
      </c>
      <c r="E1217" s="54" t="s">
        <v>585</v>
      </c>
      <c r="F1217" s="67" t="s">
        <v>49</v>
      </c>
      <c r="G1217" s="67" t="s">
        <v>50</v>
      </c>
      <c r="H1217" s="57" t="s">
        <v>37</v>
      </c>
      <c r="I1217" s="55" t="s">
        <v>637</v>
      </c>
      <c r="J1217" s="57">
        <v>950</v>
      </c>
      <c r="K1217" s="58"/>
      <c r="L1217" s="114">
        <f>0</f>
        <v>0</v>
      </c>
      <c r="M1217" s="60"/>
      <c r="N1217" s="61"/>
      <c r="O1217" s="61"/>
      <c r="P1217" s="77">
        <f>0</f>
        <v>0</v>
      </c>
      <c r="Q1217" s="77">
        <f>0</f>
        <v>0</v>
      </c>
      <c r="R1217" s="77">
        <f>0</f>
        <v>0</v>
      </c>
      <c r="S1217" s="77">
        <f>0</f>
        <v>0</v>
      </c>
      <c r="T1217" s="77">
        <f>0</f>
        <v>0</v>
      </c>
      <c r="U1217" s="77">
        <f>0</f>
        <v>0</v>
      </c>
      <c r="V1217" s="77">
        <f>0</f>
        <v>0</v>
      </c>
      <c r="W1217" s="63"/>
      <c r="X1217" s="63"/>
      <c r="Z1217" s="63"/>
      <c r="AA1217" s="113"/>
      <c r="AB1217" s="113"/>
      <c r="AC1217" s="113"/>
    </row>
    <row r="1218" spans="1:29" ht="60" customHeight="1" x14ac:dyDescent="0.2">
      <c r="A1218" s="50" t="s">
        <v>2044</v>
      </c>
      <c r="B1218" s="74"/>
      <c r="C1218" s="54" t="s">
        <v>2043</v>
      </c>
      <c r="D1218" s="53" t="s">
        <v>48</v>
      </c>
      <c r="E1218" s="54" t="s">
        <v>585</v>
      </c>
      <c r="F1218" s="67" t="s">
        <v>49</v>
      </c>
      <c r="G1218" s="67" t="s">
        <v>50</v>
      </c>
      <c r="H1218" s="57" t="s">
        <v>442</v>
      </c>
      <c r="I1218" s="55" t="s">
        <v>637</v>
      </c>
      <c r="J1218" s="57">
        <v>950</v>
      </c>
      <c r="K1218" s="58"/>
      <c r="L1218" s="114">
        <f>1</f>
        <v>1</v>
      </c>
      <c r="M1218" s="60"/>
      <c r="N1218" s="61"/>
      <c r="O1218" s="61"/>
      <c r="P1218" s="77">
        <f>0</f>
        <v>0</v>
      </c>
      <c r="Q1218" s="77">
        <f>0</f>
        <v>0</v>
      </c>
      <c r="R1218" s="77">
        <f>1</f>
        <v>1</v>
      </c>
      <c r="S1218" s="77">
        <f>0</f>
        <v>0</v>
      </c>
      <c r="T1218" s="77">
        <f>0</f>
        <v>0</v>
      </c>
      <c r="U1218" s="77">
        <f>0</f>
        <v>0</v>
      </c>
      <c r="V1218" s="77">
        <f>0</f>
        <v>0</v>
      </c>
      <c r="W1218" s="63"/>
      <c r="X1218" s="63"/>
      <c r="Z1218" s="63"/>
      <c r="AA1218" s="113"/>
      <c r="AB1218" s="113"/>
      <c r="AC1218" s="113"/>
    </row>
    <row r="1219" spans="1:29" ht="60" customHeight="1" x14ac:dyDescent="0.2">
      <c r="A1219" s="50" t="s">
        <v>2045</v>
      </c>
      <c r="B1219" s="74"/>
      <c r="C1219" s="68" t="s">
        <v>2046</v>
      </c>
      <c r="D1219" s="53" t="s">
        <v>48</v>
      </c>
      <c r="E1219" s="54" t="s">
        <v>585</v>
      </c>
      <c r="F1219" s="67" t="s">
        <v>49</v>
      </c>
      <c r="G1219" s="67" t="s">
        <v>50</v>
      </c>
      <c r="H1219" s="57" t="s">
        <v>84</v>
      </c>
      <c r="I1219" s="55" t="s">
        <v>637</v>
      </c>
      <c r="J1219" s="57">
        <v>950</v>
      </c>
      <c r="K1219" s="58"/>
      <c r="L1219" s="114">
        <f>5+2+1</f>
        <v>8</v>
      </c>
      <c r="M1219" s="60"/>
      <c r="N1219" s="61"/>
      <c r="O1219" s="61"/>
      <c r="P1219" s="77">
        <f>0</f>
        <v>0</v>
      </c>
      <c r="Q1219" s="77">
        <f>1</f>
        <v>1</v>
      </c>
      <c r="R1219" s="77">
        <f>0</f>
        <v>0</v>
      </c>
      <c r="S1219" s="77">
        <f>3+1+1</f>
        <v>5</v>
      </c>
      <c r="T1219" s="77">
        <f>1+1</f>
        <v>2</v>
      </c>
      <c r="U1219" s="77">
        <f>0</f>
        <v>0</v>
      </c>
      <c r="V1219" s="77">
        <f>0</f>
        <v>0</v>
      </c>
      <c r="W1219" s="63"/>
      <c r="X1219" s="63"/>
      <c r="Z1219" s="63"/>
      <c r="AA1219" s="113"/>
      <c r="AB1219" s="113"/>
      <c r="AC1219" s="113"/>
    </row>
    <row r="1220" spans="1:29" ht="60" customHeight="1" x14ac:dyDescent="0.2">
      <c r="A1220" s="50" t="s">
        <v>2047</v>
      </c>
      <c r="B1220" s="74"/>
      <c r="C1220" s="68" t="s">
        <v>2048</v>
      </c>
      <c r="D1220" s="57" t="s">
        <v>48</v>
      </c>
      <c r="E1220" s="54" t="s">
        <v>585</v>
      </c>
      <c r="F1220" s="67" t="s">
        <v>49</v>
      </c>
      <c r="G1220" s="67" t="s">
        <v>50</v>
      </c>
      <c r="H1220" s="57" t="s">
        <v>37</v>
      </c>
      <c r="I1220" s="55" t="s">
        <v>51</v>
      </c>
      <c r="J1220" s="57">
        <v>1250</v>
      </c>
      <c r="K1220" s="58"/>
      <c r="L1220" s="114">
        <f>5-1</f>
        <v>4</v>
      </c>
      <c r="M1220" s="60"/>
      <c r="N1220" s="61"/>
      <c r="O1220" s="61"/>
      <c r="P1220" s="77">
        <f>0</f>
        <v>0</v>
      </c>
      <c r="Q1220" s="77">
        <f>2-1</f>
        <v>1</v>
      </c>
      <c r="R1220" s="77">
        <f>2-2</f>
        <v>0</v>
      </c>
      <c r="S1220" s="77">
        <f>1-1</f>
        <v>0</v>
      </c>
      <c r="T1220" s="77">
        <f>2-2+2-1</f>
        <v>1</v>
      </c>
      <c r="U1220" s="77">
        <f>2-2+2</f>
        <v>2</v>
      </c>
      <c r="V1220" s="77">
        <f>0</f>
        <v>0</v>
      </c>
      <c r="W1220" s="63"/>
      <c r="X1220" s="63"/>
      <c r="Z1220" s="63"/>
      <c r="AA1220" s="113"/>
      <c r="AB1220" s="113"/>
      <c r="AC1220" s="113"/>
    </row>
    <row r="1221" spans="1:29" ht="60" customHeight="1" x14ac:dyDescent="0.2">
      <c r="A1221" s="50" t="s">
        <v>2049</v>
      </c>
      <c r="B1221" s="74"/>
      <c r="C1221" s="54" t="s">
        <v>2050</v>
      </c>
      <c r="D1221" s="57" t="s">
        <v>58</v>
      </c>
      <c r="E1221" s="54" t="s">
        <v>585</v>
      </c>
      <c r="F1221" s="67" t="s">
        <v>59</v>
      </c>
      <c r="G1221" s="67" t="s">
        <v>50</v>
      </c>
      <c r="H1221" s="57" t="s">
        <v>37</v>
      </c>
      <c r="I1221" s="55" t="s">
        <v>51</v>
      </c>
      <c r="J1221" s="57">
        <v>1250</v>
      </c>
      <c r="K1221" s="58"/>
      <c r="L1221" s="114">
        <f>28-20</f>
        <v>8</v>
      </c>
      <c r="M1221" s="60"/>
      <c r="N1221" s="61"/>
      <c r="O1221" s="61"/>
      <c r="P1221" s="77">
        <f>7-5</f>
        <v>2</v>
      </c>
      <c r="Q1221" s="77">
        <f>7-5</f>
        <v>2</v>
      </c>
      <c r="R1221" s="77">
        <f>7-5</f>
        <v>2</v>
      </c>
      <c r="S1221" s="77">
        <f>7-5</f>
        <v>2</v>
      </c>
      <c r="T1221" s="77">
        <f>0</f>
        <v>0</v>
      </c>
      <c r="U1221" s="77">
        <f>0</f>
        <v>0</v>
      </c>
      <c r="V1221" s="77">
        <f>0</f>
        <v>0</v>
      </c>
      <c r="W1221" s="63"/>
      <c r="X1221" s="63"/>
      <c r="Z1221" s="63"/>
      <c r="AA1221" s="113"/>
      <c r="AB1221" s="113"/>
      <c r="AC1221" s="113"/>
    </row>
    <row r="1222" spans="1:29" ht="60" customHeight="1" x14ac:dyDescent="0.2">
      <c r="A1222" s="50" t="s">
        <v>2051</v>
      </c>
      <c r="B1222" s="74"/>
      <c r="C1222" s="68" t="s">
        <v>2052</v>
      </c>
      <c r="D1222" s="57" t="s">
        <v>48</v>
      </c>
      <c r="E1222" s="54" t="s">
        <v>585</v>
      </c>
      <c r="F1222" s="67" t="s">
        <v>49</v>
      </c>
      <c r="G1222" s="67" t="s">
        <v>50</v>
      </c>
      <c r="H1222" s="57" t="s">
        <v>37</v>
      </c>
      <c r="I1222" s="55" t="s">
        <v>51</v>
      </c>
      <c r="J1222" s="57">
        <v>1250</v>
      </c>
      <c r="K1222" s="58"/>
      <c r="L1222" s="114">
        <f>1+2</f>
        <v>3</v>
      </c>
      <c r="M1222" s="60"/>
      <c r="N1222" s="61"/>
      <c r="O1222" s="61"/>
      <c r="P1222" s="77">
        <f>0</f>
        <v>0</v>
      </c>
      <c r="Q1222" s="77">
        <f>0+1</f>
        <v>1</v>
      </c>
      <c r="R1222" s="77">
        <f>0</f>
        <v>0</v>
      </c>
      <c r="S1222" s="77">
        <f>0</f>
        <v>0</v>
      </c>
      <c r="T1222" s="77">
        <f>0</f>
        <v>0</v>
      </c>
      <c r="U1222" s="77">
        <f>1+1</f>
        <v>2</v>
      </c>
      <c r="V1222" s="77">
        <f>0</f>
        <v>0</v>
      </c>
      <c r="W1222" s="63"/>
      <c r="X1222" s="63"/>
      <c r="Z1222" s="63"/>
      <c r="AA1222" s="113"/>
      <c r="AB1222" s="113"/>
      <c r="AC1222" s="113"/>
    </row>
    <row r="1223" spans="1:29" ht="60" hidden="1" customHeight="1" x14ac:dyDescent="0.2">
      <c r="A1223" s="50" t="s">
        <v>2053</v>
      </c>
      <c r="B1223" s="74"/>
      <c r="C1223" s="87" t="s">
        <v>2054</v>
      </c>
      <c r="D1223" s="57" t="s">
        <v>58</v>
      </c>
      <c r="E1223" s="54" t="s">
        <v>585</v>
      </c>
      <c r="F1223" s="67" t="s">
        <v>59</v>
      </c>
      <c r="G1223" s="67" t="s">
        <v>50</v>
      </c>
      <c r="H1223" s="57" t="s">
        <v>37</v>
      </c>
      <c r="I1223" s="55" t="s">
        <v>51</v>
      </c>
      <c r="J1223" s="57">
        <v>1250</v>
      </c>
      <c r="K1223" s="58"/>
      <c r="L1223" s="114">
        <f>0</f>
        <v>0</v>
      </c>
      <c r="M1223" s="60"/>
      <c r="N1223" s="61"/>
      <c r="O1223" s="61"/>
      <c r="P1223" s="77">
        <f>0</f>
        <v>0</v>
      </c>
      <c r="Q1223" s="77">
        <f>0</f>
        <v>0</v>
      </c>
      <c r="R1223" s="77">
        <f>0</f>
        <v>0</v>
      </c>
      <c r="S1223" s="77">
        <f>0</f>
        <v>0</v>
      </c>
      <c r="T1223" s="77">
        <f>0</f>
        <v>0</v>
      </c>
      <c r="U1223" s="77">
        <f>0</f>
        <v>0</v>
      </c>
      <c r="V1223" s="77">
        <f>0</f>
        <v>0</v>
      </c>
      <c r="W1223" s="63"/>
      <c r="X1223" s="63"/>
      <c r="Z1223" s="63"/>
      <c r="AA1223" s="113"/>
      <c r="AB1223" s="113"/>
      <c r="AC1223" s="113"/>
    </row>
    <row r="1224" spans="1:29" ht="60" customHeight="1" x14ac:dyDescent="0.2">
      <c r="A1224" s="50" t="s">
        <v>2055</v>
      </c>
      <c r="B1224" s="74"/>
      <c r="C1224" s="68" t="s">
        <v>2056</v>
      </c>
      <c r="D1224" s="53" t="s">
        <v>48</v>
      </c>
      <c r="E1224" s="54" t="s">
        <v>585</v>
      </c>
      <c r="F1224" s="67" t="s">
        <v>49</v>
      </c>
      <c r="G1224" s="67" t="s">
        <v>50</v>
      </c>
      <c r="H1224" s="57" t="s">
        <v>60</v>
      </c>
      <c r="I1224" s="55" t="s">
        <v>637</v>
      </c>
      <c r="J1224" s="57">
        <v>950</v>
      </c>
      <c r="K1224" s="58"/>
      <c r="L1224" s="114">
        <f>9-1</f>
        <v>8</v>
      </c>
      <c r="M1224" s="60"/>
      <c r="N1224" s="61"/>
      <c r="O1224" s="61"/>
      <c r="P1224" s="77">
        <f>0</f>
        <v>0</v>
      </c>
      <c r="Q1224" s="77">
        <f>1-1+1</f>
        <v>1</v>
      </c>
      <c r="R1224" s="77">
        <f>1-1+1</f>
        <v>1</v>
      </c>
      <c r="S1224" s="77">
        <f>3-1+1</f>
        <v>3</v>
      </c>
      <c r="T1224" s="77">
        <f>4-1</f>
        <v>3</v>
      </c>
      <c r="U1224" s="77">
        <f>0</f>
        <v>0</v>
      </c>
      <c r="V1224" s="77">
        <f>0</f>
        <v>0</v>
      </c>
      <c r="W1224" s="63"/>
      <c r="X1224" s="63"/>
      <c r="Z1224" s="63"/>
      <c r="AA1224" s="113"/>
      <c r="AB1224" s="113"/>
      <c r="AC1224" s="113"/>
    </row>
    <row r="1225" spans="1:29" ht="60" customHeight="1" x14ac:dyDescent="0.2">
      <c r="A1225" s="50" t="s">
        <v>2057</v>
      </c>
      <c r="B1225" s="74"/>
      <c r="C1225" s="68" t="s">
        <v>2058</v>
      </c>
      <c r="D1225" s="53" t="s">
        <v>48</v>
      </c>
      <c r="E1225" s="68" t="s">
        <v>585</v>
      </c>
      <c r="F1225" s="67" t="s">
        <v>49</v>
      </c>
      <c r="G1225" s="67" t="s">
        <v>50</v>
      </c>
      <c r="H1225" s="57" t="s">
        <v>37</v>
      </c>
      <c r="I1225" s="55" t="s">
        <v>51</v>
      </c>
      <c r="J1225" s="57">
        <v>1400</v>
      </c>
      <c r="K1225" s="58"/>
      <c r="L1225" s="114">
        <f>19-1</f>
        <v>18</v>
      </c>
      <c r="M1225" s="60"/>
      <c r="N1225" s="61"/>
      <c r="O1225" s="61"/>
      <c r="P1225" s="77">
        <f>0</f>
        <v>0</v>
      </c>
      <c r="Q1225" s="77">
        <f>4-1</f>
        <v>3</v>
      </c>
      <c r="R1225" s="77">
        <f>6-5+5</f>
        <v>6</v>
      </c>
      <c r="S1225" s="77">
        <f>3-3+3</f>
        <v>3</v>
      </c>
      <c r="T1225" s="77">
        <f>5-5+5</f>
        <v>5</v>
      </c>
      <c r="U1225" s="77">
        <f>0</f>
        <v>0</v>
      </c>
      <c r="V1225" s="77">
        <f>1-1+1</f>
        <v>1</v>
      </c>
      <c r="W1225" s="63"/>
      <c r="X1225" s="63"/>
      <c r="Z1225" s="63"/>
      <c r="AA1225" s="113"/>
      <c r="AB1225" s="113"/>
      <c r="AC1225" s="113"/>
    </row>
    <row r="1226" spans="1:29" ht="60" customHeight="1" x14ac:dyDescent="0.2">
      <c r="A1226" s="50" t="s">
        <v>2059</v>
      </c>
      <c r="B1226" s="74"/>
      <c r="C1226" s="54" t="s">
        <v>2060</v>
      </c>
      <c r="D1226" s="53" t="s">
        <v>58</v>
      </c>
      <c r="E1226" s="54" t="s">
        <v>585</v>
      </c>
      <c r="F1226" s="67" t="s">
        <v>59</v>
      </c>
      <c r="G1226" s="67" t="s">
        <v>50</v>
      </c>
      <c r="H1226" s="57" t="s">
        <v>37</v>
      </c>
      <c r="I1226" s="55" t="s">
        <v>51</v>
      </c>
      <c r="J1226" s="57">
        <v>1400</v>
      </c>
      <c r="K1226" s="58"/>
      <c r="L1226" s="114">
        <f>5-1</f>
        <v>4</v>
      </c>
      <c r="M1226" s="60"/>
      <c r="N1226" s="61"/>
      <c r="O1226" s="61"/>
      <c r="P1226" s="77">
        <f>0</f>
        <v>0</v>
      </c>
      <c r="Q1226" s="77">
        <f>2-1+1</f>
        <v>2</v>
      </c>
      <c r="R1226" s="77">
        <f>2-1</f>
        <v>1</v>
      </c>
      <c r="S1226" s="77">
        <f>1-1+1</f>
        <v>1</v>
      </c>
      <c r="T1226" s="77">
        <f>0</f>
        <v>0</v>
      </c>
      <c r="U1226" s="77">
        <f>0</f>
        <v>0</v>
      </c>
      <c r="V1226" s="77">
        <f>0</f>
        <v>0</v>
      </c>
      <c r="W1226" s="63"/>
      <c r="X1226" s="63"/>
      <c r="Z1226" s="63"/>
      <c r="AA1226" s="113"/>
      <c r="AB1226" s="113"/>
      <c r="AC1226" s="113"/>
    </row>
    <row r="1227" spans="1:29" ht="60" hidden="1" customHeight="1" x14ac:dyDescent="0.2">
      <c r="A1227" s="50" t="s">
        <v>2061</v>
      </c>
      <c r="B1227" s="51"/>
      <c r="C1227" s="68" t="s">
        <v>2062</v>
      </c>
      <c r="D1227" s="53" t="s">
        <v>48</v>
      </c>
      <c r="E1227" s="54" t="s">
        <v>585</v>
      </c>
      <c r="F1227" s="67" t="s">
        <v>49</v>
      </c>
      <c r="G1227" s="67" t="s">
        <v>50</v>
      </c>
      <c r="H1227" s="57" t="s">
        <v>37</v>
      </c>
      <c r="I1227" s="55" t="s">
        <v>51</v>
      </c>
      <c r="J1227" s="57">
        <v>1250</v>
      </c>
      <c r="K1227" s="58"/>
      <c r="L1227" s="114">
        <f>0</f>
        <v>0</v>
      </c>
      <c r="M1227" s="60"/>
      <c r="N1227" s="61"/>
      <c r="O1227" s="61"/>
      <c r="P1227" s="77">
        <f>0</f>
        <v>0</v>
      </c>
      <c r="Q1227" s="77">
        <f>0</f>
        <v>0</v>
      </c>
      <c r="R1227" s="77">
        <f>0</f>
        <v>0</v>
      </c>
      <c r="S1227" s="77">
        <f>0</f>
        <v>0</v>
      </c>
      <c r="T1227" s="77">
        <f>0</f>
        <v>0</v>
      </c>
      <c r="U1227" s="77">
        <f>0</f>
        <v>0</v>
      </c>
      <c r="V1227" s="77">
        <f>0</f>
        <v>0</v>
      </c>
      <c r="W1227" s="63"/>
      <c r="X1227" s="63"/>
      <c r="Z1227" s="63"/>
      <c r="AA1227" s="113"/>
      <c r="AB1227" s="113"/>
      <c r="AC1227" s="113"/>
    </row>
    <row r="1228" spans="1:29" ht="60" hidden="1" customHeight="1" x14ac:dyDescent="0.2">
      <c r="A1228" s="50" t="s">
        <v>2063</v>
      </c>
      <c r="B1228" s="51"/>
      <c r="C1228" s="87" t="s">
        <v>2064</v>
      </c>
      <c r="D1228" s="53" t="s">
        <v>58</v>
      </c>
      <c r="E1228" s="54" t="s">
        <v>585</v>
      </c>
      <c r="F1228" s="67" t="s">
        <v>59</v>
      </c>
      <c r="G1228" s="67" t="s">
        <v>50</v>
      </c>
      <c r="H1228" s="57" t="s">
        <v>37</v>
      </c>
      <c r="I1228" s="55" t="s">
        <v>51</v>
      </c>
      <c r="J1228" s="57">
        <v>1250</v>
      </c>
      <c r="K1228" s="58"/>
      <c r="L1228" s="114">
        <f>0</f>
        <v>0</v>
      </c>
      <c r="M1228" s="60"/>
      <c r="N1228" s="61"/>
      <c r="O1228" s="61"/>
      <c r="P1228" s="77">
        <f>0</f>
        <v>0</v>
      </c>
      <c r="Q1228" s="77">
        <f>0</f>
        <v>0</v>
      </c>
      <c r="R1228" s="77">
        <f>0</f>
        <v>0</v>
      </c>
      <c r="S1228" s="77">
        <f>0</f>
        <v>0</v>
      </c>
      <c r="T1228" s="77">
        <f>0</f>
        <v>0</v>
      </c>
      <c r="U1228" s="77">
        <f>0</f>
        <v>0</v>
      </c>
      <c r="V1228" s="77">
        <f>0</f>
        <v>0</v>
      </c>
      <c r="W1228" s="63"/>
      <c r="X1228" s="63"/>
      <c r="Z1228" s="63"/>
      <c r="AA1228" s="113"/>
      <c r="AB1228" s="113"/>
      <c r="AC1228" s="113"/>
    </row>
    <row r="1229" spans="1:29" ht="60" customHeight="1" x14ac:dyDescent="0.2">
      <c r="A1229" s="50" t="s">
        <v>2065</v>
      </c>
      <c r="B1229" s="51"/>
      <c r="C1229" s="68" t="s">
        <v>2066</v>
      </c>
      <c r="D1229" s="53" t="s">
        <v>48</v>
      </c>
      <c r="E1229" s="54" t="s">
        <v>585</v>
      </c>
      <c r="F1229" s="67" t="s">
        <v>49</v>
      </c>
      <c r="G1229" s="67" t="s">
        <v>50</v>
      </c>
      <c r="H1229" s="57" t="s">
        <v>37</v>
      </c>
      <c r="I1229" s="55" t="s">
        <v>51</v>
      </c>
      <c r="J1229" s="57">
        <v>1250</v>
      </c>
      <c r="K1229" s="58"/>
      <c r="L1229" s="114">
        <f>7-1</f>
        <v>6</v>
      </c>
      <c r="M1229" s="60"/>
      <c r="N1229" s="61"/>
      <c r="O1229" s="61"/>
      <c r="P1229" s="77">
        <f>0</f>
        <v>0</v>
      </c>
      <c r="Q1229" s="77">
        <f>1</f>
        <v>1</v>
      </c>
      <c r="R1229" s="77">
        <f>0</f>
        <v>0</v>
      </c>
      <c r="S1229" s="77">
        <f>0</f>
        <v>0</v>
      </c>
      <c r="T1229" s="77">
        <f>5-1</f>
        <v>4</v>
      </c>
      <c r="U1229" s="77">
        <f>1</f>
        <v>1</v>
      </c>
      <c r="V1229" s="77">
        <f>0</f>
        <v>0</v>
      </c>
      <c r="W1229" s="63"/>
      <c r="X1229" s="63"/>
      <c r="Z1229" s="63"/>
      <c r="AA1229" s="113"/>
      <c r="AB1229" s="113"/>
      <c r="AC1229" s="113"/>
    </row>
    <row r="1230" spans="1:29" ht="60" customHeight="1" x14ac:dyDescent="0.2">
      <c r="A1230" s="50" t="s">
        <v>2067</v>
      </c>
      <c r="B1230" s="51"/>
      <c r="C1230" s="54" t="s">
        <v>2068</v>
      </c>
      <c r="D1230" s="53" t="s">
        <v>58</v>
      </c>
      <c r="E1230" s="54" t="s">
        <v>585</v>
      </c>
      <c r="F1230" s="67" t="s">
        <v>59</v>
      </c>
      <c r="G1230" s="67" t="s">
        <v>50</v>
      </c>
      <c r="H1230" s="57" t="s">
        <v>37</v>
      </c>
      <c r="I1230" s="55" t="s">
        <v>51</v>
      </c>
      <c r="J1230" s="57">
        <v>1250</v>
      </c>
      <c r="K1230" s="58"/>
      <c r="L1230" s="114">
        <f>4</f>
        <v>4</v>
      </c>
      <c r="M1230" s="60"/>
      <c r="N1230" s="61"/>
      <c r="O1230" s="61"/>
      <c r="P1230" s="77">
        <f>4</f>
        <v>4</v>
      </c>
      <c r="Q1230" s="77">
        <f>0</f>
        <v>0</v>
      </c>
      <c r="R1230" s="77">
        <f>0</f>
        <v>0</v>
      </c>
      <c r="S1230" s="77">
        <f>0</f>
        <v>0</v>
      </c>
      <c r="T1230" s="77">
        <f>0</f>
        <v>0</v>
      </c>
      <c r="U1230" s="77">
        <f>0</f>
        <v>0</v>
      </c>
      <c r="V1230" s="77">
        <f>0</f>
        <v>0</v>
      </c>
      <c r="W1230" s="63"/>
      <c r="X1230" s="63"/>
      <c r="Z1230" s="63"/>
      <c r="AA1230" s="113"/>
      <c r="AB1230" s="113"/>
      <c r="AC1230" s="113"/>
    </row>
    <row r="1231" spans="1:29" ht="60" hidden="1" customHeight="1" x14ac:dyDescent="0.2">
      <c r="A1231" s="50" t="s">
        <v>2069</v>
      </c>
      <c r="B1231" s="74"/>
      <c r="C1231" s="68" t="s">
        <v>2070</v>
      </c>
      <c r="D1231" s="53" t="s">
        <v>48</v>
      </c>
      <c r="E1231" s="54" t="s">
        <v>585</v>
      </c>
      <c r="F1231" s="67" t="s">
        <v>49</v>
      </c>
      <c r="G1231" s="67" t="s">
        <v>50</v>
      </c>
      <c r="H1231" s="57" t="s">
        <v>37</v>
      </c>
      <c r="I1231" s="55" t="s">
        <v>637</v>
      </c>
      <c r="J1231" s="57">
        <v>1450</v>
      </c>
      <c r="K1231" s="58"/>
      <c r="L1231" s="114">
        <f>0</f>
        <v>0</v>
      </c>
      <c r="M1231" s="60"/>
      <c r="N1231" s="61"/>
      <c r="O1231" s="61"/>
      <c r="P1231" s="77">
        <f>0</f>
        <v>0</v>
      </c>
      <c r="Q1231" s="77">
        <f>0</f>
        <v>0</v>
      </c>
      <c r="R1231" s="77">
        <f>0</f>
        <v>0</v>
      </c>
      <c r="S1231" s="77">
        <f>0</f>
        <v>0</v>
      </c>
      <c r="T1231" s="77">
        <f>0</f>
        <v>0</v>
      </c>
      <c r="U1231" s="77">
        <f>0</f>
        <v>0</v>
      </c>
      <c r="V1231" s="77">
        <f>0</f>
        <v>0</v>
      </c>
      <c r="W1231" s="63"/>
      <c r="X1231" s="63"/>
      <c r="Z1231" s="63"/>
      <c r="AA1231" s="113"/>
      <c r="AB1231" s="113"/>
      <c r="AC1231" s="113"/>
    </row>
    <row r="1232" spans="1:29" ht="60" customHeight="1" x14ac:dyDescent="0.2">
      <c r="A1232" s="50" t="s">
        <v>2071</v>
      </c>
      <c r="B1232" s="74"/>
      <c r="C1232" s="54" t="s">
        <v>2072</v>
      </c>
      <c r="D1232" s="53" t="s">
        <v>58</v>
      </c>
      <c r="E1232" s="54" t="s">
        <v>585</v>
      </c>
      <c r="F1232" s="67" t="s">
        <v>59</v>
      </c>
      <c r="G1232" s="67" t="s">
        <v>50</v>
      </c>
      <c r="H1232" s="57" t="s">
        <v>37</v>
      </c>
      <c r="I1232" s="55" t="s">
        <v>637</v>
      </c>
      <c r="J1232" s="57">
        <v>1450</v>
      </c>
      <c r="K1232" s="58"/>
      <c r="L1232" s="114">
        <f>1</f>
        <v>1</v>
      </c>
      <c r="M1232" s="60"/>
      <c r="N1232" s="61"/>
      <c r="O1232" s="61"/>
      <c r="P1232" s="77">
        <f>0</f>
        <v>0</v>
      </c>
      <c r="Q1232" s="77">
        <f>0</f>
        <v>0</v>
      </c>
      <c r="R1232" s="77">
        <f>1</f>
        <v>1</v>
      </c>
      <c r="S1232" s="77">
        <f>0</f>
        <v>0</v>
      </c>
      <c r="T1232" s="77">
        <f>0</f>
        <v>0</v>
      </c>
      <c r="U1232" s="77">
        <f>0</f>
        <v>0</v>
      </c>
      <c r="V1232" s="77">
        <f>0</f>
        <v>0</v>
      </c>
      <c r="W1232" s="63"/>
      <c r="X1232" s="63"/>
      <c r="Z1232" s="63"/>
      <c r="AA1232" s="113"/>
      <c r="AB1232" s="113"/>
      <c r="AC1232" s="113"/>
    </row>
    <row r="1233" spans="1:29" ht="60" customHeight="1" x14ac:dyDescent="0.2">
      <c r="A1233" s="50" t="s">
        <v>2073</v>
      </c>
      <c r="B1233" s="74"/>
      <c r="C1233" s="68" t="s">
        <v>2074</v>
      </c>
      <c r="D1233" s="53" t="s">
        <v>48</v>
      </c>
      <c r="E1233" s="54" t="s">
        <v>585</v>
      </c>
      <c r="F1233" s="67" t="s">
        <v>49</v>
      </c>
      <c r="G1233" s="67" t="s">
        <v>50</v>
      </c>
      <c r="H1233" s="57" t="s">
        <v>37</v>
      </c>
      <c r="I1233" s="55" t="s">
        <v>51</v>
      </c>
      <c r="J1233" s="57">
        <v>1250</v>
      </c>
      <c r="K1233" s="58"/>
      <c r="L1233" s="114">
        <f>15-15+15</f>
        <v>15</v>
      </c>
      <c r="M1233" s="60"/>
      <c r="N1233" s="61"/>
      <c r="O1233" s="61"/>
      <c r="P1233" s="77">
        <f>0</f>
        <v>0</v>
      </c>
      <c r="Q1233" s="77">
        <f>4-4+4</f>
        <v>4</v>
      </c>
      <c r="R1233" s="77">
        <f>3-3+3</f>
        <v>3</v>
      </c>
      <c r="S1233" s="77">
        <f>3-3+3</f>
        <v>3</v>
      </c>
      <c r="T1233" s="77">
        <f>5-5+5</f>
        <v>5</v>
      </c>
      <c r="U1233" s="77">
        <f>0</f>
        <v>0</v>
      </c>
      <c r="V1233" s="77">
        <f>0</f>
        <v>0</v>
      </c>
      <c r="W1233" s="63"/>
      <c r="X1233" s="63"/>
      <c r="Z1233" s="63"/>
      <c r="AA1233" s="113"/>
      <c r="AB1233" s="113"/>
      <c r="AC1233" s="113"/>
    </row>
    <row r="1234" spans="1:29" ht="60" customHeight="1" x14ac:dyDescent="0.2">
      <c r="A1234" s="50" t="s">
        <v>2075</v>
      </c>
      <c r="B1234" s="74"/>
      <c r="C1234" s="68" t="s">
        <v>2076</v>
      </c>
      <c r="D1234" s="53" t="s">
        <v>58</v>
      </c>
      <c r="E1234" s="54" t="s">
        <v>585</v>
      </c>
      <c r="F1234" s="67" t="s">
        <v>59</v>
      </c>
      <c r="G1234" s="67" t="s">
        <v>50</v>
      </c>
      <c r="H1234" s="57" t="s">
        <v>37</v>
      </c>
      <c r="I1234" s="55" t="s">
        <v>51</v>
      </c>
      <c r="J1234" s="57">
        <v>1250</v>
      </c>
      <c r="K1234" s="58"/>
      <c r="L1234" s="114">
        <f>15-15+15</f>
        <v>15</v>
      </c>
      <c r="M1234" s="60"/>
      <c r="N1234" s="61"/>
      <c r="O1234" s="61"/>
      <c r="P1234" s="77">
        <f>5-5+5</f>
        <v>5</v>
      </c>
      <c r="Q1234" s="77">
        <f>4-4+4</f>
        <v>4</v>
      </c>
      <c r="R1234" s="77">
        <f>3-3+3</f>
        <v>3</v>
      </c>
      <c r="S1234" s="77">
        <f>3-3+3</f>
        <v>3</v>
      </c>
      <c r="T1234" s="77">
        <f>0</f>
        <v>0</v>
      </c>
      <c r="U1234" s="77">
        <f>0</f>
        <v>0</v>
      </c>
      <c r="V1234" s="77">
        <f>0</f>
        <v>0</v>
      </c>
      <c r="W1234" s="63"/>
      <c r="X1234" s="63"/>
      <c r="Z1234" s="63"/>
      <c r="AA1234" s="113"/>
      <c r="AB1234" s="113"/>
      <c r="AC1234" s="113"/>
    </row>
    <row r="1235" spans="1:29" ht="60" customHeight="1" x14ac:dyDescent="0.2">
      <c r="A1235" s="50" t="s">
        <v>2077</v>
      </c>
      <c r="B1235" s="134"/>
      <c r="C1235" s="68" t="s">
        <v>2078</v>
      </c>
      <c r="D1235" s="53" t="s">
        <v>48</v>
      </c>
      <c r="E1235" s="54" t="s">
        <v>585</v>
      </c>
      <c r="F1235" s="67" t="s">
        <v>49</v>
      </c>
      <c r="G1235" s="67" t="s">
        <v>50</v>
      </c>
      <c r="H1235" s="57" t="s">
        <v>37</v>
      </c>
      <c r="I1235" s="55" t="s">
        <v>637</v>
      </c>
      <c r="J1235" s="57">
        <v>950</v>
      </c>
      <c r="K1235" s="58"/>
      <c r="L1235" s="114">
        <f>41-33+33+1</f>
        <v>42</v>
      </c>
      <c r="M1235" s="60"/>
      <c r="N1235" s="61"/>
      <c r="O1235" s="61"/>
      <c r="P1235" s="77">
        <f>0</f>
        <v>0</v>
      </c>
      <c r="Q1235" s="77">
        <f>8-5+5</f>
        <v>8</v>
      </c>
      <c r="R1235" s="77">
        <f>12-10+10</f>
        <v>12</v>
      </c>
      <c r="S1235" s="77">
        <f>10-10+10</f>
        <v>10</v>
      </c>
      <c r="T1235" s="77">
        <f>8-5+5+1</f>
        <v>9</v>
      </c>
      <c r="U1235" s="77">
        <f>2-2+2</f>
        <v>2</v>
      </c>
      <c r="V1235" s="77">
        <f>1-1+1</f>
        <v>1</v>
      </c>
      <c r="W1235" s="63"/>
      <c r="X1235" s="63"/>
      <c r="Z1235" s="63"/>
      <c r="AA1235" s="113"/>
      <c r="AB1235" s="113"/>
      <c r="AC1235" s="113"/>
    </row>
    <row r="1236" spans="1:29" ht="60" customHeight="1" x14ac:dyDescent="0.2">
      <c r="A1236" s="50" t="s">
        <v>2079</v>
      </c>
      <c r="B1236" s="74"/>
      <c r="C1236" s="68" t="s">
        <v>1955</v>
      </c>
      <c r="D1236" s="53" t="s">
        <v>48</v>
      </c>
      <c r="E1236" s="54" t="s">
        <v>585</v>
      </c>
      <c r="F1236" s="67" t="s">
        <v>49</v>
      </c>
      <c r="G1236" s="67" t="s">
        <v>50</v>
      </c>
      <c r="H1236" s="57" t="s">
        <v>37</v>
      </c>
      <c r="I1236" s="55" t="s">
        <v>51</v>
      </c>
      <c r="J1236" s="57">
        <v>1350</v>
      </c>
      <c r="K1236" s="58"/>
      <c r="L1236" s="114">
        <f>4-1</f>
        <v>3</v>
      </c>
      <c r="M1236" s="60"/>
      <c r="N1236" s="61"/>
      <c r="O1236" s="61"/>
      <c r="P1236" s="77">
        <f>0</f>
        <v>0</v>
      </c>
      <c r="Q1236" s="77">
        <f>0</f>
        <v>0</v>
      </c>
      <c r="R1236" s="77">
        <f>2-1</f>
        <v>1</v>
      </c>
      <c r="S1236" s="77">
        <f>1-1</f>
        <v>0</v>
      </c>
      <c r="T1236" s="77">
        <f>2</f>
        <v>2</v>
      </c>
      <c r="U1236" s="77">
        <f>0</f>
        <v>0</v>
      </c>
      <c r="V1236" s="77">
        <f>0</f>
        <v>0</v>
      </c>
      <c r="W1236" s="63"/>
      <c r="X1236" s="63"/>
      <c r="Z1236" s="63"/>
      <c r="AA1236" s="113"/>
      <c r="AB1236" s="113"/>
      <c r="AC1236" s="113"/>
    </row>
    <row r="1237" spans="1:29" ht="60" customHeight="1" x14ac:dyDescent="0.2">
      <c r="A1237" s="50" t="s">
        <v>2080</v>
      </c>
      <c r="B1237" s="74"/>
      <c r="C1237" s="66" t="s">
        <v>1957</v>
      </c>
      <c r="D1237" s="53" t="s">
        <v>58</v>
      </c>
      <c r="E1237" s="54" t="s">
        <v>585</v>
      </c>
      <c r="F1237" s="67" t="s">
        <v>59</v>
      </c>
      <c r="G1237" s="67" t="s">
        <v>50</v>
      </c>
      <c r="H1237" s="57" t="s">
        <v>37</v>
      </c>
      <c r="I1237" s="55" t="s">
        <v>51</v>
      </c>
      <c r="J1237" s="57">
        <v>1350</v>
      </c>
      <c r="K1237" s="58"/>
      <c r="L1237" s="114">
        <f>1</f>
        <v>1</v>
      </c>
      <c r="M1237" s="60"/>
      <c r="N1237" s="61"/>
      <c r="O1237" s="61"/>
      <c r="P1237" s="77">
        <f>0</f>
        <v>0</v>
      </c>
      <c r="Q1237" s="77">
        <f>0</f>
        <v>0</v>
      </c>
      <c r="R1237" s="77">
        <f>1</f>
        <v>1</v>
      </c>
      <c r="S1237" s="77">
        <f>0</f>
        <v>0</v>
      </c>
      <c r="T1237" s="77">
        <f>0</f>
        <v>0</v>
      </c>
      <c r="U1237" s="77">
        <f>0</f>
        <v>0</v>
      </c>
      <c r="V1237" s="77">
        <f>0</f>
        <v>0</v>
      </c>
      <c r="W1237" s="63"/>
      <c r="X1237" s="63"/>
      <c r="Z1237" s="63"/>
      <c r="AA1237" s="113"/>
      <c r="AB1237" s="113"/>
      <c r="AC1237" s="113"/>
    </row>
    <row r="1238" spans="1:29" ht="60" customHeight="1" x14ac:dyDescent="0.2">
      <c r="A1238" s="50" t="s">
        <v>2081</v>
      </c>
      <c r="B1238" s="74"/>
      <c r="C1238" s="68" t="s">
        <v>2082</v>
      </c>
      <c r="D1238" s="53" t="s">
        <v>48</v>
      </c>
      <c r="E1238" s="54" t="s">
        <v>585</v>
      </c>
      <c r="F1238" s="67" t="s">
        <v>49</v>
      </c>
      <c r="G1238" s="67" t="s">
        <v>50</v>
      </c>
      <c r="H1238" s="57" t="s">
        <v>37</v>
      </c>
      <c r="I1238" s="55" t="s">
        <v>51</v>
      </c>
      <c r="J1238" s="57">
        <v>1050</v>
      </c>
      <c r="K1238" s="58"/>
      <c r="L1238" s="114">
        <f>2-2+2</f>
        <v>2</v>
      </c>
      <c r="M1238" s="60"/>
      <c r="N1238" s="61"/>
      <c r="O1238" s="61"/>
      <c r="P1238" s="77">
        <f>0</f>
        <v>0</v>
      </c>
      <c r="Q1238" s="77">
        <f>0</f>
        <v>0</v>
      </c>
      <c r="R1238" s="77">
        <f>1-1+1</f>
        <v>1</v>
      </c>
      <c r="S1238" s="77">
        <f>1-1+1</f>
        <v>1</v>
      </c>
      <c r="T1238" s="77">
        <f>0</f>
        <v>0</v>
      </c>
      <c r="U1238" s="77">
        <f>0</f>
        <v>0</v>
      </c>
      <c r="V1238" s="77">
        <f>0</f>
        <v>0</v>
      </c>
      <c r="W1238" s="63"/>
      <c r="X1238" s="63"/>
      <c r="Z1238" s="63"/>
      <c r="AA1238" s="113"/>
      <c r="AB1238" s="113"/>
      <c r="AC1238" s="113"/>
    </row>
    <row r="1239" spans="1:29" ht="60" hidden="1" customHeight="1" x14ac:dyDescent="0.2">
      <c r="A1239" s="50" t="s">
        <v>2083</v>
      </c>
      <c r="B1239" s="74"/>
      <c r="C1239" s="68" t="s">
        <v>2084</v>
      </c>
      <c r="D1239" s="53" t="s">
        <v>48</v>
      </c>
      <c r="E1239" s="54" t="s">
        <v>585</v>
      </c>
      <c r="F1239" s="67" t="s">
        <v>49</v>
      </c>
      <c r="G1239" s="67" t="s">
        <v>50</v>
      </c>
      <c r="H1239" s="57" t="s">
        <v>273</v>
      </c>
      <c r="I1239" s="55" t="s">
        <v>637</v>
      </c>
      <c r="J1239" s="57">
        <v>1050</v>
      </c>
      <c r="K1239" s="58"/>
      <c r="L1239" s="114">
        <f>1-1</f>
        <v>0</v>
      </c>
      <c r="M1239" s="60"/>
      <c r="N1239" s="61"/>
      <c r="O1239" s="61"/>
      <c r="P1239" s="77">
        <f>0</f>
        <v>0</v>
      </c>
      <c r="Q1239" s="77">
        <f>1-1</f>
        <v>0</v>
      </c>
      <c r="R1239" s="77">
        <f>0</f>
        <v>0</v>
      </c>
      <c r="S1239" s="77">
        <f>0</f>
        <v>0</v>
      </c>
      <c r="T1239" s="77">
        <f>0</f>
        <v>0</v>
      </c>
      <c r="U1239" s="77">
        <f>0</f>
        <v>0</v>
      </c>
      <c r="V1239" s="77">
        <f>0</f>
        <v>0</v>
      </c>
      <c r="W1239" s="63"/>
      <c r="X1239" s="63"/>
      <c r="Z1239" s="63"/>
      <c r="AA1239" s="113"/>
      <c r="AB1239" s="113"/>
      <c r="AC1239" s="113"/>
    </row>
    <row r="1240" spans="1:29" ht="60" hidden="1" customHeight="1" x14ac:dyDescent="0.2">
      <c r="A1240" s="50" t="s">
        <v>2085</v>
      </c>
      <c r="B1240" s="74"/>
      <c r="C1240" s="68" t="s">
        <v>2086</v>
      </c>
      <c r="D1240" s="53" t="s">
        <v>48</v>
      </c>
      <c r="E1240" s="54" t="s">
        <v>585</v>
      </c>
      <c r="F1240" s="67" t="s">
        <v>49</v>
      </c>
      <c r="G1240" s="67" t="s">
        <v>50</v>
      </c>
      <c r="H1240" s="57" t="s">
        <v>37</v>
      </c>
      <c r="I1240" s="55" t="s">
        <v>51</v>
      </c>
      <c r="J1240" s="57">
        <v>1350</v>
      </c>
      <c r="K1240" s="58"/>
      <c r="L1240" s="114">
        <f>0</f>
        <v>0</v>
      </c>
      <c r="M1240" s="60"/>
      <c r="N1240" s="61"/>
      <c r="O1240" s="61"/>
      <c r="P1240" s="77">
        <f>0</f>
        <v>0</v>
      </c>
      <c r="Q1240" s="77">
        <f>0</f>
        <v>0</v>
      </c>
      <c r="R1240" s="77">
        <f>0</f>
        <v>0</v>
      </c>
      <c r="S1240" s="77">
        <f>0</f>
        <v>0</v>
      </c>
      <c r="T1240" s="77">
        <f>0</f>
        <v>0</v>
      </c>
      <c r="U1240" s="77">
        <f>0</f>
        <v>0</v>
      </c>
      <c r="V1240" s="77">
        <f>0</f>
        <v>0</v>
      </c>
      <c r="W1240" s="63"/>
      <c r="X1240" s="63"/>
      <c r="Z1240" s="63"/>
      <c r="AA1240" s="113"/>
      <c r="AB1240" s="113"/>
      <c r="AC1240" s="113"/>
    </row>
    <row r="1241" spans="1:29" ht="60" hidden="1" customHeight="1" x14ac:dyDescent="0.2">
      <c r="A1241" s="50" t="s">
        <v>2087</v>
      </c>
      <c r="B1241" s="74"/>
      <c r="C1241" s="54" t="s">
        <v>2088</v>
      </c>
      <c r="D1241" s="53" t="s">
        <v>58</v>
      </c>
      <c r="E1241" s="54" t="s">
        <v>585</v>
      </c>
      <c r="F1241" s="67" t="s">
        <v>59</v>
      </c>
      <c r="G1241" s="67" t="s">
        <v>50</v>
      </c>
      <c r="H1241" s="57" t="s">
        <v>37</v>
      </c>
      <c r="I1241" s="55" t="s">
        <v>51</v>
      </c>
      <c r="J1241" s="57">
        <v>1350</v>
      </c>
      <c r="K1241" s="58"/>
      <c r="L1241" s="114">
        <f>0</f>
        <v>0</v>
      </c>
      <c r="M1241" s="60"/>
      <c r="N1241" s="61"/>
      <c r="O1241" s="61"/>
      <c r="P1241" s="77">
        <f>0</f>
        <v>0</v>
      </c>
      <c r="Q1241" s="77">
        <f>0</f>
        <v>0</v>
      </c>
      <c r="R1241" s="77">
        <f>0</f>
        <v>0</v>
      </c>
      <c r="S1241" s="77">
        <f>0</f>
        <v>0</v>
      </c>
      <c r="T1241" s="77">
        <f>0</f>
        <v>0</v>
      </c>
      <c r="U1241" s="77">
        <f>0</f>
        <v>0</v>
      </c>
      <c r="V1241" s="77">
        <f>0</f>
        <v>0</v>
      </c>
      <c r="W1241" s="63"/>
      <c r="X1241" s="63"/>
      <c r="Z1241" s="63"/>
      <c r="AA1241" s="113"/>
      <c r="AB1241" s="113"/>
      <c r="AC1241" s="113"/>
    </row>
    <row r="1242" spans="1:29" ht="60" hidden="1" customHeight="1" x14ac:dyDescent="0.2">
      <c r="A1242" s="50" t="s">
        <v>2089</v>
      </c>
      <c r="B1242" s="74"/>
      <c r="C1242" s="68" t="s">
        <v>2090</v>
      </c>
      <c r="D1242" s="53" t="s">
        <v>48</v>
      </c>
      <c r="E1242" s="54" t="s">
        <v>585</v>
      </c>
      <c r="F1242" s="67" t="s">
        <v>49</v>
      </c>
      <c r="G1242" s="67" t="s">
        <v>50</v>
      </c>
      <c r="H1242" s="57" t="s">
        <v>37</v>
      </c>
      <c r="I1242" s="55" t="s">
        <v>51</v>
      </c>
      <c r="J1242" s="57">
        <v>1250</v>
      </c>
      <c r="K1242" s="58"/>
      <c r="L1242" s="114">
        <f>0</f>
        <v>0</v>
      </c>
      <c r="M1242" s="60"/>
      <c r="N1242" s="61"/>
      <c r="O1242" s="61"/>
      <c r="P1242" s="77">
        <f>0</f>
        <v>0</v>
      </c>
      <c r="Q1242" s="77">
        <f>0</f>
        <v>0</v>
      </c>
      <c r="R1242" s="77">
        <f>0</f>
        <v>0</v>
      </c>
      <c r="S1242" s="77">
        <f>0</f>
        <v>0</v>
      </c>
      <c r="T1242" s="77">
        <f>0</f>
        <v>0</v>
      </c>
      <c r="U1242" s="77">
        <f>0</f>
        <v>0</v>
      </c>
      <c r="V1242" s="77">
        <f>0</f>
        <v>0</v>
      </c>
      <c r="W1242" s="63"/>
      <c r="X1242" s="63"/>
      <c r="Z1242" s="63"/>
      <c r="AA1242" s="113"/>
      <c r="AB1242" s="113"/>
      <c r="AC1242" s="113"/>
    </row>
    <row r="1243" spans="1:29" ht="60" customHeight="1" x14ac:dyDescent="0.2">
      <c r="A1243" s="50" t="s">
        <v>2091</v>
      </c>
      <c r="B1243" s="74"/>
      <c r="C1243" s="68" t="s">
        <v>2092</v>
      </c>
      <c r="D1243" s="53" t="s">
        <v>48</v>
      </c>
      <c r="E1243" s="54" t="s">
        <v>585</v>
      </c>
      <c r="F1243" s="67" t="s">
        <v>49</v>
      </c>
      <c r="G1243" s="67" t="s">
        <v>50</v>
      </c>
      <c r="H1243" s="57" t="s">
        <v>219</v>
      </c>
      <c r="I1243" s="55" t="s">
        <v>51</v>
      </c>
      <c r="J1243" s="57">
        <v>1250</v>
      </c>
      <c r="K1243" s="58"/>
      <c r="L1243" s="114">
        <f>7</f>
        <v>7</v>
      </c>
      <c r="M1243" s="60"/>
      <c r="N1243" s="61"/>
      <c r="O1243" s="61"/>
      <c r="P1243" s="77">
        <f>0</f>
        <v>0</v>
      </c>
      <c r="Q1243" s="77">
        <f>4</f>
        <v>4</v>
      </c>
      <c r="R1243" s="77">
        <f>0</f>
        <v>0</v>
      </c>
      <c r="S1243" s="77">
        <f>2</f>
        <v>2</v>
      </c>
      <c r="T1243" s="77">
        <f>1</f>
        <v>1</v>
      </c>
      <c r="U1243" s="77">
        <f>0</f>
        <v>0</v>
      </c>
      <c r="V1243" s="77">
        <f>0</f>
        <v>0</v>
      </c>
      <c r="W1243" s="63"/>
      <c r="X1243" s="63"/>
      <c r="Z1243" s="63"/>
      <c r="AA1243" s="113"/>
      <c r="AB1243" s="113"/>
      <c r="AC1243" s="113"/>
    </row>
    <row r="1244" spans="1:29" ht="60" hidden="1" customHeight="1" x14ac:dyDescent="0.2">
      <c r="A1244" s="50" t="s">
        <v>2093</v>
      </c>
      <c r="B1244" s="74"/>
      <c r="C1244" s="68" t="s">
        <v>2094</v>
      </c>
      <c r="D1244" s="53" t="s">
        <v>58</v>
      </c>
      <c r="E1244" s="54" t="s">
        <v>585</v>
      </c>
      <c r="F1244" s="67" t="s">
        <v>59</v>
      </c>
      <c r="G1244" s="67" t="s">
        <v>50</v>
      </c>
      <c r="H1244" s="57" t="s">
        <v>37</v>
      </c>
      <c r="I1244" s="55" t="s">
        <v>51</v>
      </c>
      <c r="J1244" s="57">
        <v>1250</v>
      </c>
      <c r="K1244" s="58"/>
      <c r="L1244" s="114">
        <f>0</f>
        <v>0</v>
      </c>
      <c r="M1244" s="60"/>
      <c r="N1244" s="61"/>
      <c r="O1244" s="61"/>
      <c r="P1244" s="77">
        <f>0</f>
        <v>0</v>
      </c>
      <c r="Q1244" s="77">
        <f>0</f>
        <v>0</v>
      </c>
      <c r="R1244" s="77">
        <f>0</f>
        <v>0</v>
      </c>
      <c r="S1244" s="77">
        <f>0</f>
        <v>0</v>
      </c>
      <c r="T1244" s="77">
        <f>0</f>
        <v>0</v>
      </c>
      <c r="U1244" s="77">
        <f>0</f>
        <v>0</v>
      </c>
      <c r="V1244" s="77">
        <f>0</f>
        <v>0</v>
      </c>
      <c r="W1244" s="63"/>
      <c r="X1244" s="63"/>
      <c r="Z1244" s="63"/>
      <c r="AA1244" s="113"/>
      <c r="AB1244" s="113"/>
      <c r="AC1244" s="113"/>
    </row>
    <row r="1245" spans="1:29" ht="60" customHeight="1" x14ac:dyDescent="0.2">
      <c r="A1245" s="50" t="s">
        <v>2095</v>
      </c>
      <c r="B1245" s="74"/>
      <c r="C1245" s="68" t="s">
        <v>2096</v>
      </c>
      <c r="D1245" s="53" t="s">
        <v>48</v>
      </c>
      <c r="E1245" s="54" t="s">
        <v>585</v>
      </c>
      <c r="F1245" s="67" t="s">
        <v>49</v>
      </c>
      <c r="G1245" s="67" t="s">
        <v>50</v>
      </c>
      <c r="H1245" s="57" t="s">
        <v>37</v>
      </c>
      <c r="I1245" s="55" t="s">
        <v>51</v>
      </c>
      <c r="J1245" s="57">
        <v>1150</v>
      </c>
      <c r="K1245" s="58"/>
      <c r="L1245" s="114">
        <f>36-25+25</f>
        <v>36</v>
      </c>
      <c r="M1245" s="60"/>
      <c r="N1245" s="61"/>
      <c r="O1245" s="61"/>
      <c r="P1245" s="77">
        <f>0</f>
        <v>0</v>
      </c>
      <c r="Q1245" s="77">
        <f>14-10+10</f>
        <v>14</v>
      </c>
      <c r="R1245" s="77">
        <f>9-5+5</f>
        <v>9</v>
      </c>
      <c r="S1245" s="77">
        <f>4-4+4</f>
        <v>4</v>
      </c>
      <c r="T1245" s="77">
        <f>8-5+5</f>
        <v>8</v>
      </c>
      <c r="U1245" s="77">
        <f>1-1+1</f>
        <v>1</v>
      </c>
      <c r="V1245" s="77">
        <f>0</f>
        <v>0</v>
      </c>
      <c r="W1245" s="63"/>
      <c r="X1245" s="63"/>
      <c r="Z1245" s="63"/>
      <c r="AA1245" s="113"/>
      <c r="AB1245" s="113"/>
      <c r="AC1245" s="113"/>
    </row>
    <row r="1246" spans="1:29" ht="60" customHeight="1" x14ac:dyDescent="0.2">
      <c r="A1246" s="50" t="s">
        <v>2097</v>
      </c>
      <c r="B1246" s="74"/>
      <c r="C1246" s="68" t="s">
        <v>2098</v>
      </c>
      <c r="D1246" s="53" t="s">
        <v>58</v>
      </c>
      <c r="E1246" s="54" t="s">
        <v>585</v>
      </c>
      <c r="F1246" s="67" t="s">
        <v>59</v>
      </c>
      <c r="G1246" s="67" t="s">
        <v>50</v>
      </c>
      <c r="H1246" s="57" t="s">
        <v>37</v>
      </c>
      <c r="I1246" s="55" t="s">
        <v>51</v>
      </c>
      <c r="J1246" s="57">
        <v>1150</v>
      </c>
      <c r="K1246" s="58"/>
      <c r="L1246" s="114">
        <f>9</f>
        <v>9</v>
      </c>
      <c r="M1246" s="60"/>
      <c r="N1246" s="61"/>
      <c r="O1246" s="61"/>
      <c r="P1246" s="77">
        <f>3</f>
        <v>3</v>
      </c>
      <c r="Q1246" s="77">
        <f>3</f>
        <v>3</v>
      </c>
      <c r="R1246" s="77">
        <f>2</f>
        <v>2</v>
      </c>
      <c r="S1246" s="77">
        <f>1</f>
        <v>1</v>
      </c>
      <c r="T1246" s="77">
        <f>0</f>
        <v>0</v>
      </c>
      <c r="U1246" s="77">
        <f>0</f>
        <v>0</v>
      </c>
      <c r="V1246" s="77">
        <f>0</f>
        <v>0</v>
      </c>
      <c r="W1246" s="63"/>
      <c r="X1246" s="63"/>
      <c r="Z1246" s="63"/>
      <c r="AA1246" s="113"/>
      <c r="AB1246" s="113"/>
      <c r="AC1246" s="113"/>
    </row>
    <row r="1247" spans="1:29" ht="60" customHeight="1" x14ac:dyDescent="0.2">
      <c r="A1247" s="50" t="s">
        <v>2099</v>
      </c>
      <c r="B1247" s="74"/>
      <c r="C1247" s="68" t="s">
        <v>2100</v>
      </c>
      <c r="D1247" s="53" t="s">
        <v>48</v>
      </c>
      <c r="E1247" s="54" t="s">
        <v>585</v>
      </c>
      <c r="F1247" s="67" t="s">
        <v>49</v>
      </c>
      <c r="G1247" s="67" t="s">
        <v>50</v>
      </c>
      <c r="H1247" s="57" t="s">
        <v>37</v>
      </c>
      <c r="I1247" s="55" t="s">
        <v>51</v>
      </c>
      <c r="J1247" s="57">
        <v>1350</v>
      </c>
      <c r="K1247" s="58"/>
      <c r="L1247" s="114">
        <f>20-18+18</f>
        <v>20</v>
      </c>
      <c r="M1247" s="60"/>
      <c r="N1247" s="61"/>
      <c r="O1247" s="61"/>
      <c r="P1247" s="77">
        <f>0</f>
        <v>0</v>
      </c>
      <c r="Q1247" s="77">
        <f>4-4+4</f>
        <v>4</v>
      </c>
      <c r="R1247" s="77">
        <f>7-5+5</f>
        <v>7</v>
      </c>
      <c r="S1247" s="77">
        <f>5-5+5</f>
        <v>5</v>
      </c>
      <c r="T1247" s="77">
        <f>2-2+2</f>
        <v>2</v>
      </c>
      <c r="U1247" s="77">
        <f>0</f>
        <v>0</v>
      </c>
      <c r="V1247" s="77">
        <f>2-2+2</f>
        <v>2</v>
      </c>
      <c r="W1247" s="63"/>
      <c r="X1247" s="63"/>
      <c r="Z1247" s="63"/>
      <c r="AA1247" s="113"/>
      <c r="AB1247" s="113"/>
      <c r="AC1247" s="113"/>
    </row>
    <row r="1248" spans="1:29" ht="60" customHeight="1" x14ac:dyDescent="0.2">
      <c r="A1248" s="50" t="s">
        <v>2101</v>
      </c>
      <c r="B1248" s="74"/>
      <c r="C1248" s="68" t="s">
        <v>2102</v>
      </c>
      <c r="D1248" s="53" t="s">
        <v>58</v>
      </c>
      <c r="E1248" s="54" t="s">
        <v>585</v>
      </c>
      <c r="F1248" s="67" t="s">
        <v>59</v>
      </c>
      <c r="G1248" s="67" t="s">
        <v>50</v>
      </c>
      <c r="H1248" s="57" t="s">
        <v>37</v>
      </c>
      <c r="I1248" s="55" t="s">
        <v>51</v>
      </c>
      <c r="J1248" s="57">
        <v>1350</v>
      </c>
      <c r="K1248" s="58"/>
      <c r="L1248" s="114">
        <f>23-20+20</f>
        <v>23</v>
      </c>
      <c r="M1248" s="60"/>
      <c r="N1248" s="61"/>
      <c r="O1248" s="61"/>
      <c r="P1248" s="77">
        <f>6-5+5</f>
        <v>6</v>
      </c>
      <c r="Q1248" s="77">
        <f>7-5+5</f>
        <v>7</v>
      </c>
      <c r="R1248" s="77">
        <f>5-5+5</f>
        <v>5</v>
      </c>
      <c r="S1248" s="77">
        <f>5-5+5</f>
        <v>5</v>
      </c>
      <c r="T1248" s="77">
        <f>0</f>
        <v>0</v>
      </c>
      <c r="U1248" s="77">
        <f>0</f>
        <v>0</v>
      </c>
      <c r="V1248" s="77">
        <f>0</f>
        <v>0</v>
      </c>
      <c r="W1248" s="63"/>
      <c r="X1248" s="63"/>
      <c r="Z1248" s="63"/>
      <c r="AA1248" s="113"/>
      <c r="AB1248" s="113"/>
      <c r="AC1248" s="113"/>
    </row>
    <row r="1249" spans="1:29" ht="60" customHeight="1" x14ac:dyDescent="0.2">
      <c r="A1249" s="50" t="s">
        <v>2103</v>
      </c>
      <c r="B1249" s="74"/>
      <c r="C1249" s="68" t="s">
        <v>2104</v>
      </c>
      <c r="D1249" s="53" t="s">
        <v>48</v>
      </c>
      <c r="E1249" s="54" t="s">
        <v>585</v>
      </c>
      <c r="F1249" s="67" t="s">
        <v>49</v>
      </c>
      <c r="G1249" s="67" t="s">
        <v>50</v>
      </c>
      <c r="H1249" s="57" t="s">
        <v>37</v>
      </c>
      <c r="I1249" s="55" t="s">
        <v>51</v>
      </c>
      <c r="J1249" s="57">
        <v>1500</v>
      </c>
      <c r="K1249" s="58"/>
      <c r="L1249" s="114">
        <f>0+1+1</f>
        <v>2</v>
      </c>
      <c r="M1249" s="60"/>
      <c r="N1249" s="61"/>
      <c r="O1249" s="61"/>
      <c r="P1249" s="77">
        <f>0</f>
        <v>0</v>
      </c>
      <c r="Q1249" s="77">
        <f>0+1</f>
        <v>1</v>
      </c>
      <c r="R1249" s="77">
        <f>0</f>
        <v>0</v>
      </c>
      <c r="S1249" s="77">
        <f>0</f>
        <v>0</v>
      </c>
      <c r="T1249" s="77">
        <f>0+1</f>
        <v>1</v>
      </c>
      <c r="U1249" s="77">
        <f>0</f>
        <v>0</v>
      </c>
      <c r="V1249" s="77">
        <f>0</f>
        <v>0</v>
      </c>
      <c r="W1249" s="63"/>
      <c r="X1249" s="63"/>
      <c r="Z1249" s="63"/>
      <c r="AA1249" s="113"/>
      <c r="AB1249" s="113"/>
      <c r="AC1249" s="113"/>
    </row>
    <row r="1250" spans="1:29" ht="60" customHeight="1" x14ac:dyDescent="0.2">
      <c r="A1250" s="50" t="s">
        <v>2105</v>
      </c>
      <c r="B1250" s="74"/>
      <c r="C1250" s="66" t="s">
        <v>2106</v>
      </c>
      <c r="D1250" s="53" t="s">
        <v>48</v>
      </c>
      <c r="E1250" s="54" t="s">
        <v>585</v>
      </c>
      <c r="F1250" s="67" t="s">
        <v>49</v>
      </c>
      <c r="G1250" s="67" t="s">
        <v>50</v>
      </c>
      <c r="H1250" s="57" t="s">
        <v>37</v>
      </c>
      <c r="I1250" s="55" t="s">
        <v>51</v>
      </c>
      <c r="J1250" s="57">
        <v>1300</v>
      </c>
      <c r="K1250" s="58"/>
      <c r="L1250" s="114">
        <f>13-4</f>
        <v>9</v>
      </c>
      <c r="M1250" s="60"/>
      <c r="N1250" s="61"/>
      <c r="O1250" s="61"/>
      <c r="P1250" s="77">
        <f>0</f>
        <v>0</v>
      </c>
      <c r="Q1250" s="77">
        <f>4-1</f>
        <v>3</v>
      </c>
      <c r="R1250" s="77">
        <f>2-1</f>
        <v>1</v>
      </c>
      <c r="S1250" s="77">
        <f>3-1</f>
        <v>2</v>
      </c>
      <c r="T1250" s="77">
        <f>4-1</f>
        <v>3</v>
      </c>
      <c r="U1250" s="77">
        <f>0</f>
        <v>0</v>
      </c>
      <c r="V1250" s="77">
        <f>0</f>
        <v>0</v>
      </c>
      <c r="W1250" s="63"/>
      <c r="X1250" s="63"/>
      <c r="Z1250" s="63"/>
      <c r="AA1250" s="113"/>
      <c r="AB1250" s="113"/>
      <c r="AC1250" s="113"/>
    </row>
    <row r="1251" spans="1:29" ht="60" hidden="1" customHeight="1" x14ac:dyDescent="0.2">
      <c r="A1251" s="50" t="s">
        <v>2107</v>
      </c>
      <c r="B1251" s="74"/>
      <c r="C1251" s="66" t="s">
        <v>2108</v>
      </c>
      <c r="D1251" s="53" t="s">
        <v>48</v>
      </c>
      <c r="E1251" s="54" t="s">
        <v>585</v>
      </c>
      <c r="F1251" s="67" t="s">
        <v>49</v>
      </c>
      <c r="G1251" s="67" t="s">
        <v>50</v>
      </c>
      <c r="H1251" s="57" t="s">
        <v>37</v>
      </c>
      <c r="I1251" s="55" t="s">
        <v>51</v>
      </c>
      <c r="J1251" s="57">
        <v>1300</v>
      </c>
      <c r="K1251" s="58"/>
      <c r="L1251" s="114"/>
      <c r="M1251" s="60"/>
      <c r="N1251" s="61"/>
      <c r="O1251" s="61"/>
      <c r="P1251" s="77"/>
      <c r="Q1251" s="77"/>
      <c r="R1251" s="77"/>
      <c r="S1251" s="77"/>
      <c r="T1251" s="77"/>
      <c r="U1251" s="77"/>
      <c r="V1251" s="77"/>
      <c r="W1251" s="63"/>
      <c r="X1251" s="63"/>
      <c r="Z1251" s="63"/>
      <c r="AA1251" s="113"/>
      <c r="AB1251" s="113"/>
      <c r="AC1251" s="113"/>
    </row>
    <row r="1252" spans="1:29" ht="60" customHeight="1" x14ac:dyDescent="0.2">
      <c r="A1252" s="50" t="s">
        <v>2109</v>
      </c>
      <c r="B1252" s="74"/>
      <c r="C1252" s="66" t="s">
        <v>2110</v>
      </c>
      <c r="D1252" s="53" t="s">
        <v>58</v>
      </c>
      <c r="E1252" s="54" t="s">
        <v>585</v>
      </c>
      <c r="F1252" s="67" t="s">
        <v>59</v>
      </c>
      <c r="G1252" s="67" t="s">
        <v>50</v>
      </c>
      <c r="H1252" s="57" t="s">
        <v>37</v>
      </c>
      <c r="I1252" s="55" t="s">
        <v>51</v>
      </c>
      <c r="J1252" s="57">
        <v>1300</v>
      </c>
      <c r="K1252" s="58"/>
      <c r="L1252" s="114">
        <f>1</f>
        <v>1</v>
      </c>
      <c r="M1252" s="60"/>
      <c r="N1252" s="61"/>
      <c r="O1252" s="61"/>
      <c r="P1252" s="77">
        <f>0</f>
        <v>0</v>
      </c>
      <c r="Q1252" s="77">
        <f>1</f>
        <v>1</v>
      </c>
      <c r="R1252" s="77">
        <f>0</f>
        <v>0</v>
      </c>
      <c r="S1252" s="77">
        <f>0</f>
        <v>0</v>
      </c>
      <c r="T1252" s="77">
        <f>0</f>
        <v>0</v>
      </c>
      <c r="U1252" s="77">
        <f>0</f>
        <v>0</v>
      </c>
      <c r="V1252" s="77">
        <f>0</f>
        <v>0</v>
      </c>
      <c r="W1252" s="63"/>
      <c r="X1252" s="63"/>
      <c r="Z1252" s="63"/>
      <c r="AA1252" s="113"/>
      <c r="AB1252" s="113"/>
      <c r="AC1252" s="113"/>
    </row>
    <row r="1253" spans="1:29" ht="60" customHeight="1" x14ac:dyDescent="0.2">
      <c r="A1253" s="50" t="s">
        <v>2111</v>
      </c>
      <c r="B1253" s="74"/>
      <c r="C1253" s="66" t="s">
        <v>2112</v>
      </c>
      <c r="D1253" s="53" t="s">
        <v>48</v>
      </c>
      <c r="E1253" s="54" t="s">
        <v>585</v>
      </c>
      <c r="F1253" s="67" t="s">
        <v>49</v>
      </c>
      <c r="G1253" s="67" t="s">
        <v>50</v>
      </c>
      <c r="H1253" s="57" t="s">
        <v>60</v>
      </c>
      <c r="I1253" s="55" t="s">
        <v>51</v>
      </c>
      <c r="J1253" s="57">
        <v>1300</v>
      </c>
      <c r="K1253" s="58"/>
      <c r="L1253" s="114">
        <f>19-18+18</f>
        <v>19</v>
      </c>
      <c r="M1253" s="60"/>
      <c r="N1253" s="61"/>
      <c r="O1253" s="61"/>
      <c r="P1253" s="77">
        <f>0</f>
        <v>0</v>
      </c>
      <c r="Q1253" s="77">
        <f>6-5+5</f>
        <v>6</v>
      </c>
      <c r="R1253" s="77">
        <f>5-5+5</f>
        <v>5</v>
      </c>
      <c r="S1253" s="77">
        <f>4-4+4</f>
        <v>4</v>
      </c>
      <c r="T1253" s="77">
        <f>4-4+4</f>
        <v>4</v>
      </c>
      <c r="U1253" s="77">
        <f>0</f>
        <v>0</v>
      </c>
      <c r="V1253" s="77">
        <f>0</f>
        <v>0</v>
      </c>
      <c r="W1253" s="63"/>
      <c r="X1253" s="63"/>
      <c r="Z1253" s="63"/>
      <c r="AA1253" s="113"/>
      <c r="AB1253" s="113"/>
      <c r="AC1253" s="113"/>
    </row>
    <row r="1254" spans="1:29" ht="60" customHeight="1" x14ac:dyDescent="0.2">
      <c r="A1254" s="50" t="s">
        <v>2113</v>
      </c>
      <c r="B1254" s="74"/>
      <c r="C1254" s="66" t="s">
        <v>2114</v>
      </c>
      <c r="D1254" s="53" t="s">
        <v>48</v>
      </c>
      <c r="E1254" s="54" t="s">
        <v>585</v>
      </c>
      <c r="F1254" s="67" t="s">
        <v>49</v>
      </c>
      <c r="G1254" s="67" t="s">
        <v>50</v>
      </c>
      <c r="H1254" s="57" t="s">
        <v>60</v>
      </c>
      <c r="I1254" s="55" t="s">
        <v>51</v>
      </c>
      <c r="J1254" s="57">
        <v>1250</v>
      </c>
      <c r="K1254" s="58"/>
      <c r="L1254" s="114">
        <f>16-14+14</f>
        <v>16</v>
      </c>
      <c r="M1254" s="60"/>
      <c r="N1254" s="61"/>
      <c r="O1254" s="61"/>
      <c r="P1254" s="77">
        <f>0</f>
        <v>0</v>
      </c>
      <c r="Q1254" s="77">
        <f>5-5+5</f>
        <v>5</v>
      </c>
      <c r="R1254" s="77">
        <f>7-5+5</f>
        <v>7</v>
      </c>
      <c r="S1254" s="77">
        <f>2-2+2</f>
        <v>2</v>
      </c>
      <c r="T1254" s="77">
        <f>2-2+2</f>
        <v>2</v>
      </c>
      <c r="U1254" s="77">
        <f>0</f>
        <v>0</v>
      </c>
      <c r="V1254" s="77">
        <f>0</f>
        <v>0</v>
      </c>
      <c r="W1254" s="63"/>
      <c r="X1254" s="63"/>
      <c r="Z1254" s="63"/>
      <c r="AA1254" s="113"/>
      <c r="AB1254" s="113"/>
      <c r="AC1254" s="113"/>
    </row>
    <row r="1255" spans="1:29" ht="60" customHeight="1" x14ac:dyDescent="0.2">
      <c r="A1255" s="50" t="s">
        <v>2115</v>
      </c>
      <c r="B1255" s="74"/>
      <c r="C1255" s="66" t="s">
        <v>2116</v>
      </c>
      <c r="D1255" s="53" t="s">
        <v>48</v>
      </c>
      <c r="E1255" s="54" t="s">
        <v>585</v>
      </c>
      <c r="F1255" s="67" t="s">
        <v>49</v>
      </c>
      <c r="G1255" s="67" t="s">
        <v>50</v>
      </c>
      <c r="H1255" s="57" t="s">
        <v>37</v>
      </c>
      <c r="I1255" s="55" t="s">
        <v>51</v>
      </c>
      <c r="J1255" s="57">
        <v>1350</v>
      </c>
      <c r="K1255" s="58"/>
      <c r="L1255" s="114">
        <f>11-11+11</f>
        <v>11</v>
      </c>
      <c r="M1255" s="60"/>
      <c r="N1255" s="61"/>
      <c r="O1255" s="61"/>
      <c r="P1255" s="77">
        <f>0</f>
        <v>0</v>
      </c>
      <c r="Q1255" s="77">
        <f>3-3+3</f>
        <v>3</v>
      </c>
      <c r="R1255" s="77">
        <f>4-4+4</f>
        <v>4</v>
      </c>
      <c r="S1255" s="77">
        <f>2-2+2</f>
        <v>2</v>
      </c>
      <c r="T1255" s="77">
        <f>2-2+2</f>
        <v>2</v>
      </c>
      <c r="U1255" s="77">
        <f>0</f>
        <v>0</v>
      </c>
      <c r="V1255" s="77">
        <f>0</f>
        <v>0</v>
      </c>
      <c r="W1255" s="63"/>
      <c r="X1255" s="63"/>
      <c r="Z1255" s="63"/>
      <c r="AA1255" s="113"/>
      <c r="AB1255" s="113"/>
      <c r="AC1255" s="113"/>
    </row>
    <row r="1256" spans="1:29" ht="60" hidden="1" customHeight="1" x14ac:dyDescent="0.2">
      <c r="A1256" s="50" t="s">
        <v>2117</v>
      </c>
      <c r="B1256" s="74"/>
      <c r="C1256" s="66" t="s">
        <v>2118</v>
      </c>
      <c r="D1256" s="53" t="s">
        <v>48</v>
      </c>
      <c r="E1256" s="54" t="s">
        <v>585</v>
      </c>
      <c r="F1256" s="67" t="s">
        <v>49</v>
      </c>
      <c r="G1256" s="67" t="s">
        <v>50</v>
      </c>
      <c r="H1256" s="57" t="s">
        <v>84</v>
      </c>
      <c r="I1256" s="55" t="s">
        <v>51</v>
      </c>
      <c r="J1256" s="57">
        <v>1350</v>
      </c>
      <c r="K1256" s="58"/>
      <c r="L1256" s="114"/>
      <c r="M1256" s="60"/>
      <c r="N1256" s="61"/>
      <c r="O1256" s="61"/>
      <c r="P1256" s="77"/>
      <c r="Q1256" s="77"/>
      <c r="R1256" s="77"/>
      <c r="S1256" s="77"/>
      <c r="T1256" s="77"/>
      <c r="U1256" s="77"/>
      <c r="V1256" s="77"/>
      <c r="W1256" s="63"/>
      <c r="X1256" s="63"/>
      <c r="Z1256" s="63"/>
      <c r="AA1256" s="113"/>
      <c r="AB1256" s="113"/>
      <c r="AC1256" s="113"/>
    </row>
    <row r="1257" spans="1:29" ht="60" hidden="1" customHeight="1" x14ac:dyDescent="0.2">
      <c r="A1257" s="50" t="s">
        <v>2119</v>
      </c>
      <c r="B1257" s="74"/>
      <c r="C1257" s="66" t="s">
        <v>2120</v>
      </c>
      <c r="D1257" s="53" t="s">
        <v>58</v>
      </c>
      <c r="E1257" s="54" t="s">
        <v>585</v>
      </c>
      <c r="F1257" s="67" t="s">
        <v>59</v>
      </c>
      <c r="G1257" s="67" t="s">
        <v>50</v>
      </c>
      <c r="H1257" s="57" t="s">
        <v>37</v>
      </c>
      <c r="I1257" s="55" t="s">
        <v>51</v>
      </c>
      <c r="J1257" s="57">
        <v>1350</v>
      </c>
      <c r="K1257" s="58"/>
      <c r="L1257" s="114">
        <f>0</f>
        <v>0</v>
      </c>
      <c r="M1257" s="60"/>
      <c r="N1257" s="61"/>
      <c r="O1257" s="61"/>
      <c r="P1257" s="77">
        <f>0</f>
        <v>0</v>
      </c>
      <c r="Q1257" s="77">
        <f>0</f>
        <v>0</v>
      </c>
      <c r="R1257" s="77">
        <f>0</f>
        <v>0</v>
      </c>
      <c r="S1257" s="77">
        <f>0</f>
        <v>0</v>
      </c>
      <c r="T1257" s="77">
        <f>0</f>
        <v>0</v>
      </c>
      <c r="U1257" s="77">
        <f>0</f>
        <v>0</v>
      </c>
      <c r="V1257" s="77">
        <f>0</f>
        <v>0</v>
      </c>
      <c r="W1257" s="63"/>
      <c r="X1257" s="63"/>
      <c r="Z1257" s="63"/>
      <c r="AA1257" s="113"/>
      <c r="AB1257" s="113"/>
      <c r="AC1257" s="113"/>
    </row>
    <row r="1258" spans="1:29" ht="60" customHeight="1" x14ac:dyDescent="0.2">
      <c r="A1258" s="50" t="s">
        <v>2121</v>
      </c>
      <c r="B1258" s="74"/>
      <c r="C1258" s="66" t="s">
        <v>2122</v>
      </c>
      <c r="D1258" s="53" t="s">
        <v>48</v>
      </c>
      <c r="E1258" s="54" t="s">
        <v>585</v>
      </c>
      <c r="F1258" s="67" t="s">
        <v>49</v>
      </c>
      <c r="G1258" s="67" t="s">
        <v>50</v>
      </c>
      <c r="H1258" s="57" t="s">
        <v>60</v>
      </c>
      <c r="I1258" s="55" t="s">
        <v>51</v>
      </c>
      <c r="J1258" s="57">
        <v>1300</v>
      </c>
      <c r="K1258" s="58"/>
      <c r="L1258" s="114">
        <f>42-36+36</f>
        <v>42</v>
      </c>
      <c r="M1258" s="60"/>
      <c r="N1258" s="61"/>
      <c r="O1258" s="61"/>
      <c r="P1258" s="77">
        <f>0</f>
        <v>0</v>
      </c>
      <c r="Q1258" s="77">
        <f>3-3+3</f>
        <v>3</v>
      </c>
      <c r="R1258" s="77">
        <f>13-10+10</f>
        <v>13</v>
      </c>
      <c r="S1258" s="77">
        <f>13-10+10</f>
        <v>13</v>
      </c>
      <c r="T1258" s="77">
        <f>10-10+10</f>
        <v>10</v>
      </c>
      <c r="U1258" s="77">
        <f>3-3+3</f>
        <v>3</v>
      </c>
      <c r="V1258" s="77">
        <f>0</f>
        <v>0</v>
      </c>
      <c r="W1258" s="63"/>
      <c r="X1258" s="63"/>
      <c r="Z1258" s="63"/>
      <c r="AA1258" s="113"/>
      <c r="AB1258" s="113"/>
      <c r="AC1258" s="113"/>
    </row>
    <row r="1259" spans="1:29" ht="60" customHeight="1" x14ac:dyDescent="0.2">
      <c r="A1259" s="50" t="s">
        <v>2123</v>
      </c>
      <c r="B1259" s="74"/>
      <c r="C1259" s="66" t="s">
        <v>2124</v>
      </c>
      <c r="D1259" s="53" t="s">
        <v>58</v>
      </c>
      <c r="E1259" s="54" t="s">
        <v>585</v>
      </c>
      <c r="F1259" s="67" t="s">
        <v>59</v>
      </c>
      <c r="G1259" s="67" t="s">
        <v>50</v>
      </c>
      <c r="H1259" s="57" t="s">
        <v>60</v>
      </c>
      <c r="I1259" s="55" t="s">
        <v>51</v>
      </c>
      <c r="J1259" s="57">
        <v>1300</v>
      </c>
      <c r="K1259" s="58"/>
      <c r="L1259" s="114">
        <f>33-30+30</f>
        <v>33</v>
      </c>
      <c r="M1259" s="60"/>
      <c r="N1259" s="61"/>
      <c r="O1259" s="61"/>
      <c r="P1259" s="77">
        <f>5-5+5</f>
        <v>5</v>
      </c>
      <c r="Q1259" s="77">
        <f>13-10+10</f>
        <v>13</v>
      </c>
      <c r="R1259" s="77">
        <f>10-10+10</f>
        <v>10</v>
      </c>
      <c r="S1259" s="77">
        <f>5-5+5</f>
        <v>5</v>
      </c>
      <c r="T1259" s="77">
        <f>0</f>
        <v>0</v>
      </c>
      <c r="U1259" s="77">
        <f>0</f>
        <v>0</v>
      </c>
      <c r="V1259" s="77">
        <f>0</f>
        <v>0</v>
      </c>
      <c r="W1259" s="63"/>
      <c r="X1259" s="63"/>
      <c r="Z1259" s="63"/>
      <c r="AA1259" s="113"/>
      <c r="AB1259" s="113"/>
      <c r="AC1259" s="113"/>
    </row>
    <row r="1260" spans="1:29" ht="60" customHeight="1" x14ac:dyDescent="0.2">
      <c r="A1260" s="50" t="s">
        <v>2125</v>
      </c>
      <c r="B1260" s="74"/>
      <c r="C1260" s="66" t="s">
        <v>2126</v>
      </c>
      <c r="D1260" s="53" t="s">
        <v>48</v>
      </c>
      <c r="E1260" s="54" t="s">
        <v>585</v>
      </c>
      <c r="F1260" s="67" t="s">
        <v>49</v>
      </c>
      <c r="G1260" s="67" t="s">
        <v>50</v>
      </c>
      <c r="H1260" s="57" t="s">
        <v>37</v>
      </c>
      <c r="I1260" s="55" t="s">
        <v>51</v>
      </c>
      <c r="J1260" s="57">
        <v>1450</v>
      </c>
      <c r="K1260" s="58"/>
      <c r="L1260" s="114">
        <f>36-29+29</f>
        <v>36</v>
      </c>
      <c r="M1260" s="60"/>
      <c r="N1260" s="61"/>
      <c r="O1260" s="61"/>
      <c r="P1260" s="77">
        <f>0</f>
        <v>0</v>
      </c>
      <c r="Q1260" s="77">
        <f>7-5+5</f>
        <v>7</v>
      </c>
      <c r="R1260" s="77">
        <f>12-10+10</f>
        <v>12</v>
      </c>
      <c r="S1260" s="77">
        <f>8-5+5</f>
        <v>8</v>
      </c>
      <c r="T1260" s="77">
        <f>5-5+5</f>
        <v>5</v>
      </c>
      <c r="U1260" s="77">
        <f>3-3+3</f>
        <v>3</v>
      </c>
      <c r="V1260" s="77">
        <f>1-1+1</f>
        <v>1</v>
      </c>
      <c r="W1260" s="63"/>
      <c r="X1260" s="63"/>
      <c r="Z1260" s="63"/>
      <c r="AA1260" s="113"/>
      <c r="AB1260" s="113"/>
      <c r="AC1260" s="113"/>
    </row>
    <row r="1261" spans="1:29" ht="60" customHeight="1" x14ac:dyDescent="0.2">
      <c r="A1261" s="50" t="s">
        <v>2127</v>
      </c>
      <c r="B1261" s="74"/>
      <c r="C1261" s="66" t="s">
        <v>2128</v>
      </c>
      <c r="D1261" s="53" t="s">
        <v>58</v>
      </c>
      <c r="E1261" s="54" t="s">
        <v>585</v>
      </c>
      <c r="F1261" s="67" t="s">
        <v>59</v>
      </c>
      <c r="G1261" s="67" t="s">
        <v>50</v>
      </c>
      <c r="H1261" s="57" t="s">
        <v>37</v>
      </c>
      <c r="I1261" s="55" t="s">
        <v>51</v>
      </c>
      <c r="J1261" s="57">
        <v>1450</v>
      </c>
      <c r="K1261" s="58"/>
      <c r="L1261" s="114">
        <f>17-17+17</f>
        <v>17</v>
      </c>
      <c r="M1261" s="60"/>
      <c r="N1261" s="61"/>
      <c r="O1261" s="61"/>
      <c r="P1261" s="77">
        <f>4-4+4</f>
        <v>4</v>
      </c>
      <c r="Q1261" s="77">
        <f>5-5+5</f>
        <v>5</v>
      </c>
      <c r="R1261" s="77">
        <f>5-5+5</f>
        <v>5</v>
      </c>
      <c r="S1261" s="77">
        <f>3-3+3</f>
        <v>3</v>
      </c>
      <c r="T1261" s="77">
        <f>0</f>
        <v>0</v>
      </c>
      <c r="U1261" s="77">
        <f>0</f>
        <v>0</v>
      </c>
      <c r="V1261" s="77">
        <f>0</f>
        <v>0</v>
      </c>
      <c r="W1261" s="63"/>
      <c r="X1261" s="63"/>
      <c r="Z1261" s="63"/>
      <c r="AA1261" s="113"/>
      <c r="AB1261" s="113"/>
      <c r="AC1261" s="113"/>
    </row>
    <row r="1262" spans="1:29" ht="60" customHeight="1" x14ac:dyDescent="0.2">
      <c r="A1262" s="50" t="s">
        <v>2129</v>
      </c>
      <c r="B1262" s="74"/>
      <c r="C1262" s="66" t="s">
        <v>2130</v>
      </c>
      <c r="D1262" s="53" t="s">
        <v>48</v>
      </c>
      <c r="E1262" s="54" t="s">
        <v>585</v>
      </c>
      <c r="F1262" s="67" t="s">
        <v>49</v>
      </c>
      <c r="G1262" s="67" t="s">
        <v>50</v>
      </c>
      <c r="H1262" s="57" t="s">
        <v>37</v>
      </c>
      <c r="I1262" s="55" t="s">
        <v>637</v>
      </c>
      <c r="J1262" s="57">
        <v>950</v>
      </c>
      <c r="K1262" s="58"/>
      <c r="L1262" s="114">
        <f>51-43+43</f>
        <v>51</v>
      </c>
      <c r="M1262" s="60"/>
      <c r="N1262" s="61"/>
      <c r="O1262" s="61"/>
      <c r="P1262" s="77">
        <f>0</f>
        <v>0</v>
      </c>
      <c r="Q1262" s="77">
        <f>14-10+10</f>
        <v>14</v>
      </c>
      <c r="R1262" s="77">
        <f>7-5+5</f>
        <v>7</v>
      </c>
      <c r="S1262" s="77">
        <f>17-15+15</f>
        <v>17</v>
      </c>
      <c r="T1262" s="77">
        <f>10-10+10</f>
        <v>10</v>
      </c>
      <c r="U1262" s="77">
        <f>3-3+3</f>
        <v>3</v>
      </c>
      <c r="V1262" s="77">
        <f>0</f>
        <v>0</v>
      </c>
      <c r="W1262" s="63"/>
      <c r="X1262" s="63"/>
      <c r="Z1262" s="63"/>
      <c r="AA1262" s="113"/>
      <c r="AB1262" s="113"/>
      <c r="AC1262" s="113"/>
    </row>
    <row r="1263" spans="1:29" ht="60" customHeight="1" x14ac:dyDescent="0.2">
      <c r="A1263" s="50" t="s">
        <v>2131</v>
      </c>
      <c r="B1263" s="74"/>
      <c r="C1263" s="66" t="s">
        <v>2132</v>
      </c>
      <c r="D1263" s="53" t="s">
        <v>48</v>
      </c>
      <c r="E1263" s="54" t="s">
        <v>585</v>
      </c>
      <c r="F1263" s="67" t="s">
        <v>49</v>
      </c>
      <c r="G1263" s="67" t="s">
        <v>50</v>
      </c>
      <c r="H1263" s="57" t="s">
        <v>60</v>
      </c>
      <c r="I1263" s="55" t="s">
        <v>51</v>
      </c>
      <c r="J1263" s="57">
        <v>1300</v>
      </c>
      <c r="K1263" s="58"/>
      <c r="L1263" s="114">
        <f>21-19+19</f>
        <v>21</v>
      </c>
      <c r="M1263" s="60"/>
      <c r="N1263" s="61"/>
      <c r="O1263" s="61"/>
      <c r="P1263" s="77">
        <f>0</f>
        <v>0</v>
      </c>
      <c r="Q1263" s="77">
        <f>4-4+4</f>
        <v>4</v>
      </c>
      <c r="R1263" s="77">
        <f>5-5+5</f>
        <v>5</v>
      </c>
      <c r="S1263" s="77">
        <f>7-5+5</f>
        <v>7</v>
      </c>
      <c r="T1263" s="77">
        <f>5-5+5</f>
        <v>5</v>
      </c>
      <c r="U1263" s="77">
        <f>0</f>
        <v>0</v>
      </c>
      <c r="V1263" s="77">
        <f>0</f>
        <v>0</v>
      </c>
      <c r="W1263" s="63"/>
      <c r="X1263" s="63"/>
      <c r="Z1263" s="63"/>
      <c r="AA1263" s="113"/>
      <c r="AB1263" s="113"/>
      <c r="AC1263" s="113"/>
    </row>
    <row r="1264" spans="1:29" ht="60" customHeight="1" x14ac:dyDescent="0.2">
      <c r="A1264" s="50" t="s">
        <v>2133</v>
      </c>
      <c r="B1264" s="74"/>
      <c r="C1264" s="66" t="s">
        <v>2134</v>
      </c>
      <c r="D1264" s="53" t="s">
        <v>58</v>
      </c>
      <c r="E1264" s="54" t="s">
        <v>585</v>
      </c>
      <c r="F1264" s="67" t="s">
        <v>59</v>
      </c>
      <c r="G1264" s="67" t="s">
        <v>50</v>
      </c>
      <c r="H1264" s="57" t="s">
        <v>60</v>
      </c>
      <c r="I1264" s="55" t="s">
        <v>51</v>
      </c>
      <c r="J1264" s="57">
        <v>1300</v>
      </c>
      <c r="K1264" s="58"/>
      <c r="L1264" s="114">
        <f>13-10+10</f>
        <v>13</v>
      </c>
      <c r="M1264" s="60"/>
      <c r="N1264" s="61"/>
      <c r="O1264" s="61"/>
      <c r="P1264" s="77">
        <f>0</f>
        <v>0</v>
      </c>
      <c r="Q1264" s="77">
        <f>8-5+5</f>
        <v>8</v>
      </c>
      <c r="R1264" s="77">
        <f>4-4+4</f>
        <v>4</v>
      </c>
      <c r="S1264" s="77">
        <f>1-1+1</f>
        <v>1</v>
      </c>
      <c r="T1264" s="77">
        <f>0</f>
        <v>0</v>
      </c>
      <c r="U1264" s="77">
        <f>0</f>
        <v>0</v>
      </c>
      <c r="V1264" s="77">
        <f>0</f>
        <v>0</v>
      </c>
      <c r="W1264" s="63"/>
      <c r="X1264" s="63"/>
      <c r="Z1264" s="63"/>
      <c r="AA1264" s="113"/>
      <c r="AB1264" s="113"/>
      <c r="AC1264" s="113"/>
    </row>
    <row r="1265" spans="1:29" ht="60" customHeight="1" x14ac:dyDescent="0.2">
      <c r="A1265" s="50" t="s">
        <v>2135</v>
      </c>
      <c r="B1265" s="74"/>
      <c r="C1265" s="66" t="s">
        <v>2136</v>
      </c>
      <c r="D1265" s="53" t="s">
        <v>48</v>
      </c>
      <c r="E1265" s="54" t="s">
        <v>585</v>
      </c>
      <c r="F1265" s="67" t="s">
        <v>49</v>
      </c>
      <c r="G1265" s="67" t="s">
        <v>50</v>
      </c>
      <c r="H1265" s="57" t="s">
        <v>37</v>
      </c>
      <c r="I1265" s="55" t="s">
        <v>51</v>
      </c>
      <c r="J1265" s="57">
        <v>1450</v>
      </c>
      <c r="K1265" s="58"/>
      <c r="L1265" s="114">
        <f>29-23+23</f>
        <v>29</v>
      </c>
      <c r="M1265" s="60"/>
      <c r="N1265" s="61"/>
      <c r="O1265" s="61"/>
      <c r="P1265" s="77">
        <f>0</f>
        <v>0</v>
      </c>
      <c r="Q1265" s="77">
        <f>13-10+10</f>
        <v>13</v>
      </c>
      <c r="R1265" s="77">
        <f>7-5+5</f>
        <v>7</v>
      </c>
      <c r="S1265" s="77">
        <f>3-3+3</f>
        <v>3</v>
      </c>
      <c r="T1265" s="77">
        <f>6-5+5</f>
        <v>6</v>
      </c>
      <c r="U1265" s="77">
        <f>0</f>
        <v>0</v>
      </c>
      <c r="V1265" s="77">
        <f>0</f>
        <v>0</v>
      </c>
      <c r="W1265" s="63"/>
      <c r="X1265" s="63"/>
      <c r="Z1265" s="63"/>
      <c r="AA1265" s="113"/>
      <c r="AB1265" s="113"/>
      <c r="AC1265" s="113"/>
    </row>
    <row r="1266" spans="1:29" ht="60" customHeight="1" x14ac:dyDescent="0.2">
      <c r="A1266" s="50" t="s">
        <v>2137</v>
      </c>
      <c r="B1266" s="74"/>
      <c r="C1266" s="66" t="s">
        <v>2138</v>
      </c>
      <c r="D1266" s="53" t="s">
        <v>58</v>
      </c>
      <c r="E1266" s="54" t="s">
        <v>585</v>
      </c>
      <c r="F1266" s="67" t="s">
        <v>59</v>
      </c>
      <c r="G1266" s="67" t="s">
        <v>50</v>
      </c>
      <c r="H1266" s="57" t="s">
        <v>37</v>
      </c>
      <c r="I1266" s="55" t="s">
        <v>51</v>
      </c>
      <c r="J1266" s="57">
        <v>1450</v>
      </c>
      <c r="K1266" s="58"/>
      <c r="L1266" s="114">
        <f>7-1+1</f>
        <v>7</v>
      </c>
      <c r="M1266" s="60"/>
      <c r="N1266" s="61"/>
      <c r="O1266" s="61"/>
      <c r="P1266" s="77">
        <f>0</f>
        <v>0</v>
      </c>
      <c r="Q1266" s="77">
        <f>0</f>
        <v>0</v>
      </c>
      <c r="R1266" s="77">
        <f>3+1</f>
        <v>4</v>
      </c>
      <c r="S1266" s="77">
        <f>3-1+1</f>
        <v>3</v>
      </c>
      <c r="T1266" s="77">
        <f>0</f>
        <v>0</v>
      </c>
      <c r="U1266" s="77">
        <f>0</f>
        <v>0</v>
      </c>
      <c r="V1266" s="77">
        <f>0</f>
        <v>0</v>
      </c>
      <c r="W1266" s="63"/>
      <c r="X1266" s="63"/>
      <c r="Z1266" s="63"/>
      <c r="AA1266" s="113"/>
      <c r="AB1266" s="113"/>
      <c r="AC1266" s="113"/>
    </row>
    <row r="1267" spans="1:29" ht="60" customHeight="1" x14ac:dyDescent="0.2">
      <c r="A1267" s="50" t="s">
        <v>2139</v>
      </c>
      <c r="B1267" s="74"/>
      <c r="C1267" s="66" t="s">
        <v>2140</v>
      </c>
      <c r="D1267" s="53" t="s">
        <v>48</v>
      </c>
      <c r="E1267" s="54" t="s">
        <v>585</v>
      </c>
      <c r="F1267" s="67" t="s">
        <v>49</v>
      </c>
      <c r="G1267" s="67" t="s">
        <v>50</v>
      </c>
      <c r="H1267" s="57" t="s">
        <v>60</v>
      </c>
      <c r="I1267" s="55" t="s">
        <v>51</v>
      </c>
      <c r="J1267" s="57">
        <v>1300</v>
      </c>
      <c r="K1267" s="58"/>
      <c r="L1267" s="114">
        <f>21-17+17</f>
        <v>21</v>
      </c>
      <c r="M1267" s="60"/>
      <c r="N1267" s="61"/>
      <c r="O1267" s="61"/>
      <c r="P1267" s="77">
        <f>0</f>
        <v>0</v>
      </c>
      <c r="Q1267" s="77">
        <f>7-5+5</f>
        <v>7</v>
      </c>
      <c r="R1267" s="77">
        <f>7-5+5</f>
        <v>7</v>
      </c>
      <c r="S1267" s="77">
        <f>5-5+5</f>
        <v>5</v>
      </c>
      <c r="T1267" s="77">
        <f>2-2+2</f>
        <v>2</v>
      </c>
      <c r="U1267" s="77">
        <f>0</f>
        <v>0</v>
      </c>
      <c r="V1267" s="77">
        <f>0</f>
        <v>0</v>
      </c>
      <c r="W1267" s="63"/>
      <c r="X1267" s="63"/>
      <c r="Z1267" s="63"/>
      <c r="AA1267" s="113"/>
      <c r="AB1267" s="113"/>
      <c r="AC1267" s="113"/>
    </row>
    <row r="1268" spans="1:29" ht="60" customHeight="1" x14ac:dyDescent="0.2">
      <c r="A1268" s="50" t="s">
        <v>2141</v>
      </c>
      <c r="B1268" s="74"/>
      <c r="C1268" s="66" t="s">
        <v>2142</v>
      </c>
      <c r="D1268" s="53" t="s">
        <v>48</v>
      </c>
      <c r="E1268" s="54" t="s">
        <v>585</v>
      </c>
      <c r="F1268" s="67" t="s">
        <v>49</v>
      </c>
      <c r="G1268" s="67" t="s">
        <v>50</v>
      </c>
      <c r="H1268" s="57" t="s">
        <v>37</v>
      </c>
      <c r="I1268" s="55" t="s">
        <v>51</v>
      </c>
      <c r="J1268" s="57">
        <v>1750</v>
      </c>
      <c r="K1268" s="58"/>
      <c r="L1268" s="114">
        <f>1+2</f>
        <v>3</v>
      </c>
      <c r="M1268" s="60"/>
      <c r="N1268" s="61"/>
      <c r="O1268" s="61"/>
      <c r="P1268" s="77">
        <f>0</f>
        <v>0</v>
      </c>
      <c r="Q1268" s="77">
        <f>1</f>
        <v>1</v>
      </c>
      <c r="R1268" s="77">
        <f>0+1</f>
        <v>1</v>
      </c>
      <c r="S1268" s="77">
        <f>0+1</f>
        <v>1</v>
      </c>
      <c r="T1268" s="77">
        <f>0</f>
        <v>0</v>
      </c>
      <c r="U1268" s="77">
        <f>0</f>
        <v>0</v>
      </c>
      <c r="V1268" s="77">
        <f>0</f>
        <v>0</v>
      </c>
      <c r="W1268" s="63"/>
      <c r="X1268" s="63"/>
      <c r="Z1268" s="63"/>
      <c r="AA1268" s="113"/>
      <c r="AB1268" s="113"/>
      <c r="AC1268" s="113"/>
    </row>
    <row r="1269" spans="1:29" ht="60" hidden="1" customHeight="1" x14ac:dyDescent="0.2">
      <c r="A1269" s="50" t="s">
        <v>2143</v>
      </c>
      <c r="B1269" s="74"/>
      <c r="C1269" s="66" t="s">
        <v>2144</v>
      </c>
      <c r="D1269" s="53" t="s">
        <v>48</v>
      </c>
      <c r="E1269" s="54" t="s">
        <v>585</v>
      </c>
      <c r="F1269" s="67" t="s">
        <v>49</v>
      </c>
      <c r="G1269" s="67" t="s">
        <v>50</v>
      </c>
      <c r="H1269" s="57" t="s">
        <v>84</v>
      </c>
      <c r="I1269" s="55" t="s">
        <v>637</v>
      </c>
      <c r="J1269" s="57">
        <v>950</v>
      </c>
      <c r="K1269" s="58"/>
      <c r="L1269" s="114">
        <f>0</f>
        <v>0</v>
      </c>
      <c r="M1269" s="60"/>
      <c r="N1269" s="61"/>
      <c r="O1269" s="61"/>
      <c r="P1269" s="77">
        <f>0</f>
        <v>0</v>
      </c>
      <c r="Q1269" s="77">
        <f>0</f>
        <v>0</v>
      </c>
      <c r="R1269" s="77">
        <f>0</f>
        <v>0</v>
      </c>
      <c r="S1269" s="77">
        <f>0</f>
        <v>0</v>
      </c>
      <c r="T1269" s="77">
        <f>0</f>
        <v>0</v>
      </c>
      <c r="U1269" s="77">
        <f>0</f>
        <v>0</v>
      </c>
      <c r="V1269" s="77">
        <f>0</f>
        <v>0</v>
      </c>
      <c r="W1269" s="63"/>
      <c r="X1269" s="63"/>
      <c r="Z1269" s="63"/>
      <c r="AA1269" s="113"/>
      <c r="AB1269" s="113"/>
      <c r="AC1269" s="113"/>
    </row>
    <row r="1270" spans="1:29" ht="60" customHeight="1" x14ac:dyDescent="0.2">
      <c r="A1270" s="50" t="s">
        <v>2145</v>
      </c>
      <c r="B1270" s="74"/>
      <c r="C1270" s="66" t="s">
        <v>2146</v>
      </c>
      <c r="D1270" s="53" t="s">
        <v>58</v>
      </c>
      <c r="E1270" s="54" t="s">
        <v>585</v>
      </c>
      <c r="F1270" s="67" t="s">
        <v>59</v>
      </c>
      <c r="G1270" s="67" t="s">
        <v>50</v>
      </c>
      <c r="H1270" s="57" t="s">
        <v>442</v>
      </c>
      <c r="I1270" s="55" t="s">
        <v>637</v>
      </c>
      <c r="J1270" s="57">
        <v>950</v>
      </c>
      <c r="K1270" s="58"/>
      <c r="L1270" s="114">
        <f>1</f>
        <v>1</v>
      </c>
      <c r="M1270" s="60"/>
      <c r="N1270" s="61"/>
      <c r="O1270" s="61"/>
      <c r="P1270" s="77">
        <f>0</f>
        <v>0</v>
      </c>
      <c r="Q1270" s="77">
        <f>0</f>
        <v>0</v>
      </c>
      <c r="R1270" s="77">
        <f>1</f>
        <v>1</v>
      </c>
      <c r="S1270" s="77">
        <f>0</f>
        <v>0</v>
      </c>
      <c r="T1270" s="77">
        <f>0</f>
        <v>0</v>
      </c>
      <c r="U1270" s="77">
        <f>0</f>
        <v>0</v>
      </c>
      <c r="V1270" s="77">
        <f>0</f>
        <v>0</v>
      </c>
      <c r="W1270" s="63"/>
      <c r="X1270" s="63"/>
      <c r="Z1270" s="63"/>
      <c r="AA1270" s="113"/>
      <c r="AB1270" s="113"/>
      <c r="AC1270" s="113"/>
    </row>
    <row r="1271" spans="1:29" ht="60" hidden="1" customHeight="1" x14ac:dyDescent="0.2">
      <c r="A1271" s="50" t="s">
        <v>2147</v>
      </c>
      <c r="B1271" s="74"/>
      <c r="C1271" s="66" t="s">
        <v>2148</v>
      </c>
      <c r="D1271" s="53" t="s">
        <v>48</v>
      </c>
      <c r="E1271" s="54" t="s">
        <v>585</v>
      </c>
      <c r="F1271" s="67" t="s">
        <v>49</v>
      </c>
      <c r="G1271" s="67" t="s">
        <v>50</v>
      </c>
      <c r="H1271" s="57" t="s">
        <v>151</v>
      </c>
      <c r="I1271" s="55" t="s">
        <v>637</v>
      </c>
      <c r="J1271" s="57">
        <v>950</v>
      </c>
      <c r="K1271" s="58"/>
      <c r="L1271" s="114">
        <f>0</f>
        <v>0</v>
      </c>
      <c r="M1271" s="60"/>
      <c r="N1271" s="61"/>
      <c r="O1271" s="61"/>
      <c r="P1271" s="77">
        <f>0</f>
        <v>0</v>
      </c>
      <c r="Q1271" s="77">
        <f>0</f>
        <v>0</v>
      </c>
      <c r="R1271" s="77">
        <f>0</f>
        <v>0</v>
      </c>
      <c r="S1271" s="77">
        <f>0</f>
        <v>0</v>
      </c>
      <c r="T1271" s="77">
        <f>0</f>
        <v>0</v>
      </c>
      <c r="U1271" s="77">
        <f>0</f>
        <v>0</v>
      </c>
      <c r="V1271" s="77">
        <f>0</f>
        <v>0</v>
      </c>
      <c r="W1271" s="63"/>
      <c r="X1271" s="63"/>
      <c r="Z1271" s="63"/>
      <c r="AA1271" s="113"/>
      <c r="AB1271" s="113"/>
      <c r="AC1271" s="113"/>
    </row>
    <row r="1272" spans="1:29" ht="60" customHeight="1" x14ac:dyDescent="0.2">
      <c r="A1272" s="50" t="s">
        <v>2149</v>
      </c>
      <c r="B1272" s="74"/>
      <c r="C1272" s="66" t="s">
        <v>2150</v>
      </c>
      <c r="D1272" s="53" t="s">
        <v>48</v>
      </c>
      <c r="E1272" s="54" t="s">
        <v>585</v>
      </c>
      <c r="F1272" s="67" t="s">
        <v>49</v>
      </c>
      <c r="G1272" s="67" t="s">
        <v>50</v>
      </c>
      <c r="H1272" s="57" t="s">
        <v>37</v>
      </c>
      <c r="I1272" s="55" t="s">
        <v>51</v>
      </c>
      <c r="J1272" s="57">
        <v>1500</v>
      </c>
      <c r="K1272" s="58"/>
      <c r="L1272" s="114">
        <f>3-1</f>
        <v>2</v>
      </c>
      <c r="M1272" s="60"/>
      <c r="N1272" s="61"/>
      <c r="O1272" s="61"/>
      <c r="P1272" s="77">
        <f>0</f>
        <v>0</v>
      </c>
      <c r="Q1272" s="77">
        <f>0</f>
        <v>0</v>
      </c>
      <c r="R1272" s="77">
        <f>1</f>
        <v>1</v>
      </c>
      <c r="S1272" s="77">
        <f>1</f>
        <v>1</v>
      </c>
      <c r="T1272" s="77">
        <f>0</f>
        <v>0</v>
      </c>
      <c r="U1272" s="77">
        <f>1-1</f>
        <v>0</v>
      </c>
      <c r="V1272" s="77">
        <f>0</f>
        <v>0</v>
      </c>
      <c r="W1272" s="63"/>
      <c r="X1272" s="63"/>
      <c r="Z1272" s="63"/>
      <c r="AA1272" s="113"/>
      <c r="AB1272" s="113"/>
      <c r="AC1272" s="113"/>
    </row>
    <row r="1273" spans="1:29" ht="60" hidden="1" customHeight="1" x14ac:dyDescent="0.2">
      <c r="A1273" s="50" t="s">
        <v>2151</v>
      </c>
      <c r="B1273" s="74"/>
      <c r="C1273" s="66" t="s">
        <v>2152</v>
      </c>
      <c r="D1273" s="53" t="s">
        <v>58</v>
      </c>
      <c r="E1273" s="54" t="s">
        <v>585</v>
      </c>
      <c r="F1273" s="67" t="s">
        <v>59</v>
      </c>
      <c r="G1273" s="67" t="s">
        <v>50</v>
      </c>
      <c r="H1273" s="57" t="s">
        <v>37</v>
      </c>
      <c r="I1273" s="55" t="s">
        <v>51</v>
      </c>
      <c r="J1273" s="57">
        <v>1500</v>
      </c>
      <c r="K1273" s="58"/>
      <c r="L1273" s="114">
        <f>0</f>
        <v>0</v>
      </c>
      <c r="M1273" s="60"/>
      <c r="N1273" s="61"/>
      <c r="O1273" s="61"/>
      <c r="P1273" s="77">
        <f>0</f>
        <v>0</v>
      </c>
      <c r="Q1273" s="77">
        <f>0</f>
        <v>0</v>
      </c>
      <c r="R1273" s="77">
        <f>0</f>
        <v>0</v>
      </c>
      <c r="S1273" s="77">
        <f>0</f>
        <v>0</v>
      </c>
      <c r="T1273" s="77">
        <f>0</f>
        <v>0</v>
      </c>
      <c r="U1273" s="77">
        <f>0</f>
        <v>0</v>
      </c>
      <c r="V1273" s="77">
        <f>0</f>
        <v>0</v>
      </c>
      <c r="W1273" s="63"/>
      <c r="X1273" s="63"/>
      <c r="Z1273" s="63"/>
      <c r="AA1273" s="113"/>
      <c r="AB1273" s="113"/>
      <c r="AC1273" s="113"/>
    </row>
    <row r="1274" spans="1:29" ht="60" customHeight="1" x14ac:dyDescent="0.2">
      <c r="A1274" s="50" t="s">
        <v>2153</v>
      </c>
      <c r="B1274" s="74"/>
      <c r="C1274" s="66" t="s">
        <v>2154</v>
      </c>
      <c r="D1274" s="53" t="s">
        <v>48</v>
      </c>
      <c r="E1274" s="54" t="s">
        <v>585</v>
      </c>
      <c r="F1274" s="67" t="s">
        <v>49</v>
      </c>
      <c r="G1274" s="67" t="s">
        <v>50</v>
      </c>
      <c r="H1274" s="57" t="s">
        <v>60</v>
      </c>
      <c r="I1274" s="55" t="s">
        <v>51</v>
      </c>
      <c r="J1274" s="57">
        <v>1300</v>
      </c>
      <c r="K1274" s="58"/>
      <c r="L1274" s="114">
        <f>4</f>
        <v>4</v>
      </c>
      <c r="M1274" s="60"/>
      <c r="N1274" s="61"/>
      <c r="O1274" s="61"/>
      <c r="P1274" s="77">
        <f>0</f>
        <v>0</v>
      </c>
      <c r="Q1274" s="77">
        <f>2</f>
        <v>2</v>
      </c>
      <c r="R1274" s="77">
        <f>0</f>
        <v>0</v>
      </c>
      <c r="S1274" s="77">
        <f>0</f>
        <v>0</v>
      </c>
      <c r="T1274" s="77">
        <f>0</f>
        <v>0</v>
      </c>
      <c r="U1274" s="77">
        <f>2</f>
        <v>2</v>
      </c>
      <c r="V1274" s="77">
        <f>0</f>
        <v>0</v>
      </c>
      <c r="W1274" s="63"/>
      <c r="X1274" s="63"/>
      <c r="Z1274" s="63"/>
      <c r="AA1274" s="113"/>
      <c r="AB1274" s="113"/>
      <c r="AC1274" s="113"/>
    </row>
    <row r="1275" spans="1:29" ht="60" customHeight="1" x14ac:dyDescent="0.2">
      <c r="A1275" s="50" t="s">
        <v>2155</v>
      </c>
      <c r="B1275" s="74"/>
      <c r="C1275" s="66" t="s">
        <v>2156</v>
      </c>
      <c r="D1275" s="53" t="s">
        <v>48</v>
      </c>
      <c r="E1275" s="54" t="s">
        <v>585</v>
      </c>
      <c r="F1275" s="67" t="s">
        <v>49</v>
      </c>
      <c r="G1275" s="67" t="s">
        <v>50</v>
      </c>
      <c r="H1275" s="57" t="s">
        <v>37</v>
      </c>
      <c r="I1275" s="55" t="s">
        <v>51</v>
      </c>
      <c r="J1275" s="57">
        <v>1300</v>
      </c>
      <c r="K1275" s="58"/>
      <c r="L1275" s="114">
        <f>51-40+40</f>
        <v>51</v>
      </c>
      <c r="M1275" s="60"/>
      <c r="N1275" s="61"/>
      <c r="O1275" s="61"/>
      <c r="P1275" s="77">
        <f>0</f>
        <v>0</v>
      </c>
      <c r="Q1275" s="77">
        <f>9-5+5</f>
        <v>9</v>
      </c>
      <c r="R1275" s="77">
        <f>12-10+10</f>
        <v>12</v>
      </c>
      <c r="S1275" s="77">
        <f>13-10+10</f>
        <v>13</v>
      </c>
      <c r="T1275" s="77">
        <f>12-10+10</f>
        <v>12</v>
      </c>
      <c r="U1275" s="77">
        <f>4-4+4</f>
        <v>4</v>
      </c>
      <c r="V1275" s="77">
        <f>1-1+1</f>
        <v>1</v>
      </c>
      <c r="W1275" s="63"/>
      <c r="X1275" s="63"/>
      <c r="Z1275" s="63"/>
      <c r="AA1275" s="113"/>
      <c r="AB1275" s="113"/>
      <c r="AC1275" s="113"/>
    </row>
    <row r="1276" spans="1:29" ht="60" customHeight="1" x14ac:dyDescent="0.2">
      <c r="A1276" s="50" t="s">
        <v>2157</v>
      </c>
      <c r="B1276" s="74"/>
      <c r="C1276" s="66" t="s">
        <v>2158</v>
      </c>
      <c r="D1276" s="53" t="s">
        <v>48</v>
      </c>
      <c r="E1276" s="54" t="s">
        <v>585</v>
      </c>
      <c r="F1276" s="67" t="s">
        <v>49</v>
      </c>
      <c r="G1276" s="67" t="s">
        <v>50</v>
      </c>
      <c r="H1276" s="57" t="s">
        <v>37</v>
      </c>
      <c r="I1276" s="55" t="s">
        <v>51</v>
      </c>
      <c r="J1276" s="57">
        <v>1500</v>
      </c>
      <c r="K1276" s="58"/>
      <c r="L1276" s="114">
        <f>11-2</f>
        <v>9</v>
      </c>
      <c r="M1276" s="60"/>
      <c r="N1276" s="61"/>
      <c r="O1276" s="61"/>
      <c r="P1276" s="77">
        <f>0</f>
        <v>0</v>
      </c>
      <c r="Q1276" s="77">
        <f>3-2+2</f>
        <v>3</v>
      </c>
      <c r="R1276" s="77">
        <f>0</f>
        <v>0</v>
      </c>
      <c r="S1276" s="77">
        <f>2-1</f>
        <v>1</v>
      </c>
      <c r="T1276" s="77">
        <f>6-2</f>
        <v>4</v>
      </c>
      <c r="U1276" s="77">
        <f>1</f>
        <v>1</v>
      </c>
      <c r="V1276" s="77">
        <f>0</f>
        <v>0</v>
      </c>
      <c r="W1276" s="63"/>
      <c r="X1276" s="63"/>
      <c r="Z1276" s="63"/>
      <c r="AA1276" s="113"/>
      <c r="AB1276" s="113"/>
      <c r="AC1276" s="113"/>
    </row>
    <row r="1277" spans="1:29" ht="60" customHeight="1" x14ac:dyDescent="0.2">
      <c r="A1277" s="50" t="s">
        <v>2159</v>
      </c>
      <c r="B1277" s="74"/>
      <c r="C1277" s="66" t="s">
        <v>2160</v>
      </c>
      <c r="D1277" s="53" t="s">
        <v>58</v>
      </c>
      <c r="E1277" s="54" t="s">
        <v>585</v>
      </c>
      <c r="F1277" s="67" t="s">
        <v>59</v>
      </c>
      <c r="G1277" s="67" t="s">
        <v>50</v>
      </c>
      <c r="H1277" s="57" t="s">
        <v>37</v>
      </c>
      <c r="I1277" s="55" t="s">
        <v>51</v>
      </c>
      <c r="J1277" s="57">
        <v>1500</v>
      </c>
      <c r="K1277" s="58"/>
      <c r="L1277" s="114">
        <f>2+3</f>
        <v>5</v>
      </c>
      <c r="M1277" s="60"/>
      <c r="N1277" s="61"/>
      <c r="O1277" s="61"/>
      <c r="P1277" s="77">
        <f>1+1</f>
        <v>2</v>
      </c>
      <c r="Q1277" s="77">
        <f>0</f>
        <v>0</v>
      </c>
      <c r="R1277" s="77">
        <f>0+1</f>
        <v>1</v>
      </c>
      <c r="S1277" s="77">
        <f>1+1</f>
        <v>2</v>
      </c>
      <c r="T1277" s="77">
        <f>0</f>
        <v>0</v>
      </c>
      <c r="U1277" s="77">
        <f>0</f>
        <v>0</v>
      </c>
      <c r="V1277" s="77">
        <f>0</f>
        <v>0</v>
      </c>
      <c r="W1277" s="63"/>
      <c r="X1277" s="63"/>
      <c r="Z1277" s="63"/>
      <c r="AA1277" s="113"/>
      <c r="AB1277" s="113"/>
      <c r="AC1277" s="113"/>
    </row>
    <row r="1278" spans="1:29" ht="60" customHeight="1" x14ac:dyDescent="0.2">
      <c r="A1278" s="50" t="s">
        <v>2161</v>
      </c>
      <c r="B1278" s="74"/>
      <c r="C1278" s="66" t="s">
        <v>2162</v>
      </c>
      <c r="D1278" s="53" t="s">
        <v>48</v>
      </c>
      <c r="E1278" s="54" t="s">
        <v>585</v>
      </c>
      <c r="F1278" s="67" t="s">
        <v>49</v>
      </c>
      <c r="G1278" s="67" t="s">
        <v>50</v>
      </c>
      <c r="H1278" s="57" t="s">
        <v>37</v>
      </c>
      <c r="I1278" s="55" t="s">
        <v>51</v>
      </c>
      <c r="J1278" s="57">
        <v>1150</v>
      </c>
      <c r="K1278" s="58"/>
      <c r="L1278" s="114">
        <f>30-23+23</f>
        <v>30</v>
      </c>
      <c r="M1278" s="60"/>
      <c r="N1278" s="61"/>
      <c r="O1278" s="61"/>
      <c r="P1278" s="77">
        <f>0</f>
        <v>0</v>
      </c>
      <c r="Q1278" s="77">
        <f>6-5+5</f>
        <v>6</v>
      </c>
      <c r="R1278" s="77">
        <f>9-5+5</f>
        <v>9</v>
      </c>
      <c r="S1278" s="77">
        <f>5-5+5</f>
        <v>5</v>
      </c>
      <c r="T1278" s="77">
        <f>7-5+5</f>
        <v>7</v>
      </c>
      <c r="U1278" s="77">
        <f>3-3+3</f>
        <v>3</v>
      </c>
      <c r="V1278" s="77">
        <f>0</f>
        <v>0</v>
      </c>
      <c r="W1278" s="63"/>
      <c r="X1278" s="63"/>
      <c r="Z1278" s="63"/>
      <c r="AA1278" s="113"/>
      <c r="AB1278" s="113"/>
      <c r="AC1278" s="113"/>
    </row>
    <row r="1279" spans="1:29" ht="60" customHeight="1" x14ac:dyDescent="0.2">
      <c r="A1279" s="50" t="s">
        <v>2163</v>
      </c>
      <c r="B1279" s="74"/>
      <c r="C1279" s="66" t="s">
        <v>1889</v>
      </c>
      <c r="D1279" s="53" t="s">
        <v>48</v>
      </c>
      <c r="E1279" s="54" t="s">
        <v>585</v>
      </c>
      <c r="F1279" s="67" t="s">
        <v>49</v>
      </c>
      <c r="G1279" s="67" t="s">
        <v>50</v>
      </c>
      <c r="H1279" s="57" t="s">
        <v>37</v>
      </c>
      <c r="I1279" s="55" t="s">
        <v>51</v>
      </c>
      <c r="J1279" s="57">
        <v>1300</v>
      </c>
      <c r="K1279" s="58"/>
      <c r="L1279" s="114">
        <f>41-33+33</f>
        <v>41</v>
      </c>
      <c r="M1279" s="60"/>
      <c r="N1279" s="61"/>
      <c r="O1279" s="61"/>
      <c r="P1279" s="77">
        <f>0</f>
        <v>0</v>
      </c>
      <c r="Q1279" s="77">
        <f>10-10+10</f>
        <v>10</v>
      </c>
      <c r="R1279" s="77">
        <f>14-10+10</f>
        <v>14</v>
      </c>
      <c r="S1279" s="77">
        <f>9-5+5</f>
        <v>9</v>
      </c>
      <c r="T1279" s="77">
        <f>5-5+5</f>
        <v>5</v>
      </c>
      <c r="U1279" s="77">
        <f>2-2+2</f>
        <v>2</v>
      </c>
      <c r="V1279" s="77">
        <f>1-1+1</f>
        <v>1</v>
      </c>
      <c r="W1279" s="63"/>
      <c r="X1279" s="63"/>
      <c r="Z1279" s="63"/>
      <c r="AA1279" s="113"/>
      <c r="AB1279" s="113"/>
      <c r="AC1279" s="113"/>
    </row>
    <row r="1280" spans="1:29" ht="60" customHeight="1" x14ac:dyDescent="0.2">
      <c r="A1280" s="50" t="s">
        <v>2164</v>
      </c>
      <c r="B1280" s="74"/>
      <c r="C1280" s="66" t="s">
        <v>2165</v>
      </c>
      <c r="D1280" s="53" t="s">
        <v>48</v>
      </c>
      <c r="E1280" s="54" t="s">
        <v>585</v>
      </c>
      <c r="F1280" s="67" t="s">
        <v>49</v>
      </c>
      <c r="G1280" s="67" t="s">
        <v>50</v>
      </c>
      <c r="H1280" s="57" t="s">
        <v>340</v>
      </c>
      <c r="I1280" s="128" t="s">
        <v>1565</v>
      </c>
      <c r="J1280" s="57">
        <v>950</v>
      </c>
      <c r="K1280" s="58"/>
      <c r="L1280" s="114">
        <f>11-11+11</f>
        <v>11</v>
      </c>
      <c r="M1280" s="60"/>
      <c r="N1280" s="61"/>
      <c r="O1280" s="61"/>
      <c r="P1280" s="77">
        <f>0</f>
        <v>0</v>
      </c>
      <c r="Q1280" s="77">
        <f>1-1+1</f>
        <v>1</v>
      </c>
      <c r="R1280" s="77">
        <f>4-4+4</f>
        <v>4</v>
      </c>
      <c r="S1280" s="77">
        <f>4-4+4</f>
        <v>4</v>
      </c>
      <c r="T1280" s="77">
        <f>2-2+2</f>
        <v>2</v>
      </c>
      <c r="U1280" s="77">
        <f>0</f>
        <v>0</v>
      </c>
      <c r="V1280" s="77">
        <f>0</f>
        <v>0</v>
      </c>
      <c r="W1280" s="63"/>
      <c r="X1280" s="63"/>
      <c r="Z1280" s="63"/>
      <c r="AA1280" s="113"/>
      <c r="AB1280" s="113"/>
      <c r="AC1280" s="113"/>
    </row>
    <row r="1281" spans="1:29" ht="60" customHeight="1" x14ac:dyDescent="0.2">
      <c r="A1281" s="50" t="s">
        <v>2166</v>
      </c>
      <c r="B1281" s="74"/>
      <c r="C1281" s="66" t="s">
        <v>2167</v>
      </c>
      <c r="D1281" s="53" t="s">
        <v>48</v>
      </c>
      <c r="E1281" s="54" t="s">
        <v>585</v>
      </c>
      <c r="F1281" s="67" t="s">
        <v>49</v>
      </c>
      <c r="G1281" s="67" t="s">
        <v>50</v>
      </c>
      <c r="H1281" s="57" t="s">
        <v>2168</v>
      </c>
      <c r="I1281" s="128" t="s">
        <v>1565</v>
      </c>
      <c r="J1281" s="57">
        <v>950</v>
      </c>
      <c r="K1281" s="58"/>
      <c r="L1281" s="114">
        <f>8</f>
        <v>8</v>
      </c>
      <c r="M1281" s="60"/>
      <c r="N1281" s="61"/>
      <c r="O1281" s="61"/>
      <c r="P1281" s="77">
        <f>0</f>
        <v>0</v>
      </c>
      <c r="Q1281" s="77">
        <f>1</f>
        <v>1</v>
      </c>
      <c r="R1281" s="77">
        <f>2</f>
        <v>2</v>
      </c>
      <c r="S1281" s="77">
        <f>4</f>
        <v>4</v>
      </c>
      <c r="T1281" s="77">
        <f>0</f>
        <v>0</v>
      </c>
      <c r="U1281" s="77">
        <f>1</f>
        <v>1</v>
      </c>
      <c r="V1281" s="77">
        <f>0</f>
        <v>0</v>
      </c>
      <c r="W1281" s="63"/>
      <c r="X1281" s="63"/>
      <c r="Z1281" s="63"/>
      <c r="AA1281" s="113"/>
      <c r="AB1281" s="113"/>
      <c r="AC1281" s="113"/>
    </row>
    <row r="1282" spans="1:29" ht="60" customHeight="1" x14ac:dyDescent="0.2">
      <c r="A1282" s="50" t="s">
        <v>2169</v>
      </c>
      <c r="B1282" s="74"/>
      <c r="C1282" s="66" t="s">
        <v>2170</v>
      </c>
      <c r="D1282" s="53" t="s">
        <v>48</v>
      </c>
      <c r="E1282" s="54" t="s">
        <v>585</v>
      </c>
      <c r="F1282" s="67" t="s">
        <v>49</v>
      </c>
      <c r="G1282" s="67" t="s">
        <v>50</v>
      </c>
      <c r="H1282" s="57" t="s">
        <v>60</v>
      </c>
      <c r="I1282" s="55" t="s">
        <v>51</v>
      </c>
      <c r="J1282" s="57">
        <v>1300</v>
      </c>
      <c r="K1282" s="58"/>
      <c r="L1282" s="114">
        <f>4+1</f>
        <v>5</v>
      </c>
      <c r="M1282" s="60"/>
      <c r="N1282" s="61"/>
      <c r="O1282" s="61"/>
      <c r="P1282" s="77">
        <f>0</f>
        <v>0</v>
      </c>
      <c r="Q1282" s="77">
        <f>2</f>
        <v>2</v>
      </c>
      <c r="R1282" s="77">
        <f>0</f>
        <v>0</v>
      </c>
      <c r="S1282" s="77">
        <f>2+1</f>
        <v>3</v>
      </c>
      <c r="T1282" s="77">
        <f>0</f>
        <v>0</v>
      </c>
      <c r="U1282" s="77">
        <f>0</f>
        <v>0</v>
      </c>
      <c r="V1282" s="77">
        <f>0</f>
        <v>0</v>
      </c>
      <c r="W1282" s="63"/>
      <c r="X1282" s="63"/>
      <c r="Z1282" s="63"/>
      <c r="AA1282" s="113"/>
      <c r="AB1282" s="113"/>
      <c r="AC1282" s="113"/>
    </row>
    <row r="1283" spans="1:29" ht="60" customHeight="1" x14ac:dyDescent="0.2">
      <c r="A1283" s="50" t="s">
        <v>2171</v>
      </c>
      <c r="B1283" s="74"/>
      <c r="C1283" s="66" t="s">
        <v>2172</v>
      </c>
      <c r="D1283" s="53" t="s">
        <v>48</v>
      </c>
      <c r="E1283" s="54" t="s">
        <v>585</v>
      </c>
      <c r="F1283" s="67" t="s">
        <v>49</v>
      </c>
      <c r="G1283" s="67" t="s">
        <v>50</v>
      </c>
      <c r="H1283" s="57" t="s">
        <v>37</v>
      </c>
      <c r="I1283" s="55" t="s">
        <v>51</v>
      </c>
      <c r="J1283" s="57">
        <v>1300</v>
      </c>
      <c r="K1283" s="58"/>
      <c r="L1283" s="114">
        <f>25-18+18</f>
        <v>25</v>
      </c>
      <c r="M1283" s="60"/>
      <c r="N1283" s="61"/>
      <c r="O1283" s="61"/>
      <c r="P1283" s="77">
        <f>0</f>
        <v>0</v>
      </c>
      <c r="Q1283" s="77">
        <f>4-4+4</f>
        <v>4</v>
      </c>
      <c r="R1283" s="77">
        <f>8-5+5</f>
        <v>8</v>
      </c>
      <c r="S1283" s="77">
        <f>9-5+5</f>
        <v>9</v>
      </c>
      <c r="T1283" s="77">
        <f>1-1+1</f>
        <v>1</v>
      </c>
      <c r="U1283" s="77">
        <f>3-3+3</f>
        <v>3</v>
      </c>
      <c r="V1283" s="77">
        <f>0</f>
        <v>0</v>
      </c>
      <c r="W1283" s="63"/>
      <c r="X1283" s="63"/>
      <c r="Z1283" s="63"/>
      <c r="AA1283" s="113"/>
      <c r="AB1283" s="113"/>
      <c r="AC1283" s="113"/>
    </row>
    <row r="1284" spans="1:29" ht="60" customHeight="1" x14ac:dyDescent="0.2">
      <c r="A1284" s="50" t="s">
        <v>2173</v>
      </c>
      <c r="B1284" s="74"/>
      <c r="C1284" s="66" t="s">
        <v>2174</v>
      </c>
      <c r="D1284" s="53" t="s">
        <v>48</v>
      </c>
      <c r="E1284" s="54" t="s">
        <v>585</v>
      </c>
      <c r="F1284" s="67" t="s">
        <v>49</v>
      </c>
      <c r="G1284" s="67" t="s">
        <v>50</v>
      </c>
      <c r="H1284" s="57" t="s">
        <v>60</v>
      </c>
      <c r="I1284" s="55" t="s">
        <v>51</v>
      </c>
      <c r="J1284" s="57">
        <v>1300</v>
      </c>
      <c r="K1284" s="58"/>
      <c r="L1284" s="114">
        <f>43-31+31</f>
        <v>43</v>
      </c>
      <c r="M1284" s="60"/>
      <c r="N1284" s="61"/>
      <c r="O1284" s="61"/>
      <c r="P1284" s="77">
        <f>0</f>
        <v>0</v>
      </c>
      <c r="Q1284" s="77">
        <f>8-5+5</f>
        <v>8</v>
      </c>
      <c r="R1284" s="77">
        <f>9-5+5</f>
        <v>9</v>
      </c>
      <c r="S1284" s="77">
        <f>13-10+10</f>
        <v>13</v>
      </c>
      <c r="T1284" s="77">
        <f>12-10+10</f>
        <v>12</v>
      </c>
      <c r="U1284" s="77">
        <f>1-1+1</f>
        <v>1</v>
      </c>
      <c r="V1284" s="77">
        <f>0</f>
        <v>0</v>
      </c>
      <c r="W1284" s="63"/>
      <c r="X1284" s="63"/>
      <c r="Z1284" s="63"/>
      <c r="AA1284" s="113"/>
      <c r="AB1284" s="113"/>
      <c r="AC1284" s="113"/>
    </row>
    <row r="1285" spans="1:29" ht="60" customHeight="1" x14ac:dyDescent="0.2">
      <c r="A1285" s="50" t="s">
        <v>2175</v>
      </c>
      <c r="B1285" s="74"/>
      <c r="C1285" s="66" t="s">
        <v>2176</v>
      </c>
      <c r="D1285" s="53" t="s">
        <v>58</v>
      </c>
      <c r="E1285" s="54" t="s">
        <v>585</v>
      </c>
      <c r="F1285" s="67" t="s">
        <v>59</v>
      </c>
      <c r="G1285" s="67" t="s">
        <v>50</v>
      </c>
      <c r="H1285" s="57" t="s">
        <v>60</v>
      </c>
      <c r="I1285" s="55" t="s">
        <v>51</v>
      </c>
      <c r="J1285" s="57">
        <v>1300</v>
      </c>
      <c r="K1285" s="58"/>
      <c r="L1285" s="114">
        <f>12-4</f>
        <v>8</v>
      </c>
      <c r="M1285" s="60"/>
      <c r="N1285" s="61"/>
      <c r="O1285" s="61"/>
      <c r="P1285" s="77">
        <f>0</f>
        <v>0</v>
      </c>
      <c r="Q1285" s="77">
        <f>6-2</f>
        <v>4</v>
      </c>
      <c r="R1285" s="77">
        <f>6-2</f>
        <v>4</v>
      </c>
      <c r="S1285" s="77">
        <f>0</f>
        <v>0</v>
      </c>
      <c r="T1285" s="77">
        <f>0</f>
        <v>0</v>
      </c>
      <c r="U1285" s="77">
        <f>0</f>
        <v>0</v>
      </c>
      <c r="V1285" s="77">
        <f>0</f>
        <v>0</v>
      </c>
      <c r="W1285" s="63"/>
      <c r="X1285" s="63"/>
      <c r="Z1285" s="63"/>
      <c r="AA1285" s="113"/>
      <c r="AB1285" s="113"/>
      <c r="AC1285" s="113"/>
    </row>
    <row r="1286" spans="1:29" ht="60" customHeight="1" x14ac:dyDescent="0.2">
      <c r="A1286" s="50" t="s">
        <v>2177</v>
      </c>
      <c r="B1286" s="74"/>
      <c r="C1286" s="66" t="s">
        <v>2178</v>
      </c>
      <c r="D1286" s="57" t="s">
        <v>48</v>
      </c>
      <c r="E1286" s="54" t="s">
        <v>585</v>
      </c>
      <c r="F1286" s="55" t="s">
        <v>49</v>
      </c>
      <c r="G1286" s="67" t="s">
        <v>50</v>
      </c>
      <c r="H1286" s="57" t="s">
        <v>37</v>
      </c>
      <c r="I1286" s="55" t="s">
        <v>51</v>
      </c>
      <c r="J1286" s="57">
        <v>1150</v>
      </c>
      <c r="K1286" s="58"/>
      <c r="L1286" s="114">
        <f>36-32+32</f>
        <v>36</v>
      </c>
      <c r="M1286" s="60"/>
      <c r="N1286" s="61"/>
      <c r="O1286" s="61"/>
      <c r="P1286" s="77">
        <f>0</f>
        <v>0</v>
      </c>
      <c r="Q1286" s="77">
        <f>4-4+4</f>
        <v>4</v>
      </c>
      <c r="R1286" s="77">
        <f>10-10+10</f>
        <v>10</v>
      </c>
      <c r="S1286" s="77">
        <f>13-10+10</f>
        <v>13</v>
      </c>
      <c r="T1286" s="77">
        <f>6-5+5</f>
        <v>6</v>
      </c>
      <c r="U1286" s="77">
        <f>3-3+3</f>
        <v>3</v>
      </c>
      <c r="V1286" s="77">
        <f>0</f>
        <v>0</v>
      </c>
      <c r="W1286" s="63"/>
      <c r="X1286" s="63"/>
      <c r="Z1286" s="63"/>
      <c r="AA1286" s="113"/>
      <c r="AB1286" s="113"/>
      <c r="AC1286" s="113"/>
    </row>
    <row r="1287" spans="1:29" ht="60" customHeight="1" x14ac:dyDescent="0.2">
      <c r="A1287" s="50" t="s">
        <v>2179</v>
      </c>
      <c r="B1287" s="74"/>
      <c r="C1287" s="66" t="s">
        <v>2180</v>
      </c>
      <c r="D1287" s="57" t="s">
        <v>48</v>
      </c>
      <c r="E1287" s="54" t="s">
        <v>585</v>
      </c>
      <c r="F1287" s="55" t="s">
        <v>49</v>
      </c>
      <c r="G1287" s="67" t="s">
        <v>50</v>
      </c>
      <c r="H1287" s="57" t="s">
        <v>37</v>
      </c>
      <c r="I1287" s="55" t="s">
        <v>51</v>
      </c>
      <c r="J1287" s="57">
        <v>1450</v>
      </c>
      <c r="K1287" s="58"/>
      <c r="L1287" s="114">
        <f>11-2</f>
        <v>9</v>
      </c>
      <c r="M1287" s="60"/>
      <c r="N1287" s="61"/>
      <c r="O1287" s="61"/>
      <c r="P1287" s="77">
        <f>0</f>
        <v>0</v>
      </c>
      <c r="Q1287" s="77">
        <f>8-5+5-2</f>
        <v>6</v>
      </c>
      <c r="R1287" s="77">
        <f>3-3</f>
        <v>0</v>
      </c>
      <c r="S1287" s="77">
        <f>1-1</f>
        <v>0</v>
      </c>
      <c r="T1287" s="77">
        <f>1-1</f>
        <v>0</v>
      </c>
      <c r="U1287" s="77">
        <f>1-1+1</f>
        <v>1</v>
      </c>
      <c r="V1287" s="77">
        <f>2-2+2</f>
        <v>2</v>
      </c>
      <c r="W1287" s="63"/>
      <c r="X1287" s="63"/>
      <c r="Z1287" s="63"/>
      <c r="AA1287" s="113"/>
      <c r="AB1287" s="113"/>
      <c r="AC1287" s="113"/>
    </row>
    <row r="1288" spans="1:29" ht="60" customHeight="1" x14ac:dyDescent="0.2">
      <c r="A1288" s="50" t="s">
        <v>2181</v>
      </c>
      <c r="B1288" s="74"/>
      <c r="C1288" s="66" t="s">
        <v>2182</v>
      </c>
      <c r="D1288" s="57" t="s">
        <v>58</v>
      </c>
      <c r="E1288" s="68" t="s">
        <v>585</v>
      </c>
      <c r="F1288" s="55" t="s">
        <v>59</v>
      </c>
      <c r="G1288" s="67" t="s">
        <v>50</v>
      </c>
      <c r="H1288" s="57" t="s">
        <v>37</v>
      </c>
      <c r="I1288" s="55" t="s">
        <v>51</v>
      </c>
      <c r="J1288" s="57">
        <v>1450</v>
      </c>
      <c r="K1288" s="58"/>
      <c r="L1288" s="114">
        <f>17-14+14</f>
        <v>17</v>
      </c>
      <c r="M1288" s="60"/>
      <c r="N1288" s="61"/>
      <c r="O1288" s="61"/>
      <c r="P1288" s="77">
        <f>4-4+4</f>
        <v>4</v>
      </c>
      <c r="Q1288" s="77">
        <f>8-5+5</f>
        <v>8</v>
      </c>
      <c r="R1288" s="77">
        <f>3-3+3</f>
        <v>3</v>
      </c>
      <c r="S1288" s="77">
        <f>2-2+2</f>
        <v>2</v>
      </c>
      <c r="T1288" s="77">
        <f>0</f>
        <v>0</v>
      </c>
      <c r="U1288" s="77">
        <f>0</f>
        <v>0</v>
      </c>
      <c r="V1288" s="77">
        <f>0</f>
        <v>0</v>
      </c>
      <c r="W1288" s="63"/>
      <c r="X1288" s="63"/>
      <c r="Z1288" s="63"/>
      <c r="AA1288" s="113"/>
      <c r="AB1288" s="113"/>
      <c r="AC1288" s="113"/>
    </row>
    <row r="1289" spans="1:29" ht="60" customHeight="1" x14ac:dyDescent="0.2">
      <c r="A1289" s="50" t="s">
        <v>2183</v>
      </c>
      <c r="B1289" s="74"/>
      <c r="C1289" s="66" t="s">
        <v>2184</v>
      </c>
      <c r="D1289" s="57" t="s">
        <v>48</v>
      </c>
      <c r="E1289" s="54" t="s">
        <v>585</v>
      </c>
      <c r="F1289" s="55" t="s">
        <v>49</v>
      </c>
      <c r="G1289" s="67" t="s">
        <v>50</v>
      </c>
      <c r="H1289" s="57" t="s">
        <v>37</v>
      </c>
      <c r="I1289" s="55" t="s">
        <v>51</v>
      </c>
      <c r="J1289" s="57">
        <v>1400</v>
      </c>
      <c r="K1289" s="58"/>
      <c r="L1289" s="114">
        <f>28-26+26</f>
        <v>28</v>
      </c>
      <c r="M1289" s="60"/>
      <c r="N1289" s="61"/>
      <c r="O1289" s="61"/>
      <c r="P1289" s="77">
        <f>0</f>
        <v>0</v>
      </c>
      <c r="Q1289" s="77">
        <f>4-4+4</f>
        <v>4</v>
      </c>
      <c r="R1289" s="77">
        <f>5-5+5</f>
        <v>5</v>
      </c>
      <c r="S1289" s="77">
        <f>12-10+10</f>
        <v>12</v>
      </c>
      <c r="T1289" s="77">
        <f>5-5+5</f>
        <v>5</v>
      </c>
      <c r="U1289" s="77">
        <f>1-1+1</f>
        <v>1</v>
      </c>
      <c r="V1289" s="77">
        <f>1-1+1</f>
        <v>1</v>
      </c>
      <c r="W1289" s="63"/>
      <c r="X1289" s="63"/>
      <c r="Z1289" s="63"/>
      <c r="AA1289" s="113"/>
      <c r="AB1289" s="113"/>
      <c r="AC1289" s="113"/>
    </row>
    <row r="1290" spans="1:29" ht="60" customHeight="1" x14ac:dyDescent="0.2">
      <c r="A1290" s="50" t="s">
        <v>2185</v>
      </c>
      <c r="B1290" s="74"/>
      <c r="C1290" s="66" t="s">
        <v>2186</v>
      </c>
      <c r="D1290" s="57" t="s">
        <v>48</v>
      </c>
      <c r="E1290" s="54" t="s">
        <v>585</v>
      </c>
      <c r="F1290" s="55" t="s">
        <v>49</v>
      </c>
      <c r="G1290" s="67" t="s">
        <v>50</v>
      </c>
      <c r="H1290" s="57" t="s">
        <v>37</v>
      </c>
      <c r="I1290" s="55" t="s">
        <v>637</v>
      </c>
      <c r="J1290" s="57">
        <v>1300</v>
      </c>
      <c r="K1290" s="58"/>
      <c r="L1290" s="114">
        <f>16-12+12</f>
        <v>16</v>
      </c>
      <c r="M1290" s="60"/>
      <c r="N1290" s="61"/>
      <c r="O1290" s="61"/>
      <c r="P1290" s="77">
        <f>0</f>
        <v>0</v>
      </c>
      <c r="Q1290" s="77">
        <f>8-5+5</f>
        <v>8</v>
      </c>
      <c r="R1290" s="77">
        <f>6-5+5</f>
        <v>6</v>
      </c>
      <c r="S1290" s="77">
        <f>0</f>
        <v>0</v>
      </c>
      <c r="T1290" s="77">
        <f>2-2+2</f>
        <v>2</v>
      </c>
      <c r="U1290" s="77">
        <f>0</f>
        <v>0</v>
      </c>
      <c r="V1290" s="77">
        <f>0</f>
        <v>0</v>
      </c>
      <c r="W1290" s="63"/>
      <c r="X1290" s="63"/>
      <c r="Z1290" s="63"/>
      <c r="AA1290" s="113"/>
      <c r="AB1290" s="113"/>
      <c r="AC1290" s="113"/>
    </row>
    <row r="1291" spans="1:29" ht="60" customHeight="1" x14ac:dyDescent="0.2">
      <c r="A1291" s="50" t="s">
        <v>2187</v>
      </c>
      <c r="B1291" s="74"/>
      <c r="C1291" s="66" t="s">
        <v>2188</v>
      </c>
      <c r="D1291" s="57" t="s">
        <v>48</v>
      </c>
      <c r="E1291" s="54" t="s">
        <v>585</v>
      </c>
      <c r="F1291" s="55" t="s">
        <v>49</v>
      </c>
      <c r="G1291" s="67" t="s">
        <v>50</v>
      </c>
      <c r="H1291" s="57" t="s">
        <v>37</v>
      </c>
      <c r="I1291" s="55" t="s">
        <v>637</v>
      </c>
      <c r="J1291" s="57">
        <v>1200</v>
      </c>
      <c r="K1291" s="58"/>
      <c r="L1291" s="114">
        <f>45-37+37</f>
        <v>45</v>
      </c>
      <c r="M1291" s="60"/>
      <c r="N1291" s="61"/>
      <c r="O1291" s="61"/>
      <c r="P1291" s="77">
        <f>0</f>
        <v>0</v>
      </c>
      <c r="Q1291" s="77">
        <f>8-5+5</f>
        <v>8</v>
      </c>
      <c r="R1291" s="77">
        <f>13-10+10</f>
        <v>13</v>
      </c>
      <c r="S1291" s="77">
        <f>10-10+10</f>
        <v>10</v>
      </c>
      <c r="T1291" s="77">
        <f>7-5+5</f>
        <v>7</v>
      </c>
      <c r="U1291" s="77">
        <f>5-5+5</f>
        <v>5</v>
      </c>
      <c r="V1291" s="77">
        <f>2-2+2</f>
        <v>2</v>
      </c>
      <c r="W1291" s="63"/>
      <c r="X1291" s="63"/>
      <c r="Z1291" s="63"/>
      <c r="AA1291" s="113"/>
      <c r="AB1291" s="113"/>
      <c r="AC1291" s="113"/>
    </row>
    <row r="1292" spans="1:29" ht="60" customHeight="1" x14ac:dyDescent="0.2">
      <c r="A1292" s="50" t="s">
        <v>2189</v>
      </c>
      <c r="B1292" s="74"/>
      <c r="C1292" s="66" t="s">
        <v>2190</v>
      </c>
      <c r="D1292" s="57" t="s">
        <v>48</v>
      </c>
      <c r="E1292" s="54" t="s">
        <v>585</v>
      </c>
      <c r="F1292" s="55" t="s">
        <v>49</v>
      </c>
      <c r="G1292" s="67" t="s">
        <v>50</v>
      </c>
      <c r="H1292" s="57" t="s">
        <v>60</v>
      </c>
      <c r="I1292" s="55" t="s">
        <v>637</v>
      </c>
      <c r="J1292" s="57">
        <v>1300</v>
      </c>
      <c r="K1292" s="58"/>
      <c r="L1292" s="114">
        <f>3-1</f>
        <v>2</v>
      </c>
      <c r="M1292" s="60"/>
      <c r="N1292" s="61"/>
      <c r="O1292" s="61"/>
      <c r="P1292" s="77">
        <f>0</f>
        <v>0</v>
      </c>
      <c r="Q1292" s="77">
        <f>1-1</f>
        <v>0</v>
      </c>
      <c r="R1292" s="77">
        <f>1-1</f>
        <v>0</v>
      </c>
      <c r="S1292" s="77">
        <f>1-1</f>
        <v>0</v>
      </c>
      <c r="T1292" s="77">
        <f>0</f>
        <v>0</v>
      </c>
      <c r="U1292" s="77">
        <f>2-2+2</f>
        <v>2</v>
      </c>
      <c r="V1292" s="77">
        <f>0</f>
        <v>0</v>
      </c>
      <c r="W1292" s="63"/>
      <c r="X1292" s="63"/>
      <c r="Z1292" s="63"/>
      <c r="AA1292" s="113"/>
      <c r="AB1292" s="113"/>
      <c r="AC1292" s="113"/>
    </row>
    <row r="1293" spans="1:29" ht="60" customHeight="1" x14ac:dyDescent="0.2">
      <c r="A1293" s="50" t="s">
        <v>2191</v>
      </c>
      <c r="B1293" s="74"/>
      <c r="C1293" s="66" t="s">
        <v>2190</v>
      </c>
      <c r="D1293" s="57" t="s">
        <v>58</v>
      </c>
      <c r="E1293" s="54" t="s">
        <v>585</v>
      </c>
      <c r="F1293" s="55" t="s">
        <v>59</v>
      </c>
      <c r="G1293" s="67" t="s">
        <v>50</v>
      </c>
      <c r="H1293" s="57" t="s">
        <v>60</v>
      </c>
      <c r="I1293" s="55" t="s">
        <v>637</v>
      </c>
      <c r="J1293" s="57">
        <v>1300</v>
      </c>
      <c r="K1293" s="58"/>
      <c r="L1293" s="114">
        <f>30-18+18</f>
        <v>30</v>
      </c>
      <c r="M1293" s="60"/>
      <c r="N1293" s="61"/>
      <c r="O1293" s="61"/>
      <c r="P1293" s="77">
        <f>3-3+3</f>
        <v>3</v>
      </c>
      <c r="Q1293" s="77">
        <f>10-5+5</f>
        <v>10</v>
      </c>
      <c r="R1293" s="77">
        <f>9-5+5</f>
        <v>9</v>
      </c>
      <c r="S1293" s="77">
        <f>8-5+5</f>
        <v>8</v>
      </c>
      <c r="T1293" s="77">
        <f>0</f>
        <v>0</v>
      </c>
      <c r="U1293" s="77">
        <f>0</f>
        <v>0</v>
      </c>
      <c r="V1293" s="77">
        <f>0</f>
        <v>0</v>
      </c>
      <c r="W1293" s="63"/>
      <c r="X1293" s="63"/>
      <c r="Z1293" s="63"/>
      <c r="AA1293" s="113"/>
      <c r="AB1293" s="113"/>
      <c r="AC1293" s="113"/>
    </row>
    <row r="1294" spans="1:29" ht="60" customHeight="1" x14ac:dyDescent="0.2">
      <c r="A1294" s="50" t="s">
        <v>2192</v>
      </c>
      <c r="B1294" s="74"/>
      <c r="C1294" s="66" t="s">
        <v>2193</v>
      </c>
      <c r="D1294" s="57" t="s">
        <v>48</v>
      </c>
      <c r="E1294" s="54" t="s">
        <v>585</v>
      </c>
      <c r="F1294" s="55" t="s">
        <v>49</v>
      </c>
      <c r="G1294" s="67" t="s">
        <v>50</v>
      </c>
      <c r="H1294" s="57" t="s">
        <v>60</v>
      </c>
      <c r="I1294" s="55" t="s">
        <v>637</v>
      </c>
      <c r="J1294" s="57">
        <v>1300</v>
      </c>
      <c r="K1294" s="58"/>
      <c r="L1294" s="114">
        <f>24-18+18</f>
        <v>24</v>
      </c>
      <c r="M1294" s="60"/>
      <c r="N1294" s="61"/>
      <c r="O1294" s="61"/>
      <c r="P1294" s="77">
        <f>0</f>
        <v>0</v>
      </c>
      <c r="Q1294" s="77">
        <f>4-4+4</f>
        <v>4</v>
      </c>
      <c r="R1294" s="77">
        <f>8-5+5</f>
        <v>8</v>
      </c>
      <c r="S1294" s="77">
        <f>8-5+5</f>
        <v>8</v>
      </c>
      <c r="T1294" s="77">
        <f>4-4+4</f>
        <v>4</v>
      </c>
      <c r="U1294" s="77">
        <f>0</f>
        <v>0</v>
      </c>
      <c r="V1294" s="77">
        <f>0</f>
        <v>0</v>
      </c>
      <c r="W1294" s="63"/>
      <c r="X1294" s="63"/>
      <c r="Z1294" s="63"/>
      <c r="AA1294" s="113"/>
      <c r="AB1294" s="113"/>
      <c r="AC1294" s="113"/>
    </row>
    <row r="1295" spans="1:29" ht="60" customHeight="1" x14ac:dyDescent="0.2">
      <c r="A1295" s="50" t="s">
        <v>2194</v>
      </c>
      <c r="B1295" s="74"/>
      <c r="C1295" s="66" t="s">
        <v>2193</v>
      </c>
      <c r="D1295" s="57" t="s">
        <v>58</v>
      </c>
      <c r="E1295" s="54" t="s">
        <v>585</v>
      </c>
      <c r="F1295" s="55" t="s">
        <v>59</v>
      </c>
      <c r="G1295" s="67" t="s">
        <v>50</v>
      </c>
      <c r="H1295" s="57" t="s">
        <v>60</v>
      </c>
      <c r="I1295" s="55" t="s">
        <v>637</v>
      </c>
      <c r="J1295" s="57">
        <v>1300</v>
      </c>
      <c r="K1295" s="58"/>
      <c r="L1295" s="114">
        <f>5-1+1</f>
        <v>5</v>
      </c>
      <c r="M1295" s="60"/>
      <c r="N1295" s="61"/>
      <c r="O1295" s="61"/>
      <c r="P1295" s="77">
        <f>0</f>
        <v>0</v>
      </c>
      <c r="Q1295" s="77">
        <f>3-1+1</f>
        <v>3</v>
      </c>
      <c r="R1295" s="77">
        <f>2-1+1</f>
        <v>2</v>
      </c>
      <c r="S1295" s="77">
        <f>0</f>
        <v>0</v>
      </c>
      <c r="T1295" s="77">
        <f>0</f>
        <v>0</v>
      </c>
      <c r="U1295" s="77">
        <f>0</f>
        <v>0</v>
      </c>
      <c r="V1295" s="77">
        <f>0</f>
        <v>0</v>
      </c>
      <c r="W1295" s="63"/>
      <c r="X1295" s="63"/>
      <c r="Z1295" s="63"/>
      <c r="AA1295" s="113"/>
      <c r="AB1295" s="113"/>
      <c r="AC1295" s="113"/>
    </row>
    <row r="1296" spans="1:29" ht="60" customHeight="1" x14ac:dyDescent="0.2">
      <c r="A1296" s="50" t="s">
        <v>2195</v>
      </c>
      <c r="B1296" s="74"/>
      <c r="C1296" s="66" t="s">
        <v>2196</v>
      </c>
      <c r="D1296" s="57" t="s">
        <v>48</v>
      </c>
      <c r="E1296" s="54" t="s">
        <v>585</v>
      </c>
      <c r="F1296" s="55" t="s">
        <v>49</v>
      </c>
      <c r="G1296" s="67" t="s">
        <v>50</v>
      </c>
      <c r="H1296" s="57" t="s">
        <v>37</v>
      </c>
      <c r="I1296" s="55" t="s">
        <v>51</v>
      </c>
      <c r="J1296" s="57">
        <v>1400</v>
      </c>
      <c r="K1296" s="58"/>
      <c r="L1296" s="114">
        <f>8-1</f>
        <v>7</v>
      </c>
      <c r="M1296" s="60"/>
      <c r="N1296" s="61"/>
      <c r="O1296" s="61"/>
      <c r="P1296" s="77">
        <f>0</f>
        <v>0</v>
      </c>
      <c r="Q1296" s="77">
        <f>3-1</f>
        <v>2</v>
      </c>
      <c r="R1296" s="77">
        <f>4-1</f>
        <v>3</v>
      </c>
      <c r="S1296" s="77">
        <f>1-1</f>
        <v>0</v>
      </c>
      <c r="T1296" s="77">
        <f>2-1</f>
        <v>1</v>
      </c>
      <c r="U1296" s="77">
        <f>6-5</f>
        <v>1</v>
      </c>
      <c r="V1296" s="77">
        <f>3-3</f>
        <v>0</v>
      </c>
      <c r="W1296" s="63"/>
      <c r="X1296" s="63"/>
      <c r="Z1296" s="63"/>
      <c r="AA1296" s="113"/>
      <c r="AB1296" s="113"/>
      <c r="AC1296" s="113"/>
    </row>
    <row r="1297" spans="1:29" ht="60" customHeight="1" x14ac:dyDescent="0.2">
      <c r="A1297" s="50" t="s">
        <v>2197</v>
      </c>
      <c r="B1297" s="74"/>
      <c r="C1297" s="66" t="s">
        <v>2198</v>
      </c>
      <c r="D1297" s="57" t="s">
        <v>48</v>
      </c>
      <c r="E1297" s="54" t="s">
        <v>585</v>
      </c>
      <c r="F1297" s="55" t="s">
        <v>49</v>
      </c>
      <c r="G1297" s="67" t="s">
        <v>50</v>
      </c>
      <c r="H1297" s="57" t="s">
        <v>37</v>
      </c>
      <c r="I1297" s="55" t="s">
        <v>51</v>
      </c>
      <c r="J1297" s="57">
        <v>1300</v>
      </c>
      <c r="K1297" s="58"/>
      <c r="L1297" s="114">
        <f>47-1</f>
        <v>46</v>
      </c>
      <c r="M1297" s="60"/>
      <c r="N1297" s="61"/>
      <c r="O1297" s="61"/>
      <c r="P1297" s="77">
        <f>0</f>
        <v>0</v>
      </c>
      <c r="Q1297" s="77">
        <f>8-5+5</f>
        <v>8</v>
      </c>
      <c r="R1297" s="77">
        <f>15-1</f>
        <v>14</v>
      </c>
      <c r="S1297" s="77">
        <f>13-10+10</f>
        <v>13</v>
      </c>
      <c r="T1297" s="77">
        <f>7-5+5</f>
        <v>7</v>
      </c>
      <c r="U1297" s="77">
        <f>3-3+3</f>
        <v>3</v>
      </c>
      <c r="V1297" s="77">
        <f>1-1+1</f>
        <v>1</v>
      </c>
      <c r="W1297" s="63"/>
      <c r="X1297" s="63"/>
      <c r="Z1297" s="63"/>
      <c r="AA1297" s="113"/>
      <c r="AB1297" s="113"/>
      <c r="AC1297" s="113"/>
    </row>
    <row r="1298" spans="1:29" ht="60" customHeight="1" x14ac:dyDescent="0.2">
      <c r="A1298" s="50" t="s">
        <v>2199</v>
      </c>
      <c r="B1298" s="74"/>
      <c r="C1298" s="66" t="s">
        <v>2200</v>
      </c>
      <c r="D1298" s="57" t="s">
        <v>48</v>
      </c>
      <c r="E1298" s="54" t="s">
        <v>585</v>
      </c>
      <c r="F1298" s="55" t="s">
        <v>49</v>
      </c>
      <c r="G1298" s="67" t="s">
        <v>50</v>
      </c>
      <c r="H1298" s="57" t="s">
        <v>37</v>
      </c>
      <c r="I1298" s="55" t="s">
        <v>51</v>
      </c>
      <c r="J1298" s="57">
        <v>1600</v>
      </c>
      <c r="K1298" s="58"/>
      <c r="L1298" s="114">
        <f>50</f>
        <v>50</v>
      </c>
      <c r="M1298" s="60"/>
      <c r="N1298" s="61"/>
      <c r="O1298" s="61"/>
      <c r="P1298" s="77"/>
      <c r="Q1298" s="77">
        <f>10</f>
        <v>10</v>
      </c>
      <c r="R1298" s="77">
        <f>10</f>
        <v>10</v>
      </c>
      <c r="S1298" s="77">
        <f>10</f>
        <v>10</v>
      </c>
      <c r="T1298" s="77">
        <f>10</f>
        <v>10</v>
      </c>
      <c r="U1298" s="77">
        <f>10</f>
        <v>10</v>
      </c>
      <c r="V1298" s="77"/>
      <c r="W1298" s="63"/>
      <c r="X1298" s="63"/>
      <c r="Z1298" s="63"/>
      <c r="AA1298" s="113"/>
      <c r="AB1298" s="113"/>
      <c r="AC1298" s="113"/>
    </row>
    <row r="1299" spans="1:29" ht="60" customHeight="1" x14ac:dyDescent="0.2">
      <c r="A1299" s="50" t="s">
        <v>2201</v>
      </c>
      <c r="B1299" s="74"/>
      <c r="C1299" s="66" t="s">
        <v>2202</v>
      </c>
      <c r="D1299" s="57" t="s">
        <v>48</v>
      </c>
      <c r="E1299" s="54" t="s">
        <v>585</v>
      </c>
      <c r="F1299" s="55" t="s">
        <v>49</v>
      </c>
      <c r="G1299" s="67" t="s">
        <v>50</v>
      </c>
      <c r="H1299" s="57" t="s">
        <v>37</v>
      </c>
      <c r="I1299" s="55" t="s">
        <v>51</v>
      </c>
      <c r="J1299" s="57">
        <v>1600</v>
      </c>
      <c r="K1299" s="58"/>
      <c r="L1299" s="114">
        <f>50</f>
        <v>50</v>
      </c>
      <c r="M1299" s="60"/>
      <c r="N1299" s="61"/>
      <c r="O1299" s="61"/>
      <c r="P1299" s="77"/>
      <c r="Q1299" s="77">
        <f>10</f>
        <v>10</v>
      </c>
      <c r="R1299" s="77">
        <f>10</f>
        <v>10</v>
      </c>
      <c r="S1299" s="77">
        <f>10</f>
        <v>10</v>
      </c>
      <c r="T1299" s="77">
        <f>10</f>
        <v>10</v>
      </c>
      <c r="U1299" s="77">
        <f>10</f>
        <v>10</v>
      </c>
      <c r="V1299" s="77"/>
      <c r="W1299" s="63"/>
      <c r="X1299" s="63"/>
      <c r="Z1299" s="63"/>
      <c r="AA1299" s="113"/>
      <c r="AB1299" s="113"/>
      <c r="AC1299" s="113"/>
    </row>
    <row r="1300" spans="1:29" ht="60" customHeight="1" x14ac:dyDescent="0.2">
      <c r="A1300" s="50" t="s">
        <v>2203</v>
      </c>
      <c r="B1300" s="74"/>
      <c r="C1300" s="66" t="s">
        <v>2204</v>
      </c>
      <c r="D1300" s="53" t="s">
        <v>48</v>
      </c>
      <c r="E1300" s="54" t="s">
        <v>585</v>
      </c>
      <c r="F1300" s="67" t="s">
        <v>2205</v>
      </c>
      <c r="G1300" s="67" t="s">
        <v>50</v>
      </c>
      <c r="H1300" s="57" t="s">
        <v>37</v>
      </c>
      <c r="I1300" s="122" t="s">
        <v>637</v>
      </c>
      <c r="J1300" s="57">
        <v>1150</v>
      </c>
      <c r="K1300" s="58"/>
      <c r="L1300" s="114">
        <f>4</f>
        <v>4</v>
      </c>
      <c r="M1300" s="60"/>
      <c r="N1300" s="61"/>
      <c r="O1300" s="61"/>
      <c r="P1300" s="77">
        <f>0</f>
        <v>0</v>
      </c>
      <c r="Q1300" s="77">
        <f>0</f>
        <v>0</v>
      </c>
      <c r="R1300" s="77">
        <f>1</f>
        <v>1</v>
      </c>
      <c r="S1300" s="77">
        <f>1</f>
        <v>1</v>
      </c>
      <c r="T1300" s="77">
        <f>1</f>
        <v>1</v>
      </c>
      <c r="U1300" s="77">
        <f>1</f>
        <v>1</v>
      </c>
      <c r="V1300" s="77">
        <f>0</f>
        <v>0</v>
      </c>
      <c r="W1300" s="63"/>
      <c r="X1300" s="63"/>
      <c r="Z1300" s="63"/>
      <c r="AA1300" s="113"/>
      <c r="AB1300" s="113"/>
      <c r="AC1300" s="113"/>
    </row>
    <row r="1301" spans="1:29" ht="60" customHeight="1" x14ac:dyDescent="0.2">
      <c r="A1301" s="50" t="s">
        <v>2206</v>
      </c>
      <c r="B1301" s="74"/>
      <c r="C1301" s="66" t="s">
        <v>2207</v>
      </c>
      <c r="D1301" s="53" t="s">
        <v>48</v>
      </c>
      <c r="E1301" s="54" t="s">
        <v>585</v>
      </c>
      <c r="F1301" s="67" t="s">
        <v>2205</v>
      </c>
      <c r="G1301" s="67" t="s">
        <v>50</v>
      </c>
      <c r="H1301" s="57" t="s">
        <v>37</v>
      </c>
      <c r="I1301" s="122" t="s">
        <v>637</v>
      </c>
      <c r="J1301" s="57">
        <v>950</v>
      </c>
      <c r="K1301" s="58"/>
      <c r="L1301" s="114">
        <f>3</f>
        <v>3</v>
      </c>
      <c r="M1301" s="60"/>
      <c r="N1301" s="61"/>
      <c r="O1301" s="61"/>
      <c r="P1301" s="77">
        <f>0</f>
        <v>0</v>
      </c>
      <c r="Q1301" s="77">
        <f>1</f>
        <v>1</v>
      </c>
      <c r="R1301" s="77">
        <f>1</f>
        <v>1</v>
      </c>
      <c r="S1301" s="77">
        <f>0</f>
        <v>0</v>
      </c>
      <c r="T1301" s="77">
        <f>1</f>
        <v>1</v>
      </c>
      <c r="U1301" s="77">
        <f>0</f>
        <v>0</v>
      </c>
      <c r="V1301" s="77">
        <f>0</f>
        <v>0</v>
      </c>
      <c r="W1301" s="63"/>
      <c r="X1301" s="63"/>
      <c r="Z1301" s="63"/>
      <c r="AA1301" s="113"/>
      <c r="AB1301" s="113"/>
      <c r="AC1301" s="113"/>
    </row>
    <row r="1302" spans="1:29" ht="60" customHeight="1" x14ac:dyDescent="0.2">
      <c r="A1302" s="50" t="s">
        <v>2208</v>
      </c>
      <c r="B1302" s="74"/>
      <c r="C1302" s="66" t="s">
        <v>2209</v>
      </c>
      <c r="D1302" s="53" t="s">
        <v>48</v>
      </c>
      <c r="E1302" s="54" t="s">
        <v>585</v>
      </c>
      <c r="F1302" s="67" t="s">
        <v>2205</v>
      </c>
      <c r="G1302" s="67" t="s">
        <v>50</v>
      </c>
      <c r="H1302" s="57" t="s">
        <v>37</v>
      </c>
      <c r="I1302" s="122" t="s">
        <v>1565</v>
      </c>
      <c r="J1302" s="57">
        <v>950</v>
      </c>
      <c r="K1302" s="58"/>
      <c r="L1302" s="114">
        <f>11</f>
        <v>11</v>
      </c>
      <c r="M1302" s="60"/>
      <c r="N1302" s="61"/>
      <c r="O1302" s="61"/>
      <c r="P1302" s="77">
        <f>0</f>
        <v>0</v>
      </c>
      <c r="Q1302" s="77">
        <f>2</f>
        <v>2</v>
      </c>
      <c r="R1302" s="77">
        <f>3</f>
        <v>3</v>
      </c>
      <c r="S1302" s="77">
        <f>3</f>
        <v>3</v>
      </c>
      <c r="T1302" s="77">
        <f>2</f>
        <v>2</v>
      </c>
      <c r="U1302" s="77">
        <f>1</f>
        <v>1</v>
      </c>
      <c r="V1302" s="77">
        <f>0</f>
        <v>0</v>
      </c>
      <c r="W1302" s="63"/>
      <c r="X1302" s="63"/>
      <c r="Z1302" s="63"/>
      <c r="AA1302" s="113"/>
      <c r="AB1302" s="113"/>
      <c r="AC1302" s="113"/>
    </row>
    <row r="1303" spans="1:29" ht="60" customHeight="1" x14ac:dyDescent="0.2">
      <c r="A1303" s="50" t="s">
        <v>2210</v>
      </c>
      <c r="B1303" s="74"/>
      <c r="C1303" s="66" t="s">
        <v>2211</v>
      </c>
      <c r="D1303" s="53" t="s">
        <v>48</v>
      </c>
      <c r="E1303" s="54" t="s">
        <v>585</v>
      </c>
      <c r="F1303" s="67" t="s">
        <v>2205</v>
      </c>
      <c r="G1303" s="67" t="s">
        <v>50</v>
      </c>
      <c r="H1303" s="57" t="s">
        <v>37</v>
      </c>
      <c r="I1303" s="128" t="s">
        <v>1565</v>
      </c>
      <c r="J1303" s="57">
        <v>1400</v>
      </c>
      <c r="K1303" s="58"/>
      <c r="L1303" s="114">
        <f>3</f>
        <v>3</v>
      </c>
      <c r="M1303" s="60"/>
      <c r="N1303" s="61"/>
      <c r="O1303" s="61"/>
      <c r="P1303" s="77">
        <f>0</f>
        <v>0</v>
      </c>
      <c r="Q1303" s="77">
        <f>0</f>
        <v>0</v>
      </c>
      <c r="R1303" s="77">
        <f>0</f>
        <v>0</v>
      </c>
      <c r="S1303" s="77">
        <f>0</f>
        <v>0</v>
      </c>
      <c r="T1303" s="77">
        <f>2</f>
        <v>2</v>
      </c>
      <c r="U1303" s="77">
        <f>0</f>
        <v>0</v>
      </c>
      <c r="V1303" s="77">
        <f>1</f>
        <v>1</v>
      </c>
      <c r="W1303" s="63"/>
      <c r="X1303" s="63"/>
      <c r="Z1303" s="63"/>
      <c r="AA1303" s="127"/>
      <c r="AB1303" s="127"/>
      <c r="AC1303" s="127"/>
    </row>
    <row r="1304" spans="1:29" ht="60" customHeight="1" x14ac:dyDescent="0.2">
      <c r="A1304" s="50" t="s">
        <v>2212</v>
      </c>
      <c r="B1304" s="74"/>
      <c r="C1304" s="66" t="s">
        <v>2213</v>
      </c>
      <c r="D1304" s="53" t="s">
        <v>48</v>
      </c>
      <c r="E1304" s="54" t="s">
        <v>585</v>
      </c>
      <c r="F1304" s="67" t="s">
        <v>2214</v>
      </c>
      <c r="G1304" s="67" t="s">
        <v>50</v>
      </c>
      <c r="H1304" s="57" t="s">
        <v>37</v>
      </c>
      <c r="I1304" s="55" t="s">
        <v>51</v>
      </c>
      <c r="J1304" s="57">
        <v>1300</v>
      </c>
      <c r="K1304" s="58"/>
      <c r="L1304" s="114">
        <f>1</f>
        <v>1</v>
      </c>
      <c r="M1304" s="60"/>
      <c r="N1304" s="61"/>
      <c r="O1304" s="61"/>
      <c r="P1304" s="77">
        <f>0</f>
        <v>0</v>
      </c>
      <c r="Q1304" s="77">
        <f>0</f>
        <v>0</v>
      </c>
      <c r="R1304" s="77">
        <f>0</f>
        <v>0</v>
      </c>
      <c r="S1304" s="77">
        <f>0</f>
        <v>0</v>
      </c>
      <c r="T1304" s="77">
        <f>1</f>
        <v>1</v>
      </c>
      <c r="U1304" s="77">
        <f>0</f>
        <v>0</v>
      </c>
      <c r="V1304" s="77">
        <f>0</f>
        <v>0</v>
      </c>
      <c r="W1304" s="63"/>
      <c r="X1304" s="63"/>
      <c r="Z1304" s="63"/>
      <c r="AA1304" s="127"/>
      <c r="AB1304" s="127"/>
      <c r="AC1304" s="127"/>
    </row>
    <row r="1305" spans="1:29" ht="60" customHeight="1" x14ac:dyDescent="0.2">
      <c r="A1305" s="50" t="s">
        <v>2215</v>
      </c>
      <c r="B1305" s="74"/>
      <c r="C1305" s="87" t="s">
        <v>2216</v>
      </c>
      <c r="D1305" s="53" t="s">
        <v>58</v>
      </c>
      <c r="E1305" s="54" t="s">
        <v>585</v>
      </c>
      <c r="F1305" s="67" t="s">
        <v>2217</v>
      </c>
      <c r="G1305" s="67" t="s">
        <v>50</v>
      </c>
      <c r="H1305" s="57" t="s">
        <v>37</v>
      </c>
      <c r="I1305" s="55" t="s">
        <v>51</v>
      </c>
      <c r="J1305" s="57">
        <v>1300</v>
      </c>
      <c r="K1305" s="58"/>
      <c r="L1305" s="114">
        <f>2</f>
        <v>2</v>
      </c>
      <c r="M1305" s="60"/>
      <c r="N1305" s="61"/>
      <c r="O1305" s="61"/>
      <c r="P1305" s="77">
        <f>0</f>
        <v>0</v>
      </c>
      <c r="Q1305" s="77">
        <f>2</f>
        <v>2</v>
      </c>
      <c r="R1305" s="77">
        <f>0</f>
        <v>0</v>
      </c>
      <c r="S1305" s="77">
        <f>0</f>
        <v>0</v>
      </c>
      <c r="T1305" s="77">
        <f>0</f>
        <v>0</v>
      </c>
      <c r="U1305" s="77">
        <f>0</f>
        <v>0</v>
      </c>
      <c r="V1305" s="77">
        <f>0</f>
        <v>0</v>
      </c>
      <c r="W1305" s="63"/>
      <c r="X1305" s="63"/>
      <c r="Z1305" s="63"/>
      <c r="AA1305" s="127"/>
      <c r="AB1305" s="127"/>
      <c r="AC1305" s="127"/>
    </row>
  </sheetData>
  <mergeCells count="2">
    <mergeCell ref="D1:F1"/>
    <mergeCell ref="L8:U8"/>
  </mergeCells>
  <hyperlinks>
    <hyperlink ref="B292" r:id="rId1"/>
    <hyperlink ref="B294" r:id="rId2"/>
    <hyperlink ref="B701" r:id="rId3"/>
    <hyperlink ref="B702" r:id="rId4"/>
    <hyperlink ref="B703" r:id="rId5"/>
    <hyperlink ref="B704" r:id="rId6"/>
    <hyperlink ref="B700" r:id="rId7" display="фото"/>
    <hyperlink ref="B243" r:id="rId8"/>
    <hyperlink ref="B253" r:id="rId9"/>
    <hyperlink ref="B556" r:id="rId10"/>
    <hyperlink ref="B277" r:id="rId11"/>
    <hyperlink ref="B612" r:id="rId12"/>
    <hyperlink ref="B613" r:id="rId13"/>
    <hyperlink ref="B244" r:id="rId14"/>
    <hyperlink ref="B182" r:id="rId15"/>
  </hyperlinks>
  <pageMargins left="0.7" right="0.7" top="0.75" bottom="0.75" header="0.3" footer="0.3"/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A@n@d@rey</dc:creator>
  <cp:lastModifiedBy>A@n@d@rey</cp:lastModifiedBy>
  <dcterms:created xsi:type="dcterms:W3CDTF">2015-09-21T18:48:06Z</dcterms:created>
  <dcterms:modified xsi:type="dcterms:W3CDTF">2015-09-24T20:32:33Z</dcterms:modified>
</cp:coreProperties>
</file>