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8580" windowHeight="9975"/>
  </bookViews>
  <sheets>
    <sheet name="Лист1" sheetId="1" r:id="rId1"/>
  </sheets>
  <calcPr calcId="114210"/>
</workbook>
</file>

<file path=xl/calcChain.xml><?xml version="1.0" encoding="utf-8"?>
<calcChain xmlns="http://schemas.openxmlformats.org/spreadsheetml/2006/main">
  <c r="G2" i="1"/>
  <c r="G155"/>
  <c r="F155"/>
  <c r="G154"/>
  <c r="F154"/>
  <c r="G153"/>
  <c r="F153"/>
  <c r="G152"/>
  <c r="F152"/>
  <c r="G151"/>
  <c r="F151"/>
  <c r="G150"/>
  <c r="F150"/>
  <c r="G149"/>
  <c r="F149"/>
  <c r="G148"/>
  <c r="F148"/>
  <c r="G147"/>
  <c r="F147"/>
  <c r="G146"/>
  <c r="F146"/>
  <c r="G145"/>
  <c r="F145"/>
  <c r="G144"/>
  <c r="F144"/>
  <c r="G143"/>
  <c r="F143"/>
  <c r="G142"/>
  <c r="F142"/>
  <c r="G141"/>
  <c r="F141"/>
  <c r="G140"/>
  <c r="F140"/>
  <c r="G139"/>
  <c r="F139"/>
  <c r="G138"/>
  <c r="F138"/>
  <c r="G137"/>
  <c r="F137"/>
  <c r="G136"/>
  <c r="F136"/>
  <c r="G135"/>
  <c r="F135"/>
  <c r="G134"/>
  <c r="F134"/>
  <c r="G133"/>
  <c r="F133"/>
  <c r="G132"/>
  <c r="F132"/>
  <c r="G131"/>
  <c r="F131"/>
  <c r="G130"/>
  <c r="F130"/>
  <c r="G129"/>
  <c r="F129"/>
  <c r="G128"/>
  <c r="F128"/>
  <c r="G127"/>
  <c r="F127"/>
  <c r="G126"/>
  <c r="F126"/>
  <c r="G125"/>
  <c r="F125"/>
  <c r="G124"/>
  <c r="F124"/>
  <c r="G123"/>
  <c r="F123"/>
  <c r="G122"/>
  <c r="F122"/>
  <c r="G121"/>
  <c r="F121"/>
  <c r="G120"/>
  <c r="F120"/>
  <c r="G119"/>
  <c r="F119"/>
  <c r="G118"/>
  <c r="F118"/>
  <c r="G117"/>
  <c r="F117"/>
  <c r="G116"/>
  <c r="F116"/>
  <c r="G115"/>
  <c r="F115"/>
  <c r="G114"/>
  <c r="F114"/>
  <c r="G113"/>
  <c r="F113"/>
  <c r="G112"/>
  <c r="F112"/>
  <c r="G111"/>
  <c r="F111"/>
  <c r="G110"/>
  <c r="F110"/>
  <c r="G109"/>
  <c r="F109"/>
  <c r="G108"/>
  <c r="F108"/>
  <c r="G107"/>
  <c r="F107"/>
  <c r="G106"/>
  <c r="F106"/>
  <c r="G105"/>
  <c r="F105"/>
  <c r="G104"/>
  <c r="F104"/>
  <c r="G103"/>
  <c r="F103"/>
  <c r="G102"/>
  <c r="F102"/>
  <c r="G101"/>
  <c r="F101"/>
  <c r="G100"/>
  <c r="F100"/>
  <c r="G99"/>
  <c r="F99"/>
  <c r="G98"/>
  <c r="F98"/>
  <c r="G97"/>
  <c r="F97"/>
  <c r="G96"/>
  <c r="F96"/>
  <c r="G95"/>
  <c r="F95"/>
  <c r="G94"/>
  <c r="F94"/>
  <c r="G93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G80"/>
  <c r="F80"/>
  <c r="G79"/>
  <c r="F79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G31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G20"/>
  <c r="F20"/>
  <c r="G19"/>
  <c r="F19"/>
  <c r="G18"/>
  <c r="F18"/>
  <c r="G17"/>
  <c r="F17"/>
  <c r="G16"/>
  <c r="F16"/>
  <c r="G15"/>
  <c r="F15"/>
  <c r="G14"/>
  <c r="F14"/>
  <c r="G13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F2"/>
</calcChain>
</file>

<file path=xl/sharedStrings.xml><?xml version="1.0" encoding="utf-8"?>
<sst xmlns="http://schemas.openxmlformats.org/spreadsheetml/2006/main" count="1186" uniqueCount="543">
  <si>
    <t>Артикул</t>
  </si>
  <si>
    <t>Цена ОПТ,грн</t>
  </si>
  <si>
    <t>Цена для СП, грн</t>
  </si>
  <si>
    <t>Высота заготовки</t>
  </si>
  <si>
    <t>Высота каблука</t>
  </si>
  <si>
    <t>Высота подошвы</t>
  </si>
  <si>
    <t>Обхват голени</t>
  </si>
  <si>
    <t>Размерный ряд</t>
  </si>
  <si>
    <t>Размерная сетка</t>
  </si>
  <si>
    <t>Полнота колодки</t>
  </si>
  <si>
    <t>40-1</t>
  </si>
  <si>
    <t>15,23$+226</t>
  </si>
  <si>
    <t>16,75$+248</t>
  </si>
  <si>
    <t>6,5см</t>
  </si>
  <si>
    <t>12,5см</t>
  </si>
  <si>
    <t>2,5см</t>
  </si>
  <si>
    <t>36-40</t>
  </si>
  <si>
    <t>35-23см  36-24см        37-24,5см       38-25,5см       39-26см       40-26,8см</t>
  </si>
  <si>
    <t>35-20,7см    36-21,5см        37-22см       38-22,5см       39-23см       40-23,5см</t>
  </si>
  <si>
    <t>цвет каблука на выбор - черный и беж, толстый и тонкий</t>
  </si>
  <si>
    <t>40-2</t>
  </si>
  <si>
    <t>16,69$+231</t>
  </si>
  <si>
    <t>18,36$+253</t>
  </si>
  <si>
    <t>35-40</t>
  </si>
  <si>
    <t>35-23см    36-24см        37-24,5см       38-25,5см       39-26см       40-26,8см</t>
  </si>
  <si>
    <t>40-3</t>
  </si>
  <si>
    <t>14,94$+231</t>
  </si>
  <si>
    <t>16,43$+253</t>
  </si>
  <si>
    <t>40-4</t>
  </si>
  <si>
    <t>15,72$+231</t>
  </si>
  <si>
    <t>17,92$+253</t>
  </si>
  <si>
    <t>11см</t>
  </si>
  <si>
    <t>05-2</t>
  </si>
  <si>
    <t>9,7$+156</t>
  </si>
  <si>
    <t>10,67$+171</t>
  </si>
  <si>
    <t>6,3см</t>
  </si>
  <si>
    <t>1,5см</t>
  </si>
  <si>
    <t>36-41</t>
  </si>
  <si>
    <t>36-23,9см        37-24,5см       38-25,2см       39-25,9см       40-26,6см 41-27,3см</t>
  </si>
  <si>
    <t>36-20,5см        37-21см       38-21,2см       39-21,7см       40-22 см   41-22,5см</t>
  </si>
  <si>
    <t>01-2</t>
  </si>
  <si>
    <t>9,87$+156</t>
  </si>
  <si>
    <t>10,86$+171</t>
  </si>
  <si>
    <t>35-41</t>
  </si>
  <si>
    <t>35-22,5см 36-23,5см      37-24см       38-25см       39-26см             40-26,5см             41-27см</t>
  </si>
  <si>
    <t>35-20,5см  36-21см      37-21,5см       38-22см       39-22,5см             40-23см             41-23,5см</t>
  </si>
  <si>
    <t xml:space="preserve">если ножка узкая то необходимо брать размер согласно сетке, если средняя - то на 1 размер больше </t>
  </si>
  <si>
    <t>01-2VG</t>
  </si>
  <si>
    <t>9,87$+174</t>
  </si>
  <si>
    <t>10,86$+191</t>
  </si>
  <si>
    <t xml:space="preserve"> 36-23,5см      37-24см       38-25см       39-26см             40-26,5см             41-27см</t>
  </si>
  <si>
    <t xml:space="preserve"> 36-21см      37-21,5см       38-22см       39-22,5см             40-23см             41-23,5см</t>
  </si>
  <si>
    <t xml:space="preserve">цвет подошвы на выбор - черная и белая </t>
  </si>
  <si>
    <t>01-5Б</t>
  </si>
  <si>
    <t>10,33$+157</t>
  </si>
  <si>
    <t>11,36$+172</t>
  </si>
  <si>
    <t>35-22,5см  36-23,5см      37-24см       38-25см       39-26см             40-26,5см             41-27см</t>
  </si>
  <si>
    <t>01-5</t>
  </si>
  <si>
    <t>11-1</t>
  </si>
  <si>
    <t>13,57$+180</t>
  </si>
  <si>
    <t>14,93$+197</t>
  </si>
  <si>
    <t>10 см</t>
  </si>
  <si>
    <t>1,5 см</t>
  </si>
  <si>
    <t>36-23,4см        37-24см       38-24,8см       39-25,3см       40-26см</t>
  </si>
  <si>
    <t>36-21см        37-21см       38-21,8см       39-22см       40-22,5см</t>
  </si>
  <si>
    <t>11-4</t>
  </si>
  <si>
    <t>13,05$+177</t>
  </si>
  <si>
    <t>14,36$+194</t>
  </si>
  <si>
    <t>13,5 см</t>
  </si>
  <si>
    <t>цвет подошвы на выбор - черная, коричневая и беж</t>
  </si>
  <si>
    <t>11-5</t>
  </si>
  <si>
    <t>14,61$+180</t>
  </si>
  <si>
    <t>16,07$+197</t>
  </si>
  <si>
    <t>11-6</t>
  </si>
  <si>
    <t>14,5$ +182</t>
  </si>
  <si>
    <t>15,95$+200</t>
  </si>
  <si>
    <t>10-1</t>
  </si>
  <si>
    <t>11,19$+177</t>
  </si>
  <si>
    <t>12,31$+194</t>
  </si>
  <si>
    <t>36-23,5см     37-24,2см    38-25см    39-25,5см    40-26,2см    41-27см</t>
  </si>
  <si>
    <t>36-21см     37-21,5см    38-22см    39-22,5см    40-23см    41-23,5см</t>
  </si>
  <si>
    <t>10-1А</t>
  </si>
  <si>
    <t>10-2</t>
  </si>
  <si>
    <t>11,42$+177</t>
  </si>
  <si>
    <t>12,56$+194</t>
  </si>
  <si>
    <t>10-3</t>
  </si>
  <si>
    <t>12,26$+176</t>
  </si>
  <si>
    <t>13,49$+193</t>
  </si>
  <si>
    <t>10-4</t>
  </si>
  <si>
    <t>11,59$+181</t>
  </si>
  <si>
    <t>12,75$+197</t>
  </si>
  <si>
    <t>10-5</t>
  </si>
  <si>
    <t>9,11$+177</t>
  </si>
  <si>
    <t>10,02$+194</t>
  </si>
  <si>
    <t>10-5S</t>
  </si>
  <si>
    <t>9,11$+192</t>
  </si>
  <si>
    <t>10,02$+211</t>
  </si>
  <si>
    <t>21-110</t>
  </si>
  <si>
    <t>12,52$+181</t>
  </si>
  <si>
    <t>13,77$+199</t>
  </si>
  <si>
    <t>50-1</t>
  </si>
  <si>
    <t>12,91$+162</t>
  </si>
  <si>
    <t>14,2$+177</t>
  </si>
  <si>
    <t>5,5 см</t>
  </si>
  <si>
    <t>36-23,5см     37-24,2см    38-25см    39-25,7см    40-26,2см</t>
  </si>
  <si>
    <t>36-21,5см     37-22см    38-22,5см    39-23см    40-23,5см</t>
  </si>
  <si>
    <t>50-2</t>
  </si>
  <si>
    <t>13,1$+162</t>
  </si>
  <si>
    <t>14,41$+177</t>
  </si>
  <si>
    <t>50-4</t>
  </si>
  <si>
    <t>12,72$+173</t>
  </si>
  <si>
    <t>13,99$+190</t>
  </si>
  <si>
    <t>06-1</t>
  </si>
  <si>
    <t>7,92$+146</t>
  </si>
  <si>
    <t>8,71$+160</t>
  </si>
  <si>
    <t>36-23,5см     37-24,1см    38-24,8см    39-25,5см    40-26см    41-26,5см</t>
  </si>
  <si>
    <t>36-20,5см     37-21см    38-21,5см    39-22см    40-22,5см    41-23см</t>
  </si>
  <si>
    <t>06-2</t>
  </si>
  <si>
    <t>9,29$+153</t>
  </si>
  <si>
    <t>10,22$+167</t>
  </si>
  <si>
    <t>06-3</t>
  </si>
  <si>
    <t>9,91$+153</t>
  </si>
  <si>
    <t>10,90$+167</t>
  </si>
  <si>
    <t>06-4</t>
  </si>
  <si>
    <t>13,36$+171</t>
  </si>
  <si>
    <t>15,06$+187</t>
  </si>
  <si>
    <t>06-5</t>
  </si>
  <si>
    <t xml:space="preserve"> 12,33$ +172</t>
  </si>
  <si>
    <t>13,56$+188</t>
  </si>
  <si>
    <t>06-5Е</t>
  </si>
  <si>
    <t>12,33$ +172</t>
  </si>
  <si>
    <t>20-18</t>
  </si>
  <si>
    <t>14,08$+181</t>
  </si>
  <si>
    <t>15,49$+199</t>
  </si>
  <si>
    <t>13см</t>
  </si>
  <si>
    <t>5см</t>
  </si>
  <si>
    <t>36-23,5см
37-24см
38-24,7см
39-25,2см
40-26см</t>
  </si>
  <si>
    <t>цвет подошвы черный и белый</t>
  </si>
  <si>
    <t>20-32</t>
  </si>
  <si>
    <t>12,97$+181</t>
  </si>
  <si>
    <t>14,27$+199</t>
  </si>
  <si>
    <t>3,5см</t>
  </si>
  <si>
    <t>35-22,7см 36-23,3см 37-24см  38-24,5см 39-25,3см 40-25,9   41-26,5см</t>
  </si>
  <si>
    <t>белая подошва идет с 36р, черная с 35</t>
  </si>
  <si>
    <t>фото ожидается</t>
  </si>
  <si>
    <t>23-32</t>
  </si>
  <si>
    <t>12,48$+173</t>
  </si>
  <si>
    <t>13,73$+190</t>
  </si>
  <si>
    <t>22-18</t>
  </si>
  <si>
    <t xml:space="preserve"> 13,55$+178</t>
  </si>
  <si>
    <t>14,91$+196</t>
  </si>
  <si>
    <t>10,5см</t>
  </si>
  <si>
    <t>23-18</t>
  </si>
  <si>
    <t>14,55$+173</t>
  </si>
  <si>
    <t>16,01$+190</t>
  </si>
  <si>
    <t>24-18</t>
  </si>
  <si>
    <t>11,84$+178</t>
  </si>
  <si>
    <t>13,02$+196</t>
  </si>
  <si>
    <t>35-2</t>
  </si>
  <si>
    <t>12,04$+170</t>
  </si>
  <si>
    <t>13,24$+186</t>
  </si>
  <si>
    <t>9,5 см</t>
  </si>
  <si>
    <t>36-23,5см      37-24см       38-25см       39-26см             40-26,5см             41-27см</t>
  </si>
  <si>
    <t>36-22см      37-22,5см       38-23см       39-23,5см             40-24см             41-24,5см</t>
  </si>
  <si>
    <t>цвет каблука на выбор - черный и беж</t>
  </si>
  <si>
    <t>35-3</t>
  </si>
  <si>
    <t>13,28$+174</t>
  </si>
  <si>
    <t>14,61$+190</t>
  </si>
  <si>
    <t>11-2Б</t>
  </si>
  <si>
    <t>12,74$+180</t>
  </si>
  <si>
    <t>14,01$+ 197</t>
  </si>
  <si>
    <t>черной подошвы нет и не будет уже, к заказу доступна бежевая как у модели 11-3 и 11-1</t>
  </si>
  <si>
    <t>11-3</t>
  </si>
  <si>
    <t>11,97$+179</t>
  </si>
  <si>
    <t>13,17$+196</t>
  </si>
  <si>
    <t>11-3R</t>
  </si>
  <si>
    <t>13,17$+179</t>
  </si>
  <si>
    <t>14,49$+196</t>
  </si>
  <si>
    <t>35-1</t>
  </si>
  <si>
    <t>11,64$+168</t>
  </si>
  <si>
    <t>12,8$+184</t>
  </si>
  <si>
    <t>35-4</t>
  </si>
  <si>
    <t>13,49$+180</t>
  </si>
  <si>
    <t>14,84$+197</t>
  </si>
  <si>
    <t>35-5</t>
  </si>
  <si>
    <t>10,68$+219</t>
  </si>
  <si>
    <t>11,75$+240</t>
  </si>
  <si>
    <t>модель отшивается только в замше</t>
  </si>
  <si>
    <t>35-6</t>
  </si>
  <si>
    <t>11,73$+187</t>
  </si>
  <si>
    <t>12,9$+205</t>
  </si>
  <si>
    <t>40-5</t>
  </si>
  <si>
    <t>13,75$+246</t>
  </si>
  <si>
    <t>15,13$+270</t>
  </si>
  <si>
    <t>95-1</t>
  </si>
  <si>
    <t>14,65$+196</t>
  </si>
  <si>
    <t>16,12$+215</t>
  </si>
  <si>
    <t>36-24,5 см
37-25 см
38-25,8 см
39-26,5 см
40-27 см
41-27,5см</t>
  </si>
  <si>
    <t>05-5</t>
  </si>
  <si>
    <t>8,90$+151</t>
  </si>
  <si>
    <t>9,79$+165</t>
  </si>
  <si>
    <t>01-1</t>
  </si>
  <si>
    <t>01-1R</t>
  </si>
  <si>
    <t>10,86$+133</t>
  </si>
  <si>
    <t>11,95$+145</t>
  </si>
  <si>
    <t>01-1Б</t>
  </si>
  <si>
    <t>8,90$+166</t>
  </si>
  <si>
    <t>9,79$+182</t>
  </si>
  <si>
    <t>01-1 Н</t>
  </si>
  <si>
    <t>8,90$+196</t>
  </si>
  <si>
    <t>9,79$+215</t>
  </si>
  <si>
    <t>01-1VG</t>
  </si>
  <si>
    <t>10,03$+140</t>
  </si>
  <si>
    <t>11,03$+153</t>
  </si>
  <si>
    <t xml:space="preserve"> 01-1VGF</t>
  </si>
  <si>
    <t>10,03$+151</t>
  </si>
  <si>
    <t>11,03$+165</t>
  </si>
  <si>
    <t>01-1F</t>
  </si>
  <si>
    <t>10,15$+156</t>
  </si>
  <si>
    <t>11,16$+171</t>
  </si>
  <si>
    <t>01-3</t>
  </si>
  <si>
    <t>11,98$+184</t>
  </si>
  <si>
    <t>13,18$+201</t>
  </si>
  <si>
    <t>01-4</t>
  </si>
  <si>
    <t>11,38$+170</t>
  </si>
  <si>
    <t>12,52$+186</t>
  </si>
  <si>
    <t>01-7</t>
  </si>
  <si>
    <t>10,57$+163</t>
  </si>
  <si>
    <t>11,63$+177</t>
  </si>
  <si>
    <t>01-7R</t>
  </si>
  <si>
    <t>12.08$+186</t>
  </si>
  <si>
    <t>13,29$+204</t>
  </si>
  <si>
    <t>01-6</t>
  </si>
  <si>
    <t>10,38$+163</t>
  </si>
  <si>
    <t>11,42$+178</t>
  </si>
  <si>
    <t>35-22,5см    36-23,5см      37-24см       38-25см       39-26см             40-26,5см             41-27см</t>
  </si>
  <si>
    <t>01-6R</t>
  </si>
  <si>
    <t>12,49$+163</t>
  </si>
  <si>
    <t>13,74$+178</t>
  </si>
  <si>
    <t>01-8</t>
  </si>
  <si>
    <t>11,94$+170</t>
  </si>
  <si>
    <t>12,64$+186</t>
  </si>
  <si>
    <t>01-8R</t>
  </si>
  <si>
    <t>13,94$+170</t>
  </si>
  <si>
    <t>15,33$+186</t>
  </si>
  <si>
    <t>16-1</t>
  </si>
  <si>
    <t xml:space="preserve"> 12,02$+197</t>
  </si>
  <si>
    <t>13,22$+216</t>
  </si>
  <si>
    <t>35-24см  36-24,6см 37-25,1см 38-25,8см 39-26,5см 40-27,3см 41-27.8см</t>
  </si>
  <si>
    <t>35-20см  36-20.5см 37-21см  38-21.5см 39-21,5см 40-22,3см 41-22,8см</t>
  </si>
  <si>
    <t>16-2</t>
  </si>
  <si>
    <t>9,11$+156</t>
  </si>
  <si>
    <t>10,02$+171</t>
  </si>
  <si>
    <t>16-2F</t>
  </si>
  <si>
    <t>9,98$+156</t>
  </si>
  <si>
    <t>10,98$+171</t>
  </si>
  <si>
    <t>16-3</t>
  </si>
  <si>
    <t>10,23$+206</t>
  </si>
  <si>
    <t>11,25$+226</t>
  </si>
  <si>
    <t>18-7/11</t>
  </si>
  <si>
    <t>13,6$+206</t>
  </si>
  <si>
    <t>14,96$+226</t>
  </si>
  <si>
    <t>6,5 см</t>
  </si>
  <si>
    <t>13 см</t>
  </si>
  <si>
    <t>5 см</t>
  </si>
  <si>
    <t>18-8/11R</t>
  </si>
  <si>
    <t>13.73$+197</t>
  </si>
  <si>
    <t>15,10$+216</t>
  </si>
  <si>
    <t>05-1</t>
  </si>
  <si>
    <t>11,32$+170</t>
  </si>
  <si>
    <t>12,45$+186</t>
  </si>
  <si>
    <t>05-3</t>
  </si>
  <si>
    <t>9,89$+165</t>
  </si>
  <si>
    <t>10,88$+180</t>
  </si>
  <si>
    <t>05-3С</t>
  </si>
  <si>
    <t>10,09$+165</t>
  </si>
  <si>
    <t>11,1$+180</t>
  </si>
  <si>
    <t>6,2см</t>
  </si>
  <si>
    <t>05-3S</t>
  </si>
  <si>
    <t>10,39$+165</t>
  </si>
  <si>
    <t>11,43$+180</t>
  </si>
  <si>
    <t>05-3К</t>
  </si>
  <si>
    <t>05-4</t>
  </si>
  <si>
    <t>10,52$+170</t>
  </si>
  <si>
    <t>11,57$+186</t>
  </si>
  <si>
    <t>05-8</t>
  </si>
  <si>
    <t xml:space="preserve"> 10,89$ +195</t>
  </si>
  <si>
    <t>11,98$+215</t>
  </si>
  <si>
    <t>цвет подошвы на выбор - черная, белая, красная</t>
  </si>
  <si>
    <t>05-9</t>
  </si>
  <si>
    <t>14,19$+194</t>
  </si>
  <si>
    <t>15,61$+213</t>
  </si>
  <si>
    <t>05-6</t>
  </si>
  <si>
    <t>14,56$+170</t>
  </si>
  <si>
    <t>16,02$+186</t>
  </si>
  <si>
    <t>36-24см
37-24,7см
38-25,5см
39-26см.
40-26,7см
41-27,4см.</t>
  </si>
  <si>
    <t>01-3-12</t>
  </si>
  <si>
    <t>14,38$+167</t>
  </si>
  <si>
    <t>15,82$+183</t>
  </si>
  <si>
    <t>32-1</t>
  </si>
  <si>
    <t>14,51$+197</t>
  </si>
  <si>
    <t>15,96$+216</t>
  </si>
  <si>
    <t>6 см</t>
  </si>
  <si>
    <t xml:space="preserve"> 32-1F</t>
  </si>
  <si>
    <t>15,45$+197</t>
  </si>
  <si>
    <t>17,00$+216</t>
  </si>
  <si>
    <t>16-1/12</t>
  </si>
  <si>
    <t>14,38$+197</t>
  </si>
  <si>
    <t>15,82$+216</t>
  </si>
  <si>
    <t>05-1L</t>
  </si>
  <si>
    <t>12,02$+170</t>
  </si>
  <si>
    <t>13,22$+186</t>
  </si>
  <si>
    <t>2см</t>
  </si>
  <si>
    <t>36-23,8см      37-24,4см       38-25см       39-25,7см             40-26,4см             41-27см</t>
  </si>
  <si>
    <t xml:space="preserve">36-20,5см      37-21см       38-21,5см       39-22см             40-22,5см  41-23см             </t>
  </si>
  <si>
    <t>05-3L</t>
  </si>
  <si>
    <t>11,98$+170</t>
  </si>
  <si>
    <t>13,18$+186</t>
  </si>
  <si>
    <t>5,5см</t>
  </si>
  <si>
    <t>01-4L</t>
  </si>
  <si>
    <t>14,6$+186</t>
  </si>
  <si>
    <t xml:space="preserve"> 05-7R</t>
  </si>
  <si>
    <t>13,76$+192</t>
  </si>
  <si>
    <t>15,14$+210</t>
  </si>
  <si>
    <t>05-7L</t>
  </si>
  <si>
    <t>12,09$+208</t>
  </si>
  <si>
    <t>13,30$+228</t>
  </si>
  <si>
    <t>05-7</t>
  </si>
  <si>
    <t>3см</t>
  </si>
  <si>
    <t xml:space="preserve">36-23,8см      37-24,4см       38-25см       39-25,7см             40-26,4см             </t>
  </si>
  <si>
    <t xml:space="preserve">36-20,5см      37-21см       38-21,5см       39-22см             40-22,5см             </t>
  </si>
  <si>
    <t>цвет подошвы на выбор - черная и белая</t>
  </si>
  <si>
    <t>51-1L</t>
  </si>
  <si>
    <t>13,83$+168</t>
  </si>
  <si>
    <t>15,21$+184</t>
  </si>
  <si>
    <t>51-2L</t>
  </si>
  <si>
    <t>51-1LН</t>
  </si>
  <si>
    <t>13,83$+188</t>
  </si>
  <si>
    <t>15,21$+206</t>
  </si>
  <si>
    <t xml:space="preserve"> 09-1/1L</t>
  </si>
  <si>
    <t>09-1</t>
  </si>
  <si>
    <t>13,55$+197</t>
  </si>
  <si>
    <t>14,91$+216</t>
  </si>
  <si>
    <t>35-22,7см 36-23,5см 37-24,1см  38-24,7см 39-25,3см 40-26см   41-26,5см</t>
  </si>
  <si>
    <t>09-1F</t>
  </si>
  <si>
    <t>14,1$+197</t>
  </si>
  <si>
    <t>15,51$+216</t>
  </si>
  <si>
    <t xml:space="preserve"> 51-1/005</t>
  </si>
  <si>
    <t>12,31$+196</t>
  </si>
  <si>
    <t>13,54$+215</t>
  </si>
  <si>
    <t>09-1/33</t>
  </si>
  <si>
    <t>14,3$+196</t>
  </si>
  <si>
    <t>15,73$+215</t>
  </si>
  <si>
    <t>36 - 23 см        37-23,8см        38 - 24,6 см     39 - 25 см         40 - 26 см</t>
  </si>
  <si>
    <t>36 - 20,5см 37-20,5см 38 - ? см     39 - 22 см 40 - 22,5 см</t>
  </si>
  <si>
    <t xml:space="preserve"> 09-1/33F</t>
  </si>
  <si>
    <t>14,85$+196</t>
  </si>
  <si>
    <t>16,34$+215</t>
  </si>
  <si>
    <t>33-2</t>
  </si>
  <si>
    <t>13,9$+165</t>
  </si>
  <si>
    <t>15,29$+181</t>
  </si>
  <si>
    <t>4,5см</t>
  </si>
  <si>
    <t>33-2В</t>
  </si>
  <si>
    <t>14,9$+165</t>
  </si>
  <si>
    <t>16,39$+181</t>
  </si>
  <si>
    <t>33-3S</t>
  </si>
  <si>
    <t>13,48$+167</t>
  </si>
  <si>
    <t>14,83$+183</t>
  </si>
  <si>
    <t xml:space="preserve"> 32-3S</t>
  </si>
  <si>
    <t xml:space="preserve"> 14,32$+196</t>
  </si>
  <si>
    <t xml:space="preserve"> 15,76$+215</t>
  </si>
  <si>
    <t>33-1L</t>
  </si>
  <si>
    <t>14,09$+170</t>
  </si>
  <si>
    <t>15,5$+186</t>
  </si>
  <si>
    <t>05-1/33</t>
  </si>
  <si>
    <t xml:space="preserve"> 13,63$+168</t>
  </si>
  <si>
    <t>14,99$+184</t>
  </si>
  <si>
    <t>33-1</t>
  </si>
  <si>
    <t>15,29$+170</t>
  </si>
  <si>
    <t>16,82$+186</t>
  </si>
  <si>
    <t>33-1/005</t>
  </si>
  <si>
    <t>33-1В</t>
  </si>
  <si>
    <t>16,29$+170</t>
  </si>
  <si>
    <t>17,92$+186</t>
  </si>
  <si>
    <t>51-3L</t>
  </si>
  <si>
    <t>20,33$+241</t>
  </si>
  <si>
    <t>22,36$+264</t>
  </si>
  <si>
    <t>51-3</t>
  </si>
  <si>
    <t xml:space="preserve">36-23,8см       37-24,4см       38-25см           39-25,7см             40-26,4см             </t>
  </si>
  <si>
    <t>51-3В</t>
  </si>
  <si>
    <t>21,33$+241</t>
  </si>
  <si>
    <t>23,46$+264</t>
  </si>
  <si>
    <t>51-3М</t>
  </si>
  <si>
    <t>21,10$+255</t>
  </si>
  <si>
    <t>23,21$+280</t>
  </si>
  <si>
    <t>2,5 см</t>
  </si>
  <si>
    <t>51-3S</t>
  </si>
  <si>
    <t>4 см</t>
  </si>
  <si>
    <t>51-33</t>
  </si>
  <si>
    <t>сезонность - только байка, если зима то под ответственность клиента</t>
  </si>
  <si>
    <t>51-3G</t>
  </si>
  <si>
    <t>17,35$+243</t>
  </si>
  <si>
    <t>19,09$+266</t>
  </si>
  <si>
    <t>50-3</t>
  </si>
  <si>
    <t>13,47$+176</t>
  </si>
  <si>
    <t>14,82$+193</t>
  </si>
  <si>
    <t>52-1F</t>
  </si>
  <si>
    <t>29,30$+271</t>
  </si>
  <si>
    <t>32,23$+297</t>
  </si>
  <si>
    <t>39 см</t>
  </si>
  <si>
    <t>9 см</t>
  </si>
  <si>
    <t>37р - 36 см</t>
  </si>
  <si>
    <t>36-23,5см
37-24см
38-24,7см
39-25,5см
40-26,2см
41-26,7см</t>
  </si>
  <si>
    <t>52-1</t>
  </si>
  <si>
    <t>29,30$+256</t>
  </si>
  <si>
    <t>32,23$+259</t>
  </si>
  <si>
    <t>52-2</t>
  </si>
  <si>
    <t>21,83$+251</t>
  </si>
  <si>
    <t>24,01$+275</t>
  </si>
  <si>
    <t>52-2К</t>
  </si>
  <si>
    <t>11 см</t>
  </si>
  <si>
    <t>26,5см</t>
  </si>
  <si>
    <t>18-52</t>
  </si>
  <si>
    <t>36,5 см</t>
  </si>
  <si>
    <t>37-38р - 36,5 см</t>
  </si>
  <si>
    <t>12-1</t>
  </si>
  <si>
    <t>18,86$+206</t>
  </si>
  <si>
    <t>20,75$+226</t>
  </si>
  <si>
    <t>14 см</t>
  </si>
  <si>
    <t>25 см, резинка 4 см</t>
  </si>
  <si>
    <t>12-2</t>
  </si>
  <si>
    <t>22,69$+206</t>
  </si>
  <si>
    <t>24,96$+226</t>
  </si>
  <si>
    <t>21,5 см</t>
  </si>
  <si>
    <t>31 см</t>
  </si>
  <si>
    <t>12-2S</t>
  </si>
  <si>
    <t>12-3</t>
  </si>
  <si>
    <t>23,29$+206</t>
  </si>
  <si>
    <t>25,62$+226</t>
  </si>
  <si>
    <t>12-3G</t>
  </si>
  <si>
    <t>23,79$+216</t>
  </si>
  <si>
    <t>26,17$+236</t>
  </si>
  <si>
    <t>12-3S</t>
  </si>
  <si>
    <t>12-3Z</t>
  </si>
  <si>
    <t>23,29$+236</t>
  </si>
  <si>
    <t>25,62$+259</t>
  </si>
  <si>
    <t>12-16</t>
  </si>
  <si>
    <t>23,29$+256</t>
  </si>
  <si>
    <t>25,62$+281</t>
  </si>
  <si>
    <t>12-4</t>
  </si>
  <si>
    <t>2,5 м</t>
  </si>
  <si>
    <t>25 см, в тч резинка 4 см</t>
  </si>
  <si>
    <t>12-5</t>
  </si>
  <si>
    <t>19,62$+246</t>
  </si>
  <si>
    <t>21,58$+270</t>
  </si>
  <si>
    <t>10,5 см</t>
  </si>
  <si>
    <t>12-5F</t>
  </si>
  <si>
    <t>20,42$+246</t>
  </si>
  <si>
    <t>22,46$+270</t>
  </si>
  <si>
    <t>12-5S</t>
  </si>
  <si>
    <t>22,62$+251</t>
  </si>
  <si>
    <t>24,88$+275</t>
  </si>
  <si>
    <t>12-6</t>
  </si>
  <si>
    <t>17,5 см</t>
  </si>
  <si>
    <t>12-7F</t>
  </si>
  <si>
    <t>27,88$+266</t>
  </si>
  <si>
    <t>30,67$+292</t>
  </si>
  <si>
    <t>37-38р - 35,5 см</t>
  </si>
  <si>
    <t>12-7</t>
  </si>
  <si>
    <t>27,88$+251</t>
  </si>
  <si>
    <t>30,67$+275</t>
  </si>
  <si>
    <t>12-8F</t>
  </si>
  <si>
    <t>29,08$+266</t>
  </si>
  <si>
    <t>31,99$+292</t>
  </si>
  <si>
    <t>37 см</t>
  </si>
  <si>
    <t>37-38р - 36 см</t>
  </si>
  <si>
    <t>12-8</t>
  </si>
  <si>
    <t>12-8R</t>
  </si>
  <si>
    <t>29,08$+316</t>
  </si>
  <si>
    <t>31,99$+346</t>
  </si>
  <si>
    <t>12-9</t>
  </si>
  <si>
    <t>29,12$+266</t>
  </si>
  <si>
    <t>32,03$+292</t>
  </si>
  <si>
    <t>33-34 см</t>
  </si>
  <si>
    <t>ширина ремешка 3 см</t>
  </si>
  <si>
    <t>12-10</t>
  </si>
  <si>
    <t>31.77$+271</t>
  </si>
  <si>
    <t>34,95$+297</t>
  </si>
  <si>
    <t>43 см</t>
  </si>
  <si>
    <t>37-38р - 37 см</t>
  </si>
  <si>
    <t>12-11</t>
  </si>
  <si>
    <t>26,4$+266</t>
  </si>
  <si>
    <t>29,04$+292</t>
  </si>
  <si>
    <t>37-38р - 33,5 см  41 - 34,7</t>
  </si>
  <si>
    <t>12-14</t>
  </si>
  <si>
    <t>27,95$+283</t>
  </si>
  <si>
    <t>30,75$+310</t>
  </si>
  <si>
    <t>36 см</t>
  </si>
  <si>
    <t xml:space="preserve">37-38р 38см </t>
  </si>
  <si>
    <t>12-15</t>
  </si>
  <si>
    <t xml:space="preserve"> 32,92$+318</t>
  </si>
  <si>
    <t>36,21$+349</t>
  </si>
  <si>
    <t xml:space="preserve">  37-38р 40см     </t>
  </si>
  <si>
    <t>12-17S</t>
  </si>
  <si>
    <t>28,4$+263</t>
  </si>
  <si>
    <t>31,24$+288</t>
  </si>
  <si>
    <t>35 см</t>
  </si>
  <si>
    <t>37-38р 37см</t>
  </si>
  <si>
    <t>12-17М</t>
  </si>
  <si>
    <t>55-1</t>
  </si>
  <si>
    <t>26,51$+273</t>
  </si>
  <si>
    <t>29,16$+299</t>
  </si>
  <si>
    <t>зад/перед 31см./34 см</t>
  </si>
  <si>
    <t>1 см</t>
  </si>
  <si>
    <t>37-38р-38см</t>
  </si>
  <si>
    <t>36-24,2см 37-25см  38-25,5см 39-26,2см 40-26,8см 41-27,5см</t>
  </si>
  <si>
    <t>55-2F</t>
  </si>
  <si>
    <t>35,5 см</t>
  </si>
  <si>
    <t>37-38р -36 см</t>
  </si>
  <si>
    <t>55-3</t>
  </si>
  <si>
    <t>21,53$+260</t>
  </si>
  <si>
    <t>23,68$+285</t>
  </si>
  <si>
    <t>14+1см</t>
  </si>
  <si>
    <t>24 см</t>
  </si>
  <si>
    <t>18-1</t>
  </si>
  <si>
    <t>3 см</t>
  </si>
  <si>
    <t>18-2</t>
  </si>
  <si>
    <t>23,48$+246</t>
  </si>
  <si>
    <t>25,83$+270</t>
  </si>
  <si>
    <t>26,5 см</t>
  </si>
  <si>
    <t>18-2А</t>
  </si>
  <si>
    <t>18-3</t>
  </si>
  <si>
    <t>30,77$+291</t>
  </si>
  <si>
    <t>33,85$+319</t>
  </si>
  <si>
    <t>18-4</t>
  </si>
  <si>
    <t>31,93$+326</t>
  </si>
  <si>
    <t>35,12+358</t>
  </si>
  <si>
    <t>18-5А</t>
  </si>
  <si>
    <t>30,77$+271</t>
  </si>
  <si>
    <t>33,85$+297</t>
  </si>
  <si>
    <t>18-6</t>
  </si>
  <si>
    <t>23,48$+196</t>
  </si>
  <si>
    <t>25,83$+215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</si>
</sst>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1" xfId="0" applyFont="1" applyFill="1" applyBorder="1" applyAlignment="1">
      <alignment horizontal="center" vertical="distributed"/>
    </xf>
    <xf numFmtId="49" fontId="1" fillId="2" borderId="1" xfId="0" applyNumberFormat="1" applyFont="1" applyFill="1" applyBorder="1" applyAlignment="1">
      <alignment horizontal="center" vertical="distributed"/>
    </xf>
    <xf numFmtId="2" fontId="1" fillId="2" borderId="1" xfId="0" applyNumberFormat="1" applyFont="1" applyFill="1" applyBorder="1" applyAlignment="1">
      <alignment horizontal="center" vertical="distributed"/>
    </xf>
    <xf numFmtId="2" fontId="1" fillId="3" borderId="1" xfId="0" applyNumberFormat="1" applyFont="1" applyFill="1" applyBorder="1" applyAlignment="1">
      <alignment horizontal="center" vertical="distributed"/>
    </xf>
    <xf numFmtId="0" fontId="1" fillId="2" borderId="1" xfId="0" applyFont="1" applyFill="1" applyBorder="1" applyAlignment="1">
      <alignment horizontal="center" vertical="distributed" wrapText="1"/>
    </xf>
    <xf numFmtId="0" fontId="1" fillId="2" borderId="1" xfId="0" applyFont="1" applyFill="1" applyBorder="1" applyAlignment="1">
      <alignment horizontal="center" vertical="justify" wrapText="1"/>
    </xf>
    <xf numFmtId="0" fontId="1" fillId="0" borderId="1" xfId="0" applyFont="1" applyBorder="1" applyAlignment="1">
      <alignment horizontal="center" vertical="distributed"/>
    </xf>
    <xf numFmtId="49" fontId="1" fillId="0" borderId="1" xfId="0" applyNumberFormat="1" applyFont="1" applyBorder="1" applyAlignment="1">
      <alignment horizontal="center" vertical="distributed"/>
    </xf>
    <xf numFmtId="0" fontId="1" fillId="4" borderId="1" xfId="0" applyFont="1" applyFill="1" applyBorder="1" applyAlignment="1">
      <alignment horizontal="center" vertical="distributed"/>
    </xf>
    <xf numFmtId="0" fontId="1" fillId="5" borderId="1" xfId="0" applyNumberFormat="1" applyFont="1" applyFill="1" applyBorder="1" applyAlignment="1">
      <alignment horizontal="center" vertical="distributed"/>
    </xf>
    <xf numFmtId="1" fontId="1" fillId="6" borderId="1" xfId="0" applyNumberFormat="1" applyFont="1" applyFill="1" applyBorder="1" applyAlignment="1">
      <alignment horizontal="center" vertical="distributed"/>
    </xf>
    <xf numFmtId="1" fontId="1" fillId="3" borderId="1" xfId="0" applyNumberFormat="1" applyFont="1" applyFill="1" applyBorder="1" applyAlignment="1">
      <alignment horizontal="center" vertical="distributed"/>
    </xf>
    <xf numFmtId="0" fontId="1" fillId="0" borderId="1" xfId="0" applyFont="1" applyBorder="1" applyAlignment="1">
      <alignment horizontal="center" vertical="distributed" wrapText="1"/>
    </xf>
    <xf numFmtId="0" fontId="1" fillId="7" borderId="1" xfId="0" applyFont="1" applyFill="1" applyBorder="1" applyAlignment="1">
      <alignment horizontal="center" vertical="distributed" wrapText="1"/>
    </xf>
    <xf numFmtId="0" fontId="1" fillId="8" borderId="1" xfId="0" applyFont="1" applyFill="1" applyBorder="1" applyAlignment="1">
      <alignment horizontal="center" vertical="distributed" wrapText="1"/>
    </xf>
    <xf numFmtId="0" fontId="1" fillId="9" borderId="1" xfId="0" applyFont="1" applyFill="1" applyBorder="1" applyAlignment="1">
      <alignment horizontal="center" vertical="justify" wrapText="1"/>
    </xf>
    <xf numFmtId="0" fontId="1" fillId="10" borderId="1" xfId="0" applyFont="1" applyFill="1" applyBorder="1" applyAlignment="1">
      <alignment horizontal="center" vertical="justify" wrapText="1"/>
    </xf>
    <xf numFmtId="0" fontId="1" fillId="5" borderId="1" xfId="0" applyFont="1" applyFill="1" applyBorder="1" applyAlignment="1">
      <alignment horizontal="center" vertical="distributed"/>
    </xf>
    <xf numFmtId="0" fontId="0" fillId="0" borderId="1" xfId="0" applyBorder="1"/>
    <xf numFmtId="49" fontId="1" fillId="0" borderId="1" xfId="0" applyNumberFormat="1" applyFont="1" applyBorder="1" applyAlignment="1">
      <alignment horizontal="center" vertical="distributed" wrapText="1"/>
    </xf>
    <xf numFmtId="49" fontId="1" fillId="9" borderId="1" xfId="0" applyNumberFormat="1" applyFont="1" applyFill="1" applyBorder="1" applyAlignment="1">
      <alignment horizontal="center" vertical="justify" wrapText="1"/>
    </xf>
    <xf numFmtId="49" fontId="1" fillId="4" borderId="1" xfId="0" applyNumberFormat="1" applyFont="1" applyFill="1" applyBorder="1" applyAlignment="1">
      <alignment horizontal="center" vertical="distributed"/>
    </xf>
    <xf numFmtId="49" fontId="1" fillId="5" borderId="1" xfId="0" applyNumberFormat="1" applyFont="1" applyFill="1" applyBorder="1" applyAlignment="1">
      <alignment horizontal="center" vertical="distributed"/>
    </xf>
    <xf numFmtId="0" fontId="0" fillId="0" borderId="1" xfId="0" applyBorder="1" applyAlignment="1">
      <alignment horizontal="center" vertical="distributed"/>
    </xf>
    <xf numFmtId="0" fontId="1" fillId="7" borderId="1" xfId="0" applyFont="1" applyFill="1" applyBorder="1" applyAlignment="1">
      <alignment horizontal="center" vertical="distributed"/>
    </xf>
    <xf numFmtId="0" fontId="1" fillId="8" borderId="1" xfId="0" applyFont="1" applyFill="1" applyBorder="1" applyAlignment="1">
      <alignment horizontal="center" vertical="distributed"/>
    </xf>
    <xf numFmtId="49" fontId="1" fillId="10" borderId="1" xfId="0" applyNumberFormat="1" applyFont="1" applyFill="1" applyBorder="1" applyAlignment="1">
      <alignment horizontal="center" vertical="justify" wrapText="1"/>
    </xf>
    <xf numFmtId="0" fontId="0" fillId="0" borderId="1" xfId="0" applyBorder="1" applyAlignment="1">
      <alignment horizontal="center"/>
    </xf>
    <xf numFmtId="0" fontId="2" fillId="9" borderId="1" xfId="0" applyFont="1" applyFill="1" applyBorder="1" applyAlignment="1">
      <alignment horizontal="center" vertical="justify" wrapText="1"/>
    </xf>
    <xf numFmtId="1" fontId="1" fillId="3" borderId="1" xfId="0" applyNumberFormat="1" applyFont="1" applyFill="1" applyBorder="1" applyAlignment="1">
      <alignment horizontal="right" vertical="distributed"/>
    </xf>
    <xf numFmtId="49" fontId="1" fillId="11" borderId="1" xfId="0" applyNumberFormat="1" applyFont="1" applyFill="1" applyBorder="1" applyAlignment="1">
      <alignment horizontal="center" vertical="distributed"/>
    </xf>
    <xf numFmtId="0" fontId="1" fillId="12" borderId="1" xfId="0" applyFont="1" applyFill="1" applyBorder="1" applyAlignment="1">
      <alignment horizontal="center" vertical="justify" wrapText="1"/>
    </xf>
    <xf numFmtId="0" fontId="1" fillId="0" borderId="1" xfId="0" applyFont="1" applyBorder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 vertical="distributed" wrapText="1"/>
    </xf>
    <xf numFmtId="49" fontId="1" fillId="8" borderId="1" xfId="0" applyNumberFormat="1" applyFont="1" applyFill="1" applyBorder="1" applyAlignment="1">
      <alignment horizontal="center" vertical="distributed" wrapText="1"/>
    </xf>
    <xf numFmtId="0" fontId="3" fillId="0" borderId="1" xfId="0" applyFont="1" applyBorder="1"/>
    <xf numFmtId="0" fontId="0" fillId="0" borderId="2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46</xdr:row>
      <xdr:rowOff>47625</xdr:rowOff>
    </xdr:from>
    <xdr:to>
      <xdr:col>1</xdr:col>
      <xdr:colOff>1447800</xdr:colOff>
      <xdr:row>46</xdr:row>
      <xdr:rowOff>1400175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8175" y="53835300"/>
          <a:ext cx="14001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104</xdr:row>
      <xdr:rowOff>28575</xdr:rowOff>
    </xdr:from>
    <xdr:to>
      <xdr:col>1</xdr:col>
      <xdr:colOff>1562100</xdr:colOff>
      <xdr:row>104</xdr:row>
      <xdr:rowOff>1343025</xdr:rowOff>
    </xdr:to>
    <xdr:pic>
      <xdr:nvPicPr>
        <xdr:cNvPr id="10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7674" t="2904" r="10233" b="8362"/>
        <a:stretch>
          <a:fillRect/>
        </a:stretch>
      </xdr:blipFill>
      <xdr:spPr bwMode="auto">
        <a:xfrm>
          <a:off x="676275" y="129035175"/>
          <a:ext cx="1476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89</xdr:row>
      <xdr:rowOff>76200</xdr:rowOff>
    </xdr:from>
    <xdr:to>
      <xdr:col>1</xdr:col>
      <xdr:colOff>1562100</xdr:colOff>
      <xdr:row>89</xdr:row>
      <xdr:rowOff>1143000</xdr:rowOff>
    </xdr:to>
    <xdr:pic>
      <xdr:nvPicPr>
        <xdr:cNvPr id="10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431" t="8757" r="6961"/>
        <a:stretch>
          <a:fillRect/>
        </a:stretch>
      </xdr:blipFill>
      <xdr:spPr bwMode="auto">
        <a:xfrm>
          <a:off x="638175" y="11059477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</xdr:row>
      <xdr:rowOff>38100</xdr:rowOff>
    </xdr:from>
    <xdr:to>
      <xdr:col>1</xdr:col>
      <xdr:colOff>1495425</xdr:colOff>
      <xdr:row>5</xdr:row>
      <xdr:rowOff>1000125</xdr:rowOff>
    </xdr:to>
    <xdr:pic>
      <xdr:nvPicPr>
        <xdr:cNvPr id="10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3687" t="17349" r="12849" b="14253"/>
        <a:stretch>
          <a:fillRect/>
        </a:stretch>
      </xdr:blipFill>
      <xdr:spPr bwMode="auto">
        <a:xfrm>
          <a:off x="647700" y="4991100"/>
          <a:ext cx="14382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</xdr:row>
      <xdr:rowOff>66675</xdr:rowOff>
    </xdr:from>
    <xdr:to>
      <xdr:col>1</xdr:col>
      <xdr:colOff>1562100</xdr:colOff>
      <xdr:row>4</xdr:row>
      <xdr:rowOff>1419225</xdr:rowOff>
    </xdr:to>
    <xdr:pic>
      <xdr:nvPicPr>
        <xdr:cNvPr id="10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7497" r="13750"/>
        <a:stretch>
          <a:fillRect/>
        </a:stretch>
      </xdr:blipFill>
      <xdr:spPr bwMode="auto">
        <a:xfrm>
          <a:off x="647700" y="3876675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42</xdr:row>
      <xdr:rowOff>76200</xdr:rowOff>
    </xdr:from>
    <xdr:to>
      <xdr:col>1</xdr:col>
      <xdr:colOff>1609725</xdr:colOff>
      <xdr:row>42</xdr:row>
      <xdr:rowOff>1247775</xdr:rowOff>
    </xdr:to>
    <xdr:pic>
      <xdr:nvPicPr>
        <xdr:cNvPr id="103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15709" t="6779" r="6514" b="10918"/>
        <a:stretch>
          <a:fillRect/>
        </a:stretch>
      </xdr:blipFill>
      <xdr:spPr bwMode="auto">
        <a:xfrm>
          <a:off x="676275" y="48301275"/>
          <a:ext cx="15240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72</xdr:row>
      <xdr:rowOff>28575</xdr:rowOff>
    </xdr:from>
    <xdr:to>
      <xdr:col>1</xdr:col>
      <xdr:colOff>1562100</xdr:colOff>
      <xdr:row>72</xdr:row>
      <xdr:rowOff>1057275</xdr:rowOff>
    </xdr:to>
    <xdr:pic>
      <xdr:nvPicPr>
        <xdr:cNvPr id="103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15144" t="7967" r="4124" b="9709"/>
        <a:stretch>
          <a:fillRect/>
        </a:stretch>
      </xdr:blipFill>
      <xdr:spPr bwMode="auto">
        <a:xfrm>
          <a:off x="657225" y="89125425"/>
          <a:ext cx="1495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73</xdr:row>
      <xdr:rowOff>66675</xdr:rowOff>
    </xdr:from>
    <xdr:to>
      <xdr:col>1</xdr:col>
      <xdr:colOff>1552575</xdr:colOff>
      <xdr:row>73</xdr:row>
      <xdr:rowOff>1143000</xdr:rowOff>
    </xdr:to>
    <xdr:pic>
      <xdr:nvPicPr>
        <xdr:cNvPr id="103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4764" t="13643" r="11186" b="17799"/>
        <a:stretch>
          <a:fillRect/>
        </a:stretch>
      </xdr:blipFill>
      <xdr:spPr bwMode="auto">
        <a:xfrm>
          <a:off x="628650" y="90316050"/>
          <a:ext cx="1514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75</xdr:row>
      <xdr:rowOff>123825</xdr:rowOff>
    </xdr:from>
    <xdr:to>
      <xdr:col>1</xdr:col>
      <xdr:colOff>1552575</xdr:colOff>
      <xdr:row>75</xdr:row>
      <xdr:rowOff>1209675</xdr:rowOff>
    </xdr:to>
    <xdr:pic>
      <xdr:nvPicPr>
        <xdr:cNvPr id="103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0616" t="10635" r="6705" b="18449"/>
        <a:stretch>
          <a:fillRect/>
        </a:stretch>
      </xdr:blipFill>
      <xdr:spPr bwMode="auto">
        <a:xfrm>
          <a:off x="628650" y="92773500"/>
          <a:ext cx="15144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</xdr:row>
      <xdr:rowOff>28575</xdr:rowOff>
    </xdr:from>
    <xdr:to>
      <xdr:col>1</xdr:col>
      <xdr:colOff>1590675</xdr:colOff>
      <xdr:row>3</xdr:row>
      <xdr:rowOff>1276350</xdr:rowOff>
    </xdr:to>
    <xdr:pic>
      <xdr:nvPicPr>
        <xdr:cNvPr id="103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20000" t="2238" r="7454" b="2"/>
        <a:stretch>
          <a:fillRect/>
        </a:stretch>
      </xdr:blipFill>
      <xdr:spPr bwMode="auto">
        <a:xfrm>
          <a:off x="638175" y="2695575"/>
          <a:ext cx="15430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71</xdr:row>
      <xdr:rowOff>47625</xdr:rowOff>
    </xdr:from>
    <xdr:to>
      <xdr:col>1</xdr:col>
      <xdr:colOff>1600200</xdr:colOff>
      <xdr:row>71</xdr:row>
      <xdr:rowOff>1152525</xdr:rowOff>
    </xdr:to>
    <xdr:pic>
      <xdr:nvPicPr>
        <xdr:cNvPr id="103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8039" t="15189" r="14902" b="17065"/>
        <a:stretch>
          <a:fillRect/>
        </a:stretch>
      </xdr:blipFill>
      <xdr:spPr bwMode="auto">
        <a:xfrm>
          <a:off x="638175" y="87925275"/>
          <a:ext cx="15525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83</xdr:row>
      <xdr:rowOff>47625</xdr:rowOff>
    </xdr:from>
    <xdr:to>
      <xdr:col>1</xdr:col>
      <xdr:colOff>1476375</xdr:colOff>
      <xdr:row>83</xdr:row>
      <xdr:rowOff>1238250</xdr:rowOff>
    </xdr:to>
    <xdr:pic>
      <xdr:nvPicPr>
        <xdr:cNvPr id="103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17358" t="14989" r="21887" b="10185"/>
        <a:stretch>
          <a:fillRect/>
        </a:stretch>
      </xdr:blipFill>
      <xdr:spPr bwMode="auto">
        <a:xfrm>
          <a:off x="638175" y="103117650"/>
          <a:ext cx="1428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49</xdr:row>
      <xdr:rowOff>276225</xdr:rowOff>
    </xdr:from>
    <xdr:to>
      <xdr:col>1</xdr:col>
      <xdr:colOff>1495425</xdr:colOff>
      <xdr:row>49</xdr:row>
      <xdr:rowOff>1104900</xdr:rowOff>
    </xdr:to>
    <xdr:pic>
      <xdr:nvPicPr>
        <xdr:cNvPr id="103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1357" t="18996" r="5022" b="21982"/>
        <a:stretch>
          <a:fillRect/>
        </a:stretch>
      </xdr:blipFill>
      <xdr:spPr bwMode="auto">
        <a:xfrm>
          <a:off x="771525" y="57912000"/>
          <a:ext cx="1314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52</xdr:row>
      <xdr:rowOff>19050</xdr:rowOff>
    </xdr:from>
    <xdr:to>
      <xdr:col>1</xdr:col>
      <xdr:colOff>1495425</xdr:colOff>
      <xdr:row>52</xdr:row>
      <xdr:rowOff>1333500</xdr:rowOff>
    </xdr:to>
    <xdr:pic>
      <xdr:nvPicPr>
        <xdr:cNvPr id="103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47700" y="61598175"/>
          <a:ext cx="14382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</xdr:row>
      <xdr:rowOff>47625</xdr:rowOff>
    </xdr:from>
    <xdr:to>
      <xdr:col>1</xdr:col>
      <xdr:colOff>1485900</xdr:colOff>
      <xdr:row>6</xdr:row>
      <xdr:rowOff>1266825</xdr:rowOff>
    </xdr:to>
    <xdr:pic>
      <xdr:nvPicPr>
        <xdr:cNvPr id="103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38175" y="6143625"/>
          <a:ext cx="1438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56</xdr:row>
      <xdr:rowOff>19050</xdr:rowOff>
    </xdr:from>
    <xdr:to>
      <xdr:col>1</xdr:col>
      <xdr:colOff>1485900</xdr:colOff>
      <xdr:row>56</xdr:row>
      <xdr:rowOff>1200150</xdr:rowOff>
    </xdr:to>
    <xdr:pic>
      <xdr:nvPicPr>
        <xdr:cNvPr id="104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t="8000" b="9332"/>
        <a:stretch>
          <a:fillRect/>
        </a:stretch>
      </xdr:blipFill>
      <xdr:spPr bwMode="auto">
        <a:xfrm>
          <a:off x="647700" y="67198875"/>
          <a:ext cx="142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57</xdr:row>
      <xdr:rowOff>95250</xdr:rowOff>
    </xdr:from>
    <xdr:to>
      <xdr:col>1</xdr:col>
      <xdr:colOff>1485900</xdr:colOff>
      <xdr:row>57</xdr:row>
      <xdr:rowOff>1228725</xdr:rowOff>
    </xdr:to>
    <xdr:pic>
      <xdr:nvPicPr>
        <xdr:cNvPr id="104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14410" t="27043" r="15034" b="13890"/>
        <a:stretch>
          <a:fillRect/>
        </a:stretch>
      </xdr:blipFill>
      <xdr:spPr bwMode="auto">
        <a:xfrm>
          <a:off x="638175" y="68608575"/>
          <a:ext cx="14382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1</xdr:row>
      <xdr:rowOff>47625</xdr:rowOff>
    </xdr:from>
    <xdr:to>
      <xdr:col>1</xdr:col>
      <xdr:colOff>1581150</xdr:colOff>
      <xdr:row>1</xdr:row>
      <xdr:rowOff>1209675</xdr:rowOff>
    </xdr:to>
    <xdr:pic>
      <xdr:nvPicPr>
        <xdr:cNvPr id="104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1151" r="13724"/>
        <a:stretch>
          <a:fillRect/>
        </a:stretch>
      </xdr:blipFill>
      <xdr:spPr bwMode="auto">
        <a:xfrm>
          <a:off x="628650" y="428625"/>
          <a:ext cx="1543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  <xdr:twoCellAnchor>
    <xdr:from>
      <xdr:col>1</xdr:col>
      <xdr:colOff>28575</xdr:colOff>
      <xdr:row>2</xdr:row>
      <xdr:rowOff>28575</xdr:rowOff>
    </xdr:from>
    <xdr:to>
      <xdr:col>1</xdr:col>
      <xdr:colOff>1543050</xdr:colOff>
      <xdr:row>2</xdr:row>
      <xdr:rowOff>1133475</xdr:rowOff>
    </xdr:to>
    <xdr:pic>
      <xdr:nvPicPr>
        <xdr:cNvPr id="104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19125" y="1552575"/>
          <a:ext cx="15144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</xdr:row>
      <xdr:rowOff>47625</xdr:rowOff>
    </xdr:from>
    <xdr:to>
      <xdr:col>1</xdr:col>
      <xdr:colOff>1466850</xdr:colOff>
      <xdr:row>8</xdr:row>
      <xdr:rowOff>1447800</xdr:rowOff>
    </xdr:to>
    <xdr:pic>
      <xdr:nvPicPr>
        <xdr:cNvPr id="104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57225" y="9191625"/>
          <a:ext cx="1400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10</xdr:row>
      <xdr:rowOff>19050</xdr:rowOff>
    </xdr:from>
    <xdr:to>
      <xdr:col>1</xdr:col>
      <xdr:colOff>1457325</xdr:colOff>
      <xdr:row>10</xdr:row>
      <xdr:rowOff>1457325</xdr:rowOff>
    </xdr:to>
    <xdr:pic>
      <xdr:nvPicPr>
        <xdr:cNvPr id="104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66750" y="11830050"/>
          <a:ext cx="1381125" cy="9334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80</xdr:row>
      <xdr:rowOff>0</xdr:rowOff>
    </xdr:from>
    <xdr:to>
      <xdr:col>1</xdr:col>
      <xdr:colOff>1390650</xdr:colOff>
      <xdr:row>80</xdr:row>
      <xdr:rowOff>0</xdr:rowOff>
    </xdr:to>
    <xdr:pic>
      <xdr:nvPicPr>
        <xdr:cNvPr id="104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04850" y="99126675"/>
          <a:ext cx="1276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90</xdr:row>
      <xdr:rowOff>9525</xdr:rowOff>
    </xdr:from>
    <xdr:to>
      <xdr:col>1</xdr:col>
      <xdr:colOff>1581150</xdr:colOff>
      <xdr:row>90</xdr:row>
      <xdr:rowOff>1076325</xdr:rowOff>
    </xdr:to>
    <xdr:pic>
      <xdr:nvPicPr>
        <xdr:cNvPr id="104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04850" y="111747300"/>
          <a:ext cx="1466850" cy="10668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74</xdr:row>
      <xdr:rowOff>38100</xdr:rowOff>
    </xdr:from>
    <xdr:to>
      <xdr:col>1</xdr:col>
      <xdr:colOff>1552575</xdr:colOff>
      <xdr:row>74</xdr:row>
      <xdr:rowOff>1047750</xdr:rowOff>
    </xdr:to>
    <xdr:pic>
      <xdr:nvPicPr>
        <xdr:cNvPr id="104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28650" y="91544775"/>
          <a:ext cx="1514475" cy="1009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37</xdr:row>
      <xdr:rowOff>57150</xdr:rowOff>
    </xdr:from>
    <xdr:to>
      <xdr:col>1</xdr:col>
      <xdr:colOff>1562100</xdr:colOff>
      <xdr:row>37</xdr:row>
      <xdr:rowOff>1304925</xdr:rowOff>
    </xdr:to>
    <xdr:pic>
      <xdr:nvPicPr>
        <xdr:cNvPr id="104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09600" y="41967150"/>
          <a:ext cx="1543050" cy="1247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38</xdr:row>
      <xdr:rowOff>57150</xdr:rowOff>
    </xdr:from>
    <xdr:to>
      <xdr:col>1</xdr:col>
      <xdr:colOff>1562100</xdr:colOff>
      <xdr:row>38</xdr:row>
      <xdr:rowOff>1371600</xdr:rowOff>
    </xdr:to>
    <xdr:pic>
      <xdr:nvPicPr>
        <xdr:cNvPr id="105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638175" y="43338750"/>
          <a:ext cx="1514475" cy="13144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40</xdr:row>
      <xdr:rowOff>47625</xdr:rowOff>
    </xdr:from>
    <xdr:to>
      <xdr:col>1</xdr:col>
      <xdr:colOff>1562100</xdr:colOff>
      <xdr:row>40</xdr:row>
      <xdr:rowOff>1019175</xdr:rowOff>
    </xdr:to>
    <xdr:pic>
      <xdr:nvPicPr>
        <xdr:cNvPr id="105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57225" y="46062900"/>
          <a:ext cx="1495425" cy="971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</xdr:row>
      <xdr:rowOff>19050</xdr:rowOff>
    </xdr:from>
    <xdr:to>
      <xdr:col>1</xdr:col>
      <xdr:colOff>1543050</xdr:colOff>
      <xdr:row>11</xdr:row>
      <xdr:rowOff>971550</xdr:rowOff>
    </xdr:to>
    <xdr:pic>
      <xdr:nvPicPr>
        <xdr:cNvPr id="105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619125" y="12782550"/>
          <a:ext cx="1514475" cy="9334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30</xdr:row>
      <xdr:rowOff>9525</xdr:rowOff>
    </xdr:from>
    <xdr:to>
      <xdr:col>1</xdr:col>
      <xdr:colOff>590550</xdr:colOff>
      <xdr:row>30</xdr:row>
      <xdr:rowOff>190500</xdr:rowOff>
    </xdr:to>
    <xdr:pic>
      <xdr:nvPicPr>
        <xdr:cNvPr id="1053" name="Picture 84" descr="KVutl_GXejA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95325" y="33347025"/>
          <a:ext cx="4857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98</xdr:row>
      <xdr:rowOff>85725</xdr:rowOff>
    </xdr:from>
    <xdr:to>
      <xdr:col>1</xdr:col>
      <xdr:colOff>590550</xdr:colOff>
      <xdr:row>98</xdr:row>
      <xdr:rowOff>190500</xdr:rowOff>
    </xdr:to>
    <xdr:pic>
      <xdr:nvPicPr>
        <xdr:cNvPr id="1054" name="Picture 93" descr="aJGfTvL83c8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04850" y="121786650"/>
          <a:ext cx="476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120</xdr:row>
      <xdr:rowOff>85725</xdr:rowOff>
    </xdr:from>
    <xdr:to>
      <xdr:col>1</xdr:col>
      <xdr:colOff>590550</xdr:colOff>
      <xdr:row>120</xdr:row>
      <xdr:rowOff>190500</xdr:rowOff>
    </xdr:to>
    <xdr:pic>
      <xdr:nvPicPr>
        <xdr:cNvPr id="1055" name="Picture 94" descr="7FyPSo7q7XM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19125" y="150523575"/>
          <a:ext cx="5619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121</xdr:row>
      <xdr:rowOff>95250</xdr:rowOff>
    </xdr:from>
    <xdr:to>
      <xdr:col>1</xdr:col>
      <xdr:colOff>590550</xdr:colOff>
      <xdr:row>121</xdr:row>
      <xdr:rowOff>190500</xdr:rowOff>
    </xdr:to>
    <xdr:pic>
      <xdr:nvPicPr>
        <xdr:cNvPr id="1056" name="Picture 95" descr="q2BOxnshie4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4850" y="151809450"/>
          <a:ext cx="476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114</xdr:row>
      <xdr:rowOff>104775</xdr:rowOff>
    </xdr:from>
    <xdr:to>
      <xdr:col>1</xdr:col>
      <xdr:colOff>590550</xdr:colOff>
      <xdr:row>114</xdr:row>
      <xdr:rowOff>190500</xdr:rowOff>
    </xdr:to>
    <xdr:pic>
      <xdr:nvPicPr>
        <xdr:cNvPr id="1057" name="Picture 96" descr="HnneD1bvRnk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85800" y="141808200"/>
          <a:ext cx="4953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123</xdr:row>
      <xdr:rowOff>57150</xdr:rowOff>
    </xdr:from>
    <xdr:to>
      <xdr:col>1</xdr:col>
      <xdr:colOff>590550</xdr:colOff>
      <xdr:row>123</xdr:row>
      <xdr:rowOff>190500</xdr:rowOff>
    </xdr:to>
    <xdr:pic>
      <xdr:nvPicPr>
        <xdr:cNvPr id="1058" name="Picture 99" descr="Ihb9KxIjRtQ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23900" y="154266900"/>
          <a:ext cx="4572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100</xdr:row>
      <xdr:rowOff>266700</xdr:rowOff>
    </xdr:from>
    <xdr:to>
      <xdr:col>1</xdr:col>
      <xdr:colOff>590550</xdr:colOff>
      <xdr:row>100</xdr:row>
      <xdr:rowOff>266700</xdr:rowOff>
    </xdr:to>
    <xdr:pic>
      <xdr:nvPicPr>
        <xdr:cNvPr id="1059" name="Picture 100" descr="0-iFF2KSHIQ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04850" y="12417742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117</xdr:row>
      <xdr:rowOff>57150</xdr:rowOff>
    </xdr:from>
    <xdr:to>
      <xdr:col>1</xdr:col>
      <xdr:colOff>590550</xdr:colOff>
      <xdr:row>117</xdr:row>
      <xdr:rowOff>190500</xdr:rowOff>
    </xdr:to>
    <xdr:pic>
      <xdr:nvPicPr>
        <xdr:cNvPr id="1060" name="Picture 102" descr="ZCW0SdzDhQ4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66750" y="146408775"/>
          <a:ext cx="514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115</xdr:row>
      <xdr:rowOff>19050</xdr:rowOff>
    </xdr:from>
    <xdr:to>
      <xdr:col>1</xdr:col>
      <xdr:colOff>590550</xdr:colOff>
      <xdr:row>115</xdr:row>
      <xdr:rowOff>190500</xdr:rowOff>
    </xdr:to>
    <xdr:pic>
      <xdr:nvPicPr>
        <xdr:cNvPr id="1061" name="Picture 103" descr="KJkadgw_bJE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04850" y="143341725"/>
          <a:ext cx="4762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130</xdr:row>
      <xdr:rowOff>76200</xdr:rowOff>
    </xdr:from>
    <xdr:to>
      <xdr:col>1</xdr:col>
      <xdr:colOff>590550</xdr:colOff>
      <xdr:row>130</xdr:row>
      <xdr:rowOff>190500</xdr:rowOff>
    </xdr:to>
    <xdr:pic>
      <xdr:nvPicPr>
        <xdr:cNvPr id="1062" name="Picture 104" descr="_hkAJkITHOY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85800" y="163353750"/>
          <a:ext cx="495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132</xdr:row>
      <xdr:rowOff>104775</xdr:rowOff>
    </xdr:from>
    <xdr:to>
      <xdr:col>1</xdr:col>
      <xdr:colOff>590550</xdr:colOff>
      <xdr:row>132</xdr:row>
      <xdr:rowOff>190500</xdr:rowOff>
    </xdr:to>
    <xdr:pic>
      <xdr:nvPicPr>
        <xdr:cNvPr id="1063" name="Picture 105" descr="i29qs334yIQ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657225" y="165820725"/>
          <a:ext cx="52387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149</xdr:row>
      <xdr:rowOff>57150</xdr:rowOff>
    </xdr:from>
    <xdr:to>
      <xdr:col>1</xdr:col>
      <xdr:colOff>590550</xdr:colOff>
      <xdr:row>149</xdr:row>
      <xdr:rowOff>190500</xdr:rowOff>
    </xdr:to>
    <xdr:pic>
      <xdr:nvPicPr>
        <xdr:cNvPr id="1064" name="Picture 106" descr="WXWatGrFhjM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76275" y="191119125"/>
          <a:ext cx="5048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129</xdr:row>
      <xdr:rowOff>76200</xdr:rowOff>
    </xdr:from>
    <xdr:to>
      <xdr:col>1</xdr:col>
      <xdr:colOff>590550</xdr:colOff>
      <xdr:row>129</xdr:row>
      <xdr:rowOff>190500</xdr:rowOff>
    </xdr:to>
    <xdr:pic>
      <xdr:nvPicPr>
        <xdr:cNvPr id="1065" name="Picture 107" descr="-PBC686kxLM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619125" y="162096450"/>
          <a:ext cx="5619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140</xdr:row>
      <xdr:rowOff>57150</xdr:rowOff>
    </xdr:from>
    <xdr:to>
      <xdr:col>1</xdr:col>
      <xdr:colOff>590550</xdr:colOff>
      <xdr:row>140</xdr:row>
      <xdr:rowOff>190500</xdr:rowOff>
    </xdr:to>
    <xdr:pic>
      <xdr:nvPicPr>
        <xdr:cNvPr id="1066" name="Picture 110" descr="nIBtQlW2Tvg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85800" y="178098450"/>
          <a:ext cx="4953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135</xdr:row>
      <xdr:rowOff>19050</xdr:rowOff>
    </xdr:from>
    <xdr:to>
      <xdr:col>1</xdr:col>
      <xdr:colOff>590550</xdr:colOff>
      <xdr:row>135</xdr:row>
      <xdr:rowOff>190500</xdr:rowOff>
    </xdr:to>
    <xdr:pic>
      <xdr:nvPicPr>
        <xdr:cNvPr id="1067" name="Picture 112" descr="oKsimggqh0k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666750" y="170068875"/>
          <a:ext cx="514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133</xdr:row>
      <xdr:rowOff>28575</xdr:rowOff>
    </xdr:from>
    <xdr:to>
      <xdr:col>1</xdr:col>
      <xdr:colOff>590550</xdr:colOff>
      <xdr:row>133</xdr:row>
      <xdr:rowOff>190500</xdr:rowOff>
    </xdr:to>
    <xdr:pic>
      <xdr:nvPicPr>
        <xdr:cNvPr id="1068" name="Picture 113" descr="M6lkp8c9TV8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14375" y="166954200"/>
          <a:ext cx="4667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139</xdr:row>
      <xdr:rowOff>47625</xdr:rowOff>
    </xdr:from>
    <xdr:to>
      <xdr:col>1</xdr:col>
      <xdr:colOff>590550</xdr:colOff>
      <xdr:row>139</xdr:row>
      <xdr:rowOff>190500</xdr:rowOff>
    </xdr:to>
    <xdr:pic>
      <xdr:nvPicPr>
        <xdr:cNvPr id="1069" name="Picture 114" descr="QhQcAU8y1x8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33425" y="176450625"/>
          <a:ext cx="447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136</xdr:row>
      <xdr:rowOff>66675</xdr:rowOff>
    </xdr:from>
    <xdr:to>
      <xdr:col>1</xdr:col>
      <xdr:colOff>590550</xdr:colOff>
      <xdr:row>136</xdr:row>
      <xdr:rowOff>190500</xdr:rowOff>
    </xdr:to>
    <xdr:pic>
      <xdr:nvPicPr>
        <xdr:cNvPr id="1070" name="Picture 116" descr="eE74Dwu9Suw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85800" y="171488100"/>
          <a:ext cx="4953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134</xdr:row>
      <xdr:rowOff>76200</xdr:rowOff>
    </xdr:from>
    <xdr:to>
      <xdr:col>1</xdr:col>
      <xdr:colOff>590550</xdr:colOff>
      <xdr:row>134</xdr:row>
      <xdr:rowOff>190500</xdr:rowOff>
    </xdr:to>
    <xdr:pic>
      <xdr:nvPicPr>
        <xdr:cNvPr id="1071" name="Picture 117" descr="R1bxWinf8HM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76275" y="168563925"/>
          <a:ext cx="50482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138</xdr:row>
      <xdr:rowOff>66675</xdr:rowOff>
    </xdr:from>
    <xdr:to>
      <xdr:col>1</xdr:col>
      <xdr:colOff>590550</xdr:colOff>
      <xdr:row>138</xdr:row>
      <xdr:rowOff>190500</xdr:rowOff>
    </xdr:to>
    <xdr:pic>
      <xdr:nvPicPr>
        <xdr:cNvPr id="1072" name="Picture 118" descr="GytD3k3CNMU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676275" y="174859950"/>
          <a:ext cx="5048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122</xdr:row>
      <xdr:rowOff>38100</xdr:rowOff>
    </xdr:from>
    <xdr:to>
      <xdr:col>1</xdr:col>
      <xdr:colOff>590550</xdr:colOff>
      <xdr:row>122</xdr:row>
      <xdr:rowOff>190500</xdr:rowOff>
    </xdr:to>
    <xdr:pic>
      <xdr:nvPicPr>
        <xdr:cNvPr id="1073" name="Picture 119" descr="h5KvD7E9PDY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676275" y="153000075"/>
          <a:ext cx="504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152</xdr:row>
      <xdr:rowOff>57150</xdr:rowOff>
    </xdr:from>
    <xdr:to>
      <xdr:col>1</xdr:col>
      <xdr:colOff>590550</xdr:colOff>
      <xdr:row>152</xdr:row>
      <xdr:rowOff>190500</xdr:rowOff>
    </xdr:to>
    <xdr:pic>
      <xdr:nvPicPr>
        <xdr:cNvPr id="1074" name="Picture 121" descr="jD2RYMSzJv0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657225" y="195052950"/>
          <a:ext cx="5238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107</xdr:row>
      <xdr:rowOff>38100</xdr:rowOff>
    </xdr:from>
    <xdr:to>
      <xdr:col>1</xdr:col>
      <xdr:colOff>590550</xdr:colOff>
      <xdr:row>107</xdr:row>
      <xdr:rowOff>200025</xdr:rowOff>
    </xdr:to>
    <xdr:pic>
      <xdr:nvPicPr>
        <xdr:cNvPr id="1075" name="Picture 123" descr="iXQbkmfBYog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676275" y="133102350"/>
          <a:ext cx="5048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108</xdr:row>
      <xdr:rowOff>104775</xdr:rowOff>
    </xdr:from>
    <xdr:to>
      <xdr:col>1</xdr:col>
      <xdr:colOff>590550</xdr:colOff>
      <xdr:row>108</xdr:row>
      <xdr:rowOff>190500</xdr:rowOff>
    </xdr:to>
    <xdr:pic>
      <xdr:nvPicPr>
        <xdr:cNvPr id="1076" name="Picture 125" descr="rw7DCYGjwCA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695325" y="134331075"/>
          <a:ext cx="48577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150</xdr:row>
      <xdr:rowOff>66675</xdr:rowOff>
    </xdr:from>
    <xdr:to>
      <xdr:col>1</xdr:col>
      <xdr:colOff>590550</xdr:colOff>
      <xdr:row>150</xdr:row>
      <xdr:rowOff>190500</xdr:rowOff>
    </xdr:to>
    <xdr:pic>
      <xdr:nvPicPr>
        <xdr:cNvPr id="1077" name="Picture 127" descr="0Z6njB2s9CU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04850" y="192204975"/>
          <a:ext cx="4762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119</xdr:row>
      <xdr:rowOff>57150</xdr:rowOff>
    </xdr:from>
    <xdr:to>
      <xdr:col>1</xdr:col>
      <xdr:colOff>590550</xdr:colOff>
      <xdr:row>119</xdr:row>
      <xdr:rowOff>190500</xdr:rowOff>
    </xdr:to>
    <xdr:pic>
      <xdr:nvPicPr>
        <xdr:cNvPr id="1078" name="Picture 128" descr="XtJHdqAYIbs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33425" y="148923375"/>
          <a:ext cx="4476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106</xdr:row>
      <xdr:rowOff>85725</xdr:rowOff>
    </xdr:from>
    <xdr:to>
      <xdr:col>1</xdr:col>
      <xdr:colOff>590550</xdr:colOff>
      <xdr:row>106</xdr:row>
      <xdr:rowOff>190500</xdr:rowOff>
    </xdr:to>
    <xdr:pic>
      <xdr:nvPicPr>
        <xdr:cNvPr id="1079" name="Picture 129" descr="FQqtHxW6KmY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657225" y="131911725"/>
          <a:ext cx="5238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102</xdr:row>
      <xdr:rowOff>47625</xdr:rowOff>
    </xdr:from>
    <xdr:to>
      <xdr:col>1</xdr:col>
      <xdr:colOff>590550</xdr:colOff>
      <xdr:row>102</xdr:row>
      <xdr:rowOff>190500</xdr:rowOff>
    </xdr:to>
    <xdr:pic>
      <xdr:nvPicPr>
        <xdr:cNvPr id="1080" name="Picture 130" descr="i2vrboKPYqY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76275" y="126730125"/>
          <a:ext cx="5048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153</xdr:row>
      <xdr:rowOff>47625</xdr:rowOff>
    </xdr:from>
    <xdr:to>
      <xdr:col>1</xdr:col>
      <xdr:colOff>590550</xdr:colOff>
      <xdr:row>153</xdr:row>
      <xdr:rowOff>190500</xdr:rowOff>
    </xdr:to>
    <xdr:pic>
      <xdr:nvPicPr>
        <xdr:cNvPr id="1081" name="Picture 131" descr="AUc_ts_d6-Y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657225" y="196538850"/>
          <a:ext cx="5238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131</xdr:row>
      <xdr:rowOff>19050</xdr:rowOff>
    </xdr:from>
    <xdr:to>
      <xdr:col>1</xdr:col>
      <xdr:colOff>590550</xdr:colOff>
      <xdr:row>131</xdr:row>
      <xdr:rowOff>190500</xdr:rowOff>
    </xdr:to>
    <xdr:pic>
      <xdr:nvPicPr>
        <xdr:cNvPr id="1082" name="Picture 132" descr="ndmwnvqwAmc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666750" y="164382450"/>
          <a:ext cx="514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124</xdr:row>
      <xdr:rowOff>123825</xdr:rowOff>
    </xdr:from>
    <xdr:to>
      <xdr:col>1</xdr:col>
      <xdr:colOff>590550</xdr:colOff>
      <xdr:row>124</xdr:row>
      <xdr:rowOff>190500</xdr:rowOff>
    </xdr:to>
    <xdr:pic>
      <xdr:nvPicPr>
        <xdr:cNvPr id="1083" name="Picture 133" descr="aT1xcU-cO1Q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666750" y="155514675"/>
          <a:ext cx="51435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151</xdr:row>
      <xdr:rowOff>19050</xdr:rowOff>
    </xdr:from>
    <xdr:to>
      <xdr:col>1</xdr:col>
      <xdr:colOff>590550</xdr:colOff>
      <xdr:row>151</xdr:row>
      <xdr:rowOff>190500</xdr:rowOff>
    </xdr:to>
    <xdr:pic>
      <xdr:nvPicPr>
        <xdr:cNvPr id="1084" name="Picture 135" descr="BuyyGkTpkvM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638175" y="193338450"/>
          <a:ext cx="542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145</xdr:row>
      <xdr:rowOff>104775</xdr:rowOff>
    </xdr:from>
    <xdr:to>
      <xdr:col>1</xdr:col>
      <xdr:colOff>590550</xdr:colOff>
      <xdr:row>145</xdr:row>
      <xdr:rowOff>190500</xdr:rowOff>
    </xdr:to>
    <xdr:pic>
      <xdr:nvPicPr>
        <xdr:cNvPr id="1085" name="Picture 136" descr="6V6nZLoOkfE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666750" y="185623200"/>
          <a:ext cx="5143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141</xdr:row>
      <xdr:rowOff>95250</xdr:rowOff>
    </xdr:from>
    <xdr:to>
      <xdr:col>1</xdr:col>
      <xdr:colOff>590550</xdr:colOff>
      <xdr:row>141</xdr:row>
      <xdr:rowOff>190500</xdr:rowOff>
    </xdr:to>
    <xdr:pic>
      <xdr:nvPicPr>
        <xdr:cNvPr id="1086" name="Picture 137" descr="2ZP0emlrtc8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676275" y="179631975"/>
          <a:ext cx="504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142</xdr:row>
      <xdr:rowOff>19050</xdr:rowOff>
    </xdr:from>
    <xdr:to>
      <xdr:col>1</xdr:col>
      <xdr:colOff>590550</xdr:colOff>
      <xdr:row>142</xdr:row>
      <xdr:rowOff>190500</xdr:rowOff>
    </xdr:to>
    <xdr:pic>
      <xdr:nvPicPr>
        <xdr:cNvPr id="1087" name="Picture 138" descr="o90fx79prxM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676275" y="181051200"/>
          <a:ext cx="504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128</xdr:row>
      <xdr:rowOff>19050</xdr:rowOff>
    </xdr:from>
    <xdr:to>
      <xdr:col>1</xdr:col>
      <xdr:colOff>590550</xdr:colOff>
      <xdr:row>128</xdr:row>
      <xdr:rowOff>190500</xdr:rowOff>
    </xdr:to>
    <xdr:pic>
      <xdr:nvPicPr>
        <xdr:cNvPr id="1088" name="Picture 139" descr="D9qfMP3G-3Y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771525" y="160896300"/>
          <a:ext cx="4095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109</xdr:row>
      <xdr:rowOff>38100</xdr:rowOff>
    </xdr:from>
    <xdr:to>
      <xdr:col>1</xdr:col>
      <xdr:colOff>590550</xdr:colOff>
      <xdr:row>109</xdr:row>
      <xdr:rowOff>190500</xdr:rowOff>
    </xdr:to>
    <xdr:pic>
      <xdr:nvPicPr>
        <xdr:cNvPr id="1089" name="Picture 140" descr="OC3y3sGtIkY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676275" y="135426450"/>
          <a:ext cx="504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137</xdr:row>
      <xdr:rowOff>47625</xdr:rowOff>
    </xdr:from>
    <xdr:to>
      <xdr:col>1</xdr:col>
      <xdr:colOff>590550</xdr:colOff>
      <xdr:row>137</xdr:row>
      <xdr:rowOff>190500</xdr:rowOff>
    </xdr:to>
    <xdr:pic>
      <xdr:nvPicPr>
        <xdr:cNvPr id="1090" name="Picture 141" descr="de2gLS9JaPw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657225" y="173154975"/>
          <a:ext cx="5238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154</xdr:row>
      <xdr:rowOff>57150</xdr:rowOff>
    </xdr:from>
    <xdr:to>
      <xdr:col>1</xdr:col>
      <xdr:colOff>590550</xdr:colOff>
      <xdr:row>154</xdr:row>
      <xdr:rowOff>190500</xdr:rowOff>
    </xdr:to>
    <xdr:pic>
      <xdr:nvPicPr>
        <xdr:cNvPr id="1091" name="Picture 142" descr="xVGF409ggZg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666750" y="198091425"/>
          <a:ext cx="514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125</xdr:row>
      <xdr:rowOff>9525</xdr:rowOff>
    </xdr:from>
    <xdr:to>
      <xdr:col>1</xdr:col>
      <xdr:colOff>590550</xdr:colOff>
      <xdr:row>125</xdr:row>
      <xdr:rowOff>190500</xdr:rowOff>
    </xdr:to>
    <xdr:pic>
      <xdr:nvPicPr>
        <xdr:cNvPr id="1092" name="Picture 144" descr="g97xToq9tsY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666750" y="156648150"/>
          <a:ext cx="5143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112</xdr:row>
      <xdr:rowOff>123825</xdr:rowOff>
    </xdr:from>
    <xdr:to>
      <xdr:col>1</xdr:col>
      <xdr:colOff>590550</xdr:colOff>
      <xdr:row>112</xdr:row>
      <xdr:rowOff>190500</xdr:rowOff>
    </xdr:to>
    <xdr:pic>
      <xdr:nvPicPr>
        <xdr:cNvPr id="1093" name="Picture 145" descr="A2OLW-jMdRM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714375" y="138998325"/>
          <a:ext cx="4667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126</xdr:row>
      <xdr:rowOff>76200</xdr:rowOff>
    </xdr:from>
    <xdr:to>
      <xdr:col>1</xdr:col>
      <xdr:colOff>590550</xdr:colOff>
      <xdr:row>126</xdr:row>
      <xdr:rowOff>190500</xdr:rowOff>
    </xdr:to>
    <xdr:pic>
      <xdr:nvPicPr>
        <xdr:cNvPr id="1094" name="Picture 146" descr="NHEB2EFrM9M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04850" y="157962600"/>
          <a:ext cx="4762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127</xdr:row>
      <xdr:rowOff>95250</xdr:rowOff>
    </xdr:from>
    <xdr:to>
      <xdr:col>1</xdr:col>
      <xdr:colOff>590550</xdr:colOff>
      <xdr:row>127</xdr:row>
      <xdr:rowOff>190500</xdr:rowOff>
    </xdr:to>
    <xdr:pic>
      <xdr:nvPicPr>
        <xdr:cNvPr id="1095" name="Picture 148" descr="93wsfXYxhgk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666750" y="159477075"/>
          <a:ext cx="514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147</xdr:row>
      <xdr:rowOff>123825</xdr:rowOff>
    </xdr:from>
    <xdr:to>
      <xdr:col>1</xdr:col>
      <xdr:colOff>590550</xdr:colOff>
      <xdr:row>147</xdr:row>
      <xdr:rowOff>190500</xdr:rowOff>
    </xdr:to>
    <xdr:pic>
      <xdr:nvPicPr>
        <xdr:cNvPr id="1096" name="Picture 149" descr="SSkeHpfZ-1Q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638175" y="188633100"/>
          <a:ext cx="5429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146</xdr:row>
      <xdr:rowOff>123825</xdr:rowOff>
    </xdr:from>
    <xdr:to>
      <xdr:col>1</xdr:col>
      <xdr:colOff>590550</xdr:colOff>
      <xdr:row>146</xdr:row>
      <xdr:rowOff>190500</xdr:rowOff>
    </xdr:to>
    <xdr:pic>
      <xdr:nvPicPr>
        <xdr:cNvPr id="1097" name="Picture 151" descr="DlValCBQenk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676275" y="187137675"/>
          <a:ext cx="5048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116</xdr:row>
      <xdr:rowOff>66675</xdr:rowOff>
    </xdr:from>
    <xdr:to>
      <xdr:col>1</xdr:col>
      <xdr:colOff>590550</xdr:colOff>
      <xdr:row>116</xdr:row>
      <xdr:rowOff>190500</xdr:rowOff>
    </xdr:to>
    <xdr:pic>
      <xdr:nvPicPr>
        <xdr:cNvPr id="1098" name="Picture 153" descr="Yf5kqhtjS8Q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695325" y="144722850"/>
          <a:ext cx="4857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143</xdr:row>
      <xdr:rowOff>57150</xdr:rowOff>
    </xdr:from>
    <xdr:to>
      <xdr:col>1</xdr:col>
      <xdr:colOff>590550</xdr:colOff>
      <xdr:row>143</xdr:row>
      <xdr:rowOff>190500</xdr:rowOff>
    </xdr:to>
    <xdr:pic>
      <xdr:nvPicPr>
        <xdr:cNvPr id="1099" name="Picture 154" descr="B6rAduFKZaY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657225" y="182584725"/>
          <a:ext cx="5238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144</xdr:row>
      <xdr:rowOff>28575</xdr:rowOff>
    </xdr:from>
    <xdr:to>
      <xdr:col>1</xdr:col>
      <xdr:colOff>590550</xdr:colOff>
      <xdr:row>144</xdr:row>
      <xdr:rowOff>190500</xdr:rowOff>
    </xdr:to>
    <xdr:pic>
      <xdr:nvPicPr>
        <xdr:cNvPr id="1100" name="Picture 155" descr="slqDqlX2HqQ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695325" y="184051575"/>
          <a:ext cx="485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93</xdr:row>
      <xdr:rowOff>66675</xdr:rowOff>
    </xdr:from>
    <xdr:to>
      <xdr:col>1</xdr:col>
      <xdr:colOff>590550</xdr:colOff>
      <xdr:row>93</xdr:row>
      <xdr:rowOff>190500</xdr:rowOff>
    </xdr:to>
    <xdr:pic>
      <xdr:nvPicPr>
        <xdr:cNvPr id="1101" name="Picture 158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704850" y="115290600"/>
          <a:ext cx="4762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92</xdr:row>
      <xdr:rowOff>57150</xdr:rowOff>
    </xdr:from>
    <xdr:to>
      <xdr:col>1</xdr:col>
      <xdr:colOff>590550</xdr:colOff>
      <xdr:row>92</xdr:row>
      <xdr:rowOff>190500</xdr:rowOff>
    </xdr:to>
    <xdr:pic>
      <xdr:nvPicPr>
        <xdr:cNvPr id="1102" name="Picture 169" descr="q9ybBMqcbH8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704850" y="114119025"/>
          <a:ext cx="4762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118</xdr:row>
      <xdr:rowOff>28575</xdr:rowOff>
    </xdr:from>
    <xdr:to>
      <xdr:col>1</xdr:col>
      <xdr:colOff>590550</xdr:colOff>
      <xdr:row>118</xdr:row>
      <xdr:rowOff>190500</xdr:rowOff>
    </xdr:to>
    <xdr:pic>
      <xdr:nvPicPr>
        <xdr:cNvPr id="1103" name="Picture 170" descr="Be30nJbr9rQ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33425" y="147637500"/>
          <a:ext cx="4476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113</xdr:row>
      <xdr:rowOff>95250</xdr:rowOff>
    </xdr:from>
    <xdr:to>
      <xdr:col>1</xdr:col>
      <xdr:colOff>590550</xdr:colOff>
      <xdr:row>113</xdr:row>
      <xdr:rowOff>190500</xdr:rowOff>
    </xdr:to>
    <xdr:pic>
      <xdr:nvPicPr>
        <xdr:cNvPr id="1104" name="Picture 171" descr="D4_3N96Mu_o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714375" y="140484225"/>
          <a:ext cx="466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95</xdr:row>
      <xdr:rowOff>66675</xdr:rowOff>
    </xdr:from>
    <xdr:to>
      <xdr:col>1</xdr:col>
      <xdr:colOff>590550</xdr:colOff>
      <xdr:row>95</xdr:row>
      <xdr:rowOff>190500</xdr:rowOff>
    </xdr:to>
    <xdr:pic>
      <xdr:nvPicPr>
        <xdr:cNvPr id="1105" name="Picture 173" descr="tK7f-0OhBOc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638175" y="117881400"/>
          <a:ext cx="5429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99</xdr:row>
      <xdr:rowOff>47625</xdr:rowOff>
    </xdr:from>
    <xdr:to>
      <xdr:col>1</xdr:col>
      <xdr:colOff>590550</xdr:colOff>
      <xdr:row>99</xdr:row>
      <xdr:rowOff>190500</xdr:rowOff>
    </xdr:to>
    <xdr:pic>
      <xdr:nvPicPr>
        <xdr:cNvPr id="1106" name="Picture 175" descr="GCWQqNAZLRU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666750" y="122853450"/>
          <a:ext cx="5143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103</xdr:row>
      <xdr:rowOff>104775</xdr:rowOff>
    </xdr:from>
    <xdr:to>
      <xdr:col>1</xdr:col>
      <xdr:colOff>590550</xdr:colOff>
      <xdr:row>103</xdr:row>
      <xdr:rowOff>200025</xdr:rowOff>
    </xdr:to>
    <xdr:pic>
      <xdr:nvPicPr>
        <xdr:cNvPr id="1107" name="Picture 177" descr="5Zoo75hs_B8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647700" y="127949325"/>
          <a:ext cx="5334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97</xdr:row>
      <xdr:rowOff>76200</xdr:rowOff>
    </xdr:from>
    <xdr:to>
      <xdr:col>1</xdr:col>
      <xdr:colOff>590550</xdr:colOff>
      <xdr:row>97</xdr:row>
      <xdr:rowOff>190500</xdr:rowOff>
    </xdr:to>
    <xdr:pic>
      <xdr:nvPicPr>
        <xdr:cNvPr id="1108" name="Picture 182" descr="NZ3LUQvTTs0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695325" y="120481725"/>
          <a:ext cx="4857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96</xdr:row>
      <xdr:rowOff>85725</xdr:rowOff>
    </xdr:from>
    <xdr:to>
      <xdr:col>1</xdr:col>
      <xdr:colOff>590550</xdr:colOff>
      <xdr:row>96</xdr:row>
      <xdr:rowOff>190500</xdr:rowOff>
    </xdr:to>
    <xdr:pic>
      <xdr:nvPicPr>
        <xdr:cNvPr id="1109" name="Picture 185" descr="RDpKs5BdvmA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638175" y="119195850"/>
          <a:ext cx="5429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101</xdr:row>
      <xdr:rowOff>28575</xdr:rowOff>
    </xdr:from>
    <xdr:to>
      <xdr:col>1</xdr:col>
      <xdr:colOff>590550</xdr:colOff>
      <xdr:row>101</xdr:row>
      <xdr:rowOff>190500</xdr:rowOff>
    </xdr:to>
    <xdr:pic>
      <xdr:nvPicPr>
        <xdr:cNvPr id="1110" name="Picture 188" descr="tWmc07ThPhI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676275" y="125425200"/>
          <a:ext cx="5048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9</xdr:row>
      <xdr:rowOff>219075</xdr:rowOff>
    </xdr:from>
    <xdr:to>
      <xdr:col>1</xdr:col>
      <xdr:colOff>590550</xdr:colOff>
      <xdr:row>9</xdr:row>
      <xdr:rowOff>219075</xdr:rowOff>
    </xdr:to>
    <xdr:pic>
      <xdr:nvPicPr>
        <xdr:cNvPr id="1111" name="Picture 190" descr="YBuOF2mUnt4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695325" y="1069657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94</xdr:row>
      <xdr:rowOff>95250</xdr:rowOff>
    </xdr:from>
    <xdr:to>
      <xdr:col>1</xdr:col>
      <xdr:colOff>590550</xdr:colOff>
      <xdr:row>94</xdr:row>
      <xdr:rowOff>190500</xdr:rowOff>
    </xdr:to>
    <xdr:pic>
      <xdr:nvPicPr>
        <xdr:cNvPr id="1112" name="Picture 198" descr="DlY2QfEQnAo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647700" y="116614575"/>
          <a:ext cx="5334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31</xdr:row>
      <xdr:rowOff>28575</xdr:rowOff>
    </xdr:from>
    <xdr:to>
      <xdr:col>1</xdr:col>
      <xdr:colOff>590550</xdr:colOff>
      <xdr:row>31</xdr:row>
      <xdr:rowOff>190500</xdr:rowOff>
    </xdr:to>
    <xdr:pic>
      <xdr:nvPicPr>
        <xdr:cNvPr id="1113" name="Picture 199" descr="Jtihykw56k4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666750" y="34509075"/>
          <a:ext cx="5143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34</xdr:row>
      <xdr:rowOff>228600</xdr:rowOff>
    </xdr:from>
    <xdr:to>
      <xdr:col>1</xdr:col>
      <xdr:colOff>590550</xdr:colOff>
      <xdr:row>34</xdr:row>
      <xdr:rowOff>228600</xdr:rowOff>
    </xdr:to>
    <xdr:pic>
      <xdr:nvPicPr>
        <xdr:cNvPr id="1114" name="Рисунок 139" descr="https://pp.vk.me/c630422/v630422963/20ab4/8HWmQOyZJDs.jpg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742950" y="382524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46</xdr:row>
      <xdr:rowOff>47625</xdr:rowOff>
    </xdr:from>
    <xdr:to>
      <xdr:col>1</xdr:col>
      <xdr:colOff>1447800</xdr:colOff>
      <xdr:row>46</xdr:row>
      <xdr:rowOff>1400175</xdr:rowOff>
    </xdr:to>
    <xdr:pic>
      <xdr:nvPicPr>
        <xdr:cNvPr id="1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8175" y="53835300"/>
          <a:ext cx="14001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104</xdr:row>
      <xdr:rowOff>28575</xdr:rowOff>
    </xdr:from>
    <xdr:to>
      <xdr:col>1</xdr:col>
      <xdr:colOff>1562100</xdr:colOff>
      <xdr:row>104</xdr:row>
      <xdr:rowOff>1343025</xdr:rowOff>
    </xdr:to>
    <xdr:pic>
      <xdr:nvPicPr>
        <xdr:cNvPr id="11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7674" t="2904" r="10233" b="8362"/>
        <a:stretch>
          <a:fillRect/>
        </a:stretch>
      </xdr:blipFill>
      <xdr:spPr bwMode="auto">
        <a:xfrm>
          <a:off x="676275" y="129035175"/>
          <a:ext cx="1476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89</xdr:row>
      <xdr:rowOff>76200</xdr:rowOff>
    </xdr:from>
    <xdr:to>
      <xdr:col>1</xdr:col>
      <xdr:colOff>1562100</xdr:colOff>
      <xdr:row>89</xdr:row>
      <xdr:rowOff>1143000</xdr:rowOff>
    </xdr:to>
    <xdr:pic>
      <xdr:nvPicPr>
        <xdr:cNvPr id="11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431" t="8757" r="6961"/>
        <a:stretch>
          <a:fillRect/>
        </a:stretch>
      </xdr:blipFill>
      <xdr:spPr bwMode="auto">
        <a:xfrm>
          <a:off x="638175" y="11059477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</xdr:row>
      <xdr:rowOff>66675</xdr:rowOff>
    </xdr:from>
    <xdr:to>
      <xdr:col>1</xdr:col>
      <xdr:colOff>1562100</xdr:colOff>
      <xdr:row>4</xdr:row>
      <xdr:rowOff>1419225</xdr:rowOff>
    </xdr:to>
    <xdr:pic>
      <xdr:nvPicPr>
        <xdr:cNvPr id="11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7497" r="13750"/>
        <a:stretch>
          <a:fillRect/>
        </a:stretch>
      </xdr:blipFill>
      <xdr:spPr bwMode="auto">
        <a:xfrm>
          <a:off x="647700" y="3876675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42</xdr:row>
      <xdr:rowOff>76200</xdr:rowOff>
    </xdr:from>
    <xdr:to>
      <xdr:col>1</xdr:col>
      <xdr:colOff>1609725</xdr:colOff>
      <xdr:row>42</xdr:row>
      <xdr:rowOff>1247775</xdr:rowOff>
    </xdr:to>
    <xdr:pic>
      <xdr:nvPicPr>
        <xdr:cNvPr id="11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15709" t="6779" r="6514" b="10918"/>
        <a:stretch>
          <a:fillRect/>
        </a:stretch>
      </xdr:blipFill>
      <xdr:spPr bwMode="auto">
        <a:xfrm>
          <a:off x="676275" y="48301275"/>
          <a:ext cx="15240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72</xdr:row>
      <xdr:rowOff>28575</xdr:rowOff>
    </xdr:from>
    <xdr:to>
      <xdr:col>1</xdr:col>
      <xdr:colOff>1562100</xdr:colOff>
      <xdr:row>72</xdr:row>
      <xdr:rowOff>1057275</xdr:rowOff>
    </xdr:to>
    <xdr:pic>
      <xdr:nvPicPr>
        <xdr:cNvPr id="112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15144" t="7967" r="4124" b="9709"/>
        <a:stretch>
          <a:fillRect/>
        </a:stretch>
      </xdr:blipFill>
      <xdr:spPr bwMode="auto">
        <a:xfrm>
          <a:off x="657225" y="89125425"/>
          <a:ext cx="1495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73</xdr:row>
      <xdr:rowOff>66675</xdr:rowOff>
    </xdr:from>
    <xdr:to>
      <xdr:col>1</xdr:col>
      <xdr:colOff>1552575</xdr:colOff>
      <xdr:row>73</xdr:row>
      <xdr:rowOff>1143000</xdr:rowOff>
    </xdr:to>
    <xdr:pic>
      <xdr:nvPicPr>
        <xdr:cNvPr id="11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4764" t="13643" r="11186" b="17799"/>
        <a:stretch>
          <a:fillRect/>
        </a:stretch>
      </xdr:blipFill>
      <xdr:spPr bwMode="auto">
        <a:xfrm>
          <a:off x="628650" y="90316050"/>
          <a:ext cx="1514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75</xdr:row>
      <xdr:rowOff>123825</xdr:rowOff>
    </xdr:from>
    <xdr:to>
      <xdr:col>1</xdr:col>
      <xdr:colOff>1552575</xdr:colOff>
      <xdr:row>75</xdr:row>
      <xdr:rowOff>1209675</xdr:rowOff>
    </xdr:to>
    <xdr:pic>
      <xdr:nvPicPr>
        <xdr:cNvPr id="11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0616" t="10635" r="6705" b="18449"/>
        <a:stretch>
          <a:fillRect/>
        </a:stretch>
      </xdr:blipFill>
      <xdr:spPr bwMode="auto">
        <a:xfrm>
          <a:off x="628650" y="92773500"/>
          <a:ext cx="15144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</xdr:row>
      <xdr:rowOff>28575</xdr:rowOff>
    </xdr:from>
    <xdr:to>
      <xdr:col>1</xdr:col>
      <xdr:colOff>1590675</xdr:colOff>
      <xdr:row>3</xdr:row>
      <xdr:rowOff>1276350</xdr:rowOff>
    </xdr:to>
    <xdr:pic>
      <xdr:nvPicPr>
        <xdr:cNvPr id="11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20000" t="2238" r="7454" b="2"/>
        <a:stretch>
          <a:fillRect/>
        </a:stretch>
      </xdr:blipFill>
      <xdr:spPr bwMode="auto">
        <a:xfrm>
          <a:off x="638175" y="2695575"/>
          <a:ext cx="15430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71</xdr:row>
      <xdr:rowOff>47625</xdr:rowOff>
    </xdr:from>
    <xdr:to>
      <xdr:col>1</xdr:col>
      <xdr:colOff>1600200</xdr:colOff>
      <xdr:row>71</xdr:row>
      <xdr:rowOff>1152525</xdr:rowOff>
    </xdr:to>
    <xdr:pic>
      <xdr:nvPicPr>
        <xdr:cNvPr id="112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8039" t="15189" r="14902" b="17065"/>
        <a:stretch>
          <a:fillRect/>
        </a:stretch>
      </xdr:blipFill>
      <xdr:spPr bwMode="auto">
        <a:xfrm>
          <a:off x="638175" y="87925275"/>
          <a:ext cx="15525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83</xdr:row>
      <xdr:rowOff>47625</xdr:rowOff>
    </xdr:from>
    <xdr:to>
      <xdr:col>1</xdr:col>
      <xdr:colOff>1476375</xdr:colOff>
      <xdr:row>83</xdr:row>
      <xdr:rowOff>1238250</xdr:rowOff>
    </xdr:to>
    <xdr:pic>
      <xdr:nvPicPr>
        <xdr:cNvPr id="112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17358" t="14989" r="21887" b="10185"/>
        <a:stretch>
          <a:fillRect/>
        </a:stretch>
      </xdr:blipFill>
      <xdr:spPr bwMode="auto">
        <a:xfrm>
          <a:off x="638175" y="103117650"/>
          <a:ext cx="1428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49</xdr:row>
      <xdr:rowOff>276225</xdr:rowOff>
    </xdr:from>
    <xdr:to>
      <xdr:col>1</xdr:col>
      <xdr:colOff>1495425</xdr:colOff>
      <xdr:row>49</xdr:row>
      <xdr:rowOff>1104900</xdr:rowOff>
    </xdr:to>
    <xdr:pic>
      <xdr:nvPicPr>
        <xdr:cNvPr id="112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1357" t="18996" r="5022" b="21982"/>
        <a:stretch>
          <a:fillRect/>
        </a:stretch>
      </xdr:blipFill>
      <xdr:spPr bwMode="auto">
        <a:xfrm>
          <a:off x="771525" y="57912000"/>
          <a:ext cx="1314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52</xdr:row>
      <xdr:rowOff>19050</xdr:rowOff>
    </xdr:from>
    <xdr:to>
      <xdr:col>1</xdr:col>
      <xdr:colOff>1495425</xdr:colOff>
      <xdr:row>52</xdr:row>
      <xdr:rowOff>1333500</xdr:rowOff>
    </xdr:to>
    <xdr:pic>
      <xdr:nvPicPr>
        <xdr:cNvPr id="112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47700" y="61598175"/>
          <a:ext cx="14382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</xdr:row>
      <xdr:rowOff>47625</xdr:rowOff>
    </xdr:from>
    <xdr:to>
      <xdr:col>1</xdr:col>
      <xdr:colOff>1485900</xdr:colOff>
      <xdr:row>6</xdr:row>
      <xdr:rowOff>1266825</xdr:rowOff>
    </xdr:to>
    <xdr:pic>
      <xdr:nvPicPr>
        <xdr:cNvPr id="112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38175" y="6143625"/>
          <a:ext cx="1438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56</xdr:row>
      <xdr:rowOff>19050</xdr:rowOff>
    </xdr:from>
    <xdr:to>
      <xdr:col>1</xdr:col>
      <xdr:colOff>1485900</xdr:colOff>
      <xdr:row>56</xdr:row>
      <xdr:rowOff>1200150</xdr:rowOff>
    </xdr:to>
    <xdr:pic>
      <xdr:nvPicPr>
        <xdr:cNvPr id="112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t="8000" b="9332"/>
        <a:stretch>
          <a:fillRect/>
        </a:stretch>
      </xdr:blipFill>
      <xdr:spPr bwMode="auto">
        <a:xfrm>
          <a:off x="647700" y="67198875"/>
          <a:ext cx="142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57</xdr:row>
      <xdr:rowOff>95250</xdr:rowOff>
    </xdr:from>
    <xdr:to>
      <xdr:col>1</xdr:col>
      <xdr:colOff>1485900</xdr:colOff>
      <xdr:row>57</xdr:row>
      <xdr:rowOff>1228725</xdr:rowOff>
    </xdr:to>
    <xdr:pic>
      <xdr:nvPicPr>
        <xdr:cNvPr id="113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14410" t="27043" r="15034" b="13890"/>
        <a:stretch>
          <a:fillRect/>
        </a:stretch>
      </xdr:blipFill>
      <xdr:spPr bwMode="auto">
        <a:xfrm>
          <a:off x="638175" y="68608575"/>
          <a:ext cx="14382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</xdr:row>
      <xdr:rowOff>28575</xdr:rowOff>
    </xdr:from>
    <xdr:to>
      <xdr:col>1</xdr:col>
      <xdr:colOff>1543050</xdr:colOff>
      <xdr:row>2</xdr:row>
      <xdr:rowOff>1133475</xdr:rowOff>
    </xdr:to>
    <xdr:pic>
      <xdr:nvPicPr>
        <xdr:cNvPr id="113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19125" y="1552575"/>
          <a:ext cx="15144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</xdr:row>
      <xdr:rowOff>47625</xdr:rowOff>
    </xdr:from>
    <xdr:to>
      <xdr:col>1</xdr:col>
      <xdr:colOff>1466850</xdr:colOff>
      <xdr:row>8</xdr:row>
      <xdr:rowOff>1447800</xdr:rowOff>
    </xdr:to>
    <xdr:pic>
      <xdr:nvPicPr>
        <xdr:cNvPr id="113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57225" y="9191625"/>
          <a:ext cx="1400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9</xdr:row>
      <xdr:rowOff>1333500</xdr:rowOff>
    </xdr:from>
    <xdr:to>
      <xdr:col>1</xdr:col>
      <xdr:colOff>1304925</xdr:colOff>
      <xdr:row>10</xdr:row>
      <xdr:rowOff>942975</xdr:rowOff>
    </xdr:to>
    <xdr:pic>
      <xdr:nvPicPr>
        <xdr:cNvPr id="113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66750" y="11811000"/>
          <a:ext cx="1228725" cy="942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80</xdr:row>
      <xdr:rowOff>0</xdr:rowOff>
    </xdr:from>
    <xdr:to>
      <xdr:col>1</xdr:col>
      <xdr:colOff>1390650</xdr:colOff>
      <xdr:row>80</xdr:row>
      <xdr:rowOff>0</xdr:rowOff>
    </xdr:to>
    <xdr:pic>
      <xdr:nvPicPr>
        <xdr:cNvPr id="113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04850" y="99126675"/>
          <a:ext cx="1276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90</xdr:row>
      <xdr:rowOff>9525</xdr:rowOff>
    </xdr:from>
    <xdr:to>
      <xdr:col>1</xdr:col>
      <xdr:colOff>1581150</xdr:colOff>
      <xdr:row>90</xdr:row>
      <xdr:rowOff>1076325</xdr:rowOff>
    </xdr:to>
    <xdr:pic>
      <xdr:nvPicPr>
        <xdr:cNvPr id="113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04850" y="111747300"/>
          <a:ext cx="1466850" cy="10668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74</xdr:row>
      <xdr:rowOff>38100</xdr:rowOff>
    </xdr:from>
    <xdr:to>
      <xdr:col>1</xdr:col>
      <xdr:colOff>1552575</xdr:colOff>
      <xdr:row>74</xdr:row>
      <xdr:rowOff>1047750</xdr:rowOff>
    </xdr:to>
    <xdr:pic>
      <xdr:nvPicPr>
        <xdr:cNvPr id="113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28650" y="91544775"/>
          <a:ext cx="1514475" cy="1009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37</xdr:row>
      <xdr:rowOff>57150</xdr:rowOff>
    </xdr:from>
    <xdr:to>
      <xdr:col>1</xdr:col>
      <xdr:colOff>1562100</xdr:colOff>
      <xdr:row>37</xdr:row>
      <xdr:rowOff>1304925</xdr:rowOff>
    </xdr:to>
    <xdr:pic>
      <xdr:nvPicPr>
        <xdr:cNvPr id="113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09600" y="41967150"/>
          <a:ext cx="1543050" cy="1247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40</xdr:row>
      <xdr:rowOff>47625</xdr:rowOff>
    </xdr:from>
    <xdr:to>
      <xdr:col>1</xdr:col>
      <xdr:colOff>1562100</xdr:colOff>
      <xdr:row>40</xdr:row>
      <xdr:rowOff>1019175</xdr:rowOff>
    </xdr:to>
    <xdr:pic>
      <xdr:nvPicPr>
        <xdr:cNvPr id="113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57225" y="46062900"/>
          <a:ext cx="1495425" cy="971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14</xdr:row>
      <xdr:rowOff>85725</xdr:rowOff>
    </xdr:from>
    <xdr:to>
      <xdr:col>1</xdr:col>
      <xdr:colOff>1438275</xdr:colOff>
      <xdr:row>14</xdr:row>
      <xdr:rowOff>1066800</xdr:rowOff>
    </xdr:to>
    <xdr:pic>
      <xdr:nvPicPr>
        <xdr:cNvPr id="113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704850" y="15706725"/>
          <a:ext cx="1323975" cy="981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11</xdr:row>
      <xdr:rowOff>38100</xdr:rowOff>
    </xdr:from>
    <xdr:to>
      <xdr:col>1</xdr:col>
      <xdr:colOff>1485900</xdr:colOff>
      <xdr:row>11</xdr:row>
      <xdr:rowOff>885825</xdr:rowOff>
    </xdr:to>
    <xdr:pic>
      <xdr:nvPicPr>
        <xdr:cNvPr id="114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676275" y="12801600"/>
          <a:ext cx="1400175" cy="847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30</xdr:row>
      <xdr:rowOff>9525</xdr:rowOff>
    </xdr:from>
    <xdr:to>
      <xdr:col>1</xdr:col>
      <xdr:colOff>590550</xdr:colOff>
      <xdr:row>30</xdr:row>
      <xdr:rowOff>190500</xdr:rowOff>
    </xdr:to>
    <xdr:pic>
      <xdr:nvPicPr>
        <xdr:cNvPr id="1141" name="Picture 84" descr="KVutl_GXejA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95325" y="33347025"/>
          <a:ext cx="4857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98</xdr:row>
      <xdr:rowOff>85725</xdr:rowOff>
    </xdr:from>
    <xdr:to>
      <xdr:col>1</xdr:col>
      <xdr:colOff>590550</xdr:colOff>
      <xdr:row>98</xdr:row>
      <xdr:rowOff>190500</xdr:rowOff>
    </xdr:to>
    <xdr:pic>
      <xdr:nvPicPr>
        <xdr:cNvPr id="1142" name="Picture 93" descr="aJGfTvL83c8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04850" y="121786650"/>
          <a:ext cx="476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120</xdr:row>
      <xdr:rowOff>85725</xdr:rowOff>
    </xdr:from>
    <xdr:to>
      <xdr:col>1</xdr:col>
      <xdr:colOff>590550</xdr:colOff>
      <xdr:row>120</xdr:row>
      <xdr:rowOff>190500</xdr:rowOff>
    </xdr:to>
    <xdr:pic>
      <xdr:nvPicPr>
        <xdr:cNvPr id="1143" name="Picture 94" descr="7FyPSo7q7XM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19125" y="150523575"/>
          <a:ext cx="5619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121</xdr:row>
      <xdr:rowOff>95250</xdr:rowOff>
    </xdr:from>
    <xdr:to>
      <xdr:col>1</xdr:col>
      <xdr:colOff>590550</xdr:colOff>
      <xdr:row>121</xdr:row>
      <xdr:rowOff>190500</xdr:rowOff>
    </xdr:to>
    <xdr:pic>
      <xdr:nvPicPr>
        <xdr:cNvPr id="1144" name="Picture 95" descr="q2BOxnshie4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4850" y="151809450"/>
          <a:ext cx="476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114</xdr:row>
      <xdr:rowOff>104775</xdr:rowOff>
    </xdr:from>
    <xdr:to>
      <xdr:col>1</xdr:col>
      <xdr:colOff>590550</xdr:colOff>
      <xdr:row>114</xdr:row>
      <xdr:rowOff>190500</xdr:rowOff>
    </xdr:to>
    <xdr:pic>
      <xdr:nvPicPr>
        <xdr:cNvPr id="1145" name="Picture 96" descr="HnneD1bvRnk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85800" y="141808200"/>
          <a:ext cx="4953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123</xdr:row>
      <xdr:rowOff>57150</xdr:rowOff>
    </xdr:from>
    <xdr:to>
      <xdr:col>1</xdr:col>
      <xdr:colOff>590550</xdr:colOff>
      <xdr:row>123</xdr:row>
      <xdr:rowOff>190500</xdr:rowOff>
    </xdr:to>
    <xdr:pic>
      <xdr:nvPicPr>
        <xdr:cNvPr id="1146" name="Picture 99" descr="Ihb9KxIjRtQ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23900" y="154266900"/>
          <a:ext cx="4572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100</xdr:row>
      <xdr:rowOff>266700</xdr:rowOff>
    </xdr:from>
    <xdr:to>
      <xdr:col>1</xdr:col>
      <xdr:colOff>590550</xdr:colOff>
      <xdr:row>100</xdr:row>
      <xdr:rowOff>266700</xdr:rowOff>
    </xdr:to>
    <xdr:pic>
      <xdr:nvPicPr>
        <xdr:cNvPr id="1147" name="Picture 100" descr="0-iFF2KSHIQ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04850" y="12417742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117</xdr:row>
      <xdr:rowOff>57150</xdr:rowOff>
    </xdr:from>
    <xdr:to>
      <xdr:col>1</xdr:col>
      <xdr:colOff>590550</xdr:colOff>
      <xdr:row>117</xdr:row>
      <xdr:rowOff>190500</xdr:rowOff>
    </xdr:to>
    <xdr:pic>
      <xdr:nvPicPr>
        <xdr:cNvPr id="1148" name="Picture 102" descr="ZCW0SdzDhQ4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66750" y="146408775"/>
          <a:ext cx="514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115</xdr:row>
      <xdr:rowOff>19050</xdr:rowOff>
    </xdr:from>
    <xdr:to>
      <xdr:col>1</xdr:col>
      <xdr:colOff>590550</xdr:colOff>
      <xdr:row>115</xdr:row>
      <xdr:rowOff>190500</xdr:rowOff>
    </xdr:to>
    <xdr:pic>
      <xdr:nvPicPr>
        <xdr:cNvPr id="1149" name="Picture 103" descr="KJkadgw_bJE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04850" y="143341725"/>
          <a:ext cx="4762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130</xdr:row>
      <xdr:rowOff>76200</xdr:rowOff>
    </xdr:from>
    <xdr:to>
      <xdr:col>1</xdr:col>
      <xdr:colOff>590550</xdr:colOff>
      <xdr:row>130</xdr:row>
      <xdr:rowOff>190500</xdr:rowOff>
    </xdr:to>
    <xdr:pic>
      <xdr:nvPicPr>
        <xdr:cNvPr id="1150" name="Picture 104" descr="_hkAJkITHOY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85800" y="163353750"/>
          <a:ext cx="495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132</xdr:row>
      <xdr:rowOff>104775</xdr:rowOff>
    </xdr:from>
    <xdr:to>
      <xdr:col>1</xdr:col>
      <xdr:colOff>590550</xdr:colOff>
      <xdr:row>132</xdr:row>
      <xdr:rowOff>190500</xdr:rowOff>
    </xdr:to>
    <xdr:pic>
      <xdr:nvPicPr>
        <xdr:cNvPr id="1151" name="Picture 105" descr="i29qs334yIQ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657225" y="165820725"/>
          <a:ext cx="52387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149</xdr:row>
      <xdr:rowOff>57150</xdr:rowOff>
    </xdr:from>
    <xdr:to>
      <xdr:col>1</xdr:col>
      <xdr:colOff>590550</xdr:colOff>
      <xdr:row>149</xdr:row>
      <xdr:rowOff>190500</xdr:rowOff>
    </xdr:to>
    <xdr:pic>
      <xdr:nvPicPr>
        <xdr:cNvPr id="1152" name="Picture 106" descr="WXWatGrFhjM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76275" y="191119125"/>
          <a:ext cx="5048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129</xdr:row>
      <xdr:rowOff>76200</xdr:rowOff>
    </xdr:from>
    <xdr:to>
      <xdr:col>1</xdr:col>
      <xdr:colOff>590550</xdr:colOff>
      <xdr:row>129</xdr:row>
      <xdr:rowOff>190500</xdr:rowOff>
    </xdr:to>
    <xdr:pic>
      <xdr:nvPicPr>
        <xdr:cNvPr id="1153" name="Picture 107" descr="-PBC686kxLM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619125" y="162096450"/>
          <a:ext cx="5619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140</xdr:row>
      <xdr:rowOff>57150</xdr:rowOff>
    </xdr:from>
    <xdr:to>
      <xdr:col>1</xdr:col>
      <xdr:colOff>590550</xdr:colOff>
      <xdr:row>140</xdr:row>
      <xdr:rowOff>190500</xdr:rowOff>
    </xdr:to>
    <xdr:pic>
      <xdr:nvPicPr>
        <xdr:cNvPr id="1154" name="Picture 110" descr="nIBtQlW2Tvg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85800" y="178098450"/>
          <a:ext cx="4953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135</xdr:row>
      <xdr:rowOff>19050</xdr:rowOff>
    </xdr:from>
    <xdr:to>
      <xdr:col>1</xdr:col>
      <xdr:colOff>590550</xdr:colOff>
      <xdr:row>135</xdr:row>
      <xdr:rowOff>190500</xdr:rowOff>
    </xdr:to>
    <xdr:pic>
      <xdr:nvPicPr>
        <xdr:cNvPr id="1155" name="Picture 112" descr="oKsimggqh0k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666750" y="170068875"/>
          <a:ext cx="514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133</xdr:row>
      <xdr:rowOff>28575</xdr:rowOff>
    </xdr:from>
    <xdr:to>
      <xdr:col>1</xdr:col>
      <xdr:colOff>590550</xdr:colOff>
      <xdr:row>133</xdr:row>
      <xdr:rowOff>190500</xdr:rowOff>
    </xdr:to>
    <xdr:pic>
      <xdr:nvPicPr>
        <xdr:cNvPr id="1156" name="Picture 113" descr="M6lkp8c9TV8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14375" y="166954200"/>
          <a:ext cx="4667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139</xdr:row>
      <xdr:rowOff>47625</xdr:rowOff>
    </xdr:from>
    <xdr:to>
      <xdr:col>1</xdr:col>
      <xdr:colOff>590550</xdr:colOff>
      <xdr:row>139</xdr:row>
      <xdr:rowOff>190500</xdr:rowOff>
    </xdr:to>
    <xdr:pic>
      <xdr:nvPicPr>
        <xdr:cNvPr id="1157" name="Picture 114" descr="QhQcAU8y1x8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33425" y="176450625"/>
          <a:ext cx="447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136</xdr:row>
      <xdr:rowOff>66675</xdr:rowOff>
    </xdr:from>
    <xdr:to>
      <xdr:col>1</xdr:col>
      <xdr:colOff>590550</xdr:colOff>
      <xdr:row>136</xdr:row>
      <xdr:rowOff>190500</xdr:rowOff>
    </xdr:to>
    <xdr:pic>
      <xdr:nvPicPr>
        <xdr:cNvPr id="1158" name="Picture 116" descr="eE74Dwu9Suw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85800" y="171488100"/>
          <a:ext cx="4953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134</xdr:row>
      <xdr:rowOff>76200</xdr:rowOff>
    </xdr:from>
    <xdr:to>
      <xdr:col>1</xdr:col>
      <xdr:colOff>590550</xdr:colOff>
      <xdr:row>134</xdr:row>
      <xdr:rowOff>190500</xdr:rowOff>
    </xdr:to>
    <xdr:pic>
      <xdr:nvPicPr>
        <xdr:cNvPr id="1159" name="Picture 117" descr="R1bxWinf8HM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76275" y="168563925"/>
          <a:ext cx="50482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138</xdr:row>
      <xdr:rowOff>66675</xdr:rowOff>
    </xdr:from>
    <xdr:to>
      <xdr:col>1</xdr:col>
      <xdr:colOff>590550</xdr:colOff>
      <xdr:row>138</xdr:row>
      <xdr:rowOff>190500</xdr:rowOff>
    </xdr:to>
    <xdr:pic>
      <xdr:nvPicPr>
        <xdr:cNvPr id="1160" name="Picture 118" descr="GytD3k3CNMU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676275" y="174859950"/>
          <a:ext cx="5048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122</xdr:row>
      <xdr:rowOff>38100</xdr:rowOff>
    </xdr:from>
    <xdr:to>
      <xdr:col>1</xdr:col>
      <xdr:colOff>590550</xdr:colOff>
      <xdr:row>122</xdr:row>
      <xdr:rowOff>190500</xdr:rowOff>
    </xdr:to>
    <xdr:pic>
      <xdr:nvPicPr>
        <xdr:cNvPr id="1161" name="Picture 119" descr="h5KvD7E9PDY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676275" y="153000075"/>
          <a:ext cx="504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152</xdr:row>
      <xdr:rowOff>57150</xdr:rowOff>
    </xdr:from>
    <xdr:to>
      <xdr:col>1</xdr:col>
      <xdr:colOff>590550</xdr:colOff>
      <xdr:row>152</xdr:row>
      <xdr:rowOff>190500</xdr:rowOff>
    </xdr:to>
    <xdr:pic>
      <xdr:nvPicPr>
        <xdr:cNvPr id="1162" name="Picture 121" descr="jD2RYMSzJv0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657225" y="195052950"/>
          <a:ext cx="5238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107</xdr:row>
      <xdr:rowOff>38100</xdr:rowOff>
    </xdr:from>
    <xdr:to>
      <xdr:col>1</xdr:col>
      <xdr:colOff>590550</xdr:colOff>
      <xdr:row>107</xdr:row>
      <xdr:rowOff>200025</xdr:rowOff>
    </xdr:to>
    <xdr:pic>
      <xdr:nvPicPr>
        <xdr:cNvPr id="1163" name="Picture 123" descr="iXQbkmfBYog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676275" y="133102350"/>
          <a:ext cx="5048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108</xdr:row>
      <xdr:rowOff>104775</xdr:rowOff>
    </xdr:from>
    <xdr:to>
      <xdr:col>1</xdr:col>
      <xdr:colOff>590550</xdr:colOff>
      <xdr:row>108</xdr:row>
      <xdr:rowOff>190500</xdr:rowOff>
    </xdr:to>
    <xdr:pic>
      <xdr:nvPicPr>
        <xdr:cNvPr id="1164" name="Picture 125" descr="rw7DCYGjwCA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695325" y="134331075"/>
          <a:ext cx="48577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150</xdr:row>
      <xdr:rowOff>66675</xdr:rowOff>
    </xdr:from>
    <xdr:to>
      <xdr:col>1</xdr:col>
      <xdr:colOff>590550</xdr:colOff>
      <xdr:row>150</xdr:row>
      <xdr:rowOff>190500</xdr:rowOff>
    </xdr:to>
    <xdr:pic>
      <xdr:nvPicPr>
        <xdr:cNvPr id="1165" name="Picture 127" descr="0Z6njB2s9CU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04850" y="192204975"/>
          <a:ext cx="4762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119</xdr:row>
      <xdr:rowOff>57150</xdr:rowOff>
    </xdr:from>
    <xdr:to>
      <xdr:col>1</xdr:col>
      <xdr:colOff>590550</xdr:colOff>
      <xdr:row>119</xdr:row>
      <xdr:rowOff>190500</xdr:rowOff>
    </xdr:to>
    <xdr:pic>
      <xdr:nvPicPr>
        <xdr:cNvPr id="1166" name="Picture 128" descr="XtJHdqAYIbs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33425" y="148923375"/>
          <a:ext cx="4476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106</xdr:row>
      <xdr:rowOff>85725</xdr:rowOff>
    </xdr:from>
    <xdr:to>
      <xdr:col>1</xdr:col>
      <xdr:colOff>590550</xdr:colOff>
      <xdr:row>106</xdr:row>
      <xdr:rowOff>190500</xdr:rowOff>
    </xdr:to>
    <xdr:pic>
      <xdr:nvPicPr>
        <xdr:cNvPr id="1167" name="Picture 129" descr="FQqtHxW6KmY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657225" y="131911725"/>
          <a:ext cx="5238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102</xdr:row>
      <xdr:rowOff>47625</xdr:rowOff>
    </xdr:from>
    <xdr:to>
      <xdr:col>1</xdr:col>
      <xdr:colOff>590550</xdr:colOff>
      <xdr:row>102</xdr:row>
      <xdr:rowOff>190500</xdr:rowOff>
    </xdr:to>
    <xdr:pic>
      <xdr:nvPicPr>
        <xdr:cNvPr id="1168" name="Picture 130" descr="i2vrboKPYqY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76275" y="126730125"/>
          <a:ext cx="5048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153</xdr:row>
      <xdr:rowOff>47625</xdr:rowOff>
    </xdr:from>
    <xdr:to>
      <xdr:col>1</xdr:col>
      <xdr:colOff>590550</xdr:colOff>
      <xdr:row>153</xdr:row>
      <xdr:rowOff>190500</xdr:rowOff>
    </xdr:to>
    <xdr:pic>
      <xdr:nvPicPr>
        <xdr:cNvPr id="1169" name="Picture 131" descr="AUc_ts_d6-Y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657225" y="196538850"/>
          <a:ext cx="5238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131</xdr:row>
      <xdr:rowOff>19050</xdr:rowOff>
    </xdr:from>
    <xdr:to>
      <xdr:col>1</xdr:col>
      <xdr:colOff>590550</xdr:colOff>
      <xdr:row>131</xdr:row>
      <xdr:rowOff>190500</xdr:rowOff>
    </xdr:to>
    <xdr:pic>
      <xdr:nvPicPr>
        <xdr:cNvPr id="1170" name="Picture 132" descr="ndmwnvqwAmc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666750" y="164382450"/>
          <a:ext cx="514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124</xdr:row>
      <xdr:rowOff>123825</xdr:rowOff>
    </xdr:from>
    <xdr:to>
      <xdr:col>1</xdr:col>
      <xdr:colOff>590550</xdr:colOff>
      <xdr:row>124</xdr:row>
      <xdr:rowOff>190500</xdr:rowOff>
    </xdr:to>
    <xdr:pic>
      <xdr:nvPicPr>
        <xdr:cNvPr id="1171" name="Picture 133" descr="aT1xcU-cO1Q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666750" y="155514675"/>
          <a:ext cx="51435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151</xdr:row>
      <xdr:rowOff>19050</xdr:rowOff>
    </xdr:from>
    <xdr:to>
      <xdr:col>1</xdr:col>
      <xdr:colOff>590550</xdr:colOff>
      <xdr:row>151</xdr:row>
      <xdr:rowOff>190500</xdr:rowOff>
    </xdr:to>
    <xdr:pic>
      <xdr:nvPicPr>
        <xdr:cNvPr id="1172" name="Picture 135" descr="BuyyGkTpkvM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638175" y="193338450"/>
          <a:ext cx="542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145</xdr:row>
      <xdr:rowOff>104775</xdr:rowOff>
    </xdr:from>
    <xdr:to>
      <xdr:col>1</xdr:col>
      <xdr:colOff>590550</xdr:colOff>
      <xdr:row>145</xdr:row>
      <xdr:rowOff>190500</xdr:rowOff>
    </xdr:to>
    <xdr:pic>
      <xdr:nvPicPr>
        <xdr:cNvPr id="1173" name="Picture 136" descr="6V6nZLoOkfE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666750" y="185623200"/>
          <a:ext cx="5143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141</xdr:row>
      <xdr:rowOff>95250</xdr:rowOff>
    </xdr:from>
    <xdr:to>
      <xdr:col>1</xdr:col>
      <xdr:colOff>590550</xdr:colOff>
      <xdr:row>141</xdr:row>
      <xdr:rowOff>190500</xdr:rowOff>
    </xdr:to>
    <xdr:pic>
      <xdr:nvPicPr>
        <xdr:cNvPr id="1174" name="Picture 137" descr="2ZP0emlrtc8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676275" y="179631975"/>
          <a:ext cx="504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142</xdr:row>
      <xdr:rowOff>19050</xdr:rowOff>
    </xdr:from>
    <xdr:to>
      <xdr:col>1</xdr:col>
      <xdr:colOff>590550</xdr:colOff>
      <xdr:row>142</xdr:row>
      <xdr:rowOff>190500</xdr:rowOff>
    </xdr:to>
    <xdr:pic>
      <xdr:nvPicPr>
        <xdr:cNvPr id="1175" name="Picture 138" descr="o90fx79prxM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676275" y="181051200"/>
          <a:ext cx="504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128</xdr:row>
      <xdr:rowOff>19050</xdr:rowOff>
    </xdr:from>
    <xdr:to>
      <xdr:col>1</xdr:col>
      <xdr:colOff>590550</xdr:colOff>
      <xdr:row>128</xdr:row>
      <xdr:rowOff>190500</xdr:rowOff>
    </xdr:to>
    <xdr:pic>
      <xdr:nvPicPr>
        <xdr:cNvPr id="1176" name="Picture 139" descr="D9qfMP3G-3Y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771525" y="160896300"/>
          <a:ext cx="4095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109</xdr:row>
      <xdr:rowOff>38100</xdr:rowOff>
    </xdr:from>
    <xdr:to>
      <xdr:col>1</xdr:col>
      <xdr:colOff>590550</xdr:colOff>
      <xdr:row>109</xdr:row>
      <xdr:rowOff>190500</xdr:rowOff>
    </xdr:to>
    <xdr:pic>
      <xdr:nvPicPr>
        <xdr:cNvPr id="1177" name="Picture 140" descr="OC3y3sGtIkY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676275" y="135426450"/>
          <a:ext cx="504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137</xdr:row>
      <xdr:rowOff>47625</xdr:rowOff>
    </xdr:from>
    <xdr:to>
      <xdr:col>1</xdr:col>
      <xdr:colOff>590550</xdr:colOff>
      <xdr:row>137</xdr:row>
      <xdr:rowOff>190500</xdr:rowOff>
    </xdr:to>
    <xdr:pic>
      <xdr:nvPicPr>
        <xdr:cNvPr id="1178" name="Picture 141" descr="de2gLS9JaPw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657225" y="173154975"/>
          <a:ext cx="5238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154</xdr:row>
      <xdr:rowOff>57150</xdr:rowOff>
    </xdr:from>
    <xdr:to>
      <xdr:col>1</xdr:col>
      <xdr:colOff>590550</xdr:colOff>
      <xdr:row>154</xdr:row>
      <xdr:rowOff>190500</xdr:rowOff>
    </xdr:to>
    <xdr:pic>
      <xdr:nvPicPr>
        <xdr:cNvPr id="1179" name="Picture 142" descr="xVGF409ggZg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666750" y="198091425"/>
          <a:ext cx="514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125</xdr:row>
      <xdr:rowOff>9525</xdr:rowOff>
    </xdr:from>
    <xdr:to>
      <xdr:col>1</xdr:col>
      <xdr:colOff>590550</xdr:colOff>
      <xdr:row>125</xdr:row>
      <xdr:rowOff>190500</xdr:rowOff>
    </xdr:to>
    <xdr:pic>
      <xdr:nvPicPr>
        <xdr:cNvPr id="1180" name="Picture 144" descr="g97xToq9tsY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666750" y="156648150"/>
          <a:ext cx="5143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112</xdr:row>
      <xdr:rowOff>123825</xdr:rowOff>
    </xdr:from>
    <xdr:to>
      <xdr:col>1</xdr:col>
      <xdr:colOff>590550</xdr:colOff>
      <xdr:row>112</xdr:row>
      <xdr:rowOff>190500</xdr:rowOff>
    </xdr:to>
    <xdr:pic>
      <xdr:nvPicPr>
        <xdr:cNvPr id="1181" name="Picture 145" descr="A2OLW-jMdRM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714375" y="138998325"/>
          <a:ext cx="4667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126</xdr:row>
      <xdr:rowOff>76200</xdr:rowOff>
    </xdr:from>
    <xdr:to>
      <xdr:col>1</xdr:col>
      <xdr:colOff>590550</xdr:colOff>
      <xdr:row>126</xdr:row>
      <xdr:rowOff>190500</xdr:rowOff>
    </xdr:to>
    <xdr:pic>
      <xdr:nvPicPr>
        <xdr:cNvPr id="1182" name="Picture 146" descr="NHEB2EFrM9M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04850" y="157962600"/>
          <a:ext cx="4762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127</xdr:row>
      <xdr:rowOff>95250</xdr:rowOff>
    </xdr:from>
    <xdr:to>
      <xdr:col>1</xdr:col>
      <xdr:colOff>590550</xdr:colOff>
      <xdr:row>127</xdr:row>
      <xdr:rowOff>190500</xdr:rowOff>
    </xdr:to>
    <xdr:pic>
      <xdr:nvPicPr>
        <xdr:cNvPr id="1183" name="Picture 148" descr="93wsfXYxhgk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666750" y="159477075"/>
          <a:ext cx="514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147</xdr:row>
      <xdr:rowOff>123825</xdr:rowOff>
    </xdr:from>
    <xdr:to>
      <xdr:col>1</xdr:col>
      <xdr:colOff>590550</xdr:colOff>
      <xdr:row>147</xdr:row>
      <xdr:rowOff>190500</xdr:rowOff>
    </xdr:to>
    <xdr:pic>
      <xdr:nvPicPr>
        <xdr:cNvPr id="1184" name="Picture 149" descr="SSkeHpfZ-1Q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638175" y="188633100"/>
          <a:ext cx="5429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146</xdr:row>
      <xdr:rowOff>123825</xdr:rowOff>
    </xdr:from>
    <xdr:to>
      <xdr:col>1</xdr:col>
      <xdr:colOff>590550</xdr:colOff>
      <xdr:row>146</xdr:row>
      <xdr:rowOff>190500</xdr:rowOff>
    </xdr:to>
    <xdr:pic>
      <xdr:nvPicPr>
        <xdr:cNvPr id="1185" name="Picture 151" descr="DlValCBQenk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676275" y="187137675"/>
          <a:ext cx="5048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116</xdr:row>
      <xdr:rowOff>66675</xdr:rowOff>
    </xdr:from>
    <xdr:to>
      <xdr:col>1</xdr:col>
      <xdr:colOff>590550</xdr:colOff>
      <xdr:row>116</xdr:row>
      <xdr:rowOff>190500</xdr:rowOff>
    </xdr:to>
    <xdr:pic>
      <xdr:nvPicPr>
        <xdr:cNvPr id="1186" name="Picture 153" descr="Yf5kqhtjS8Q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695325" y="144722850"/>
          <a:ext cx="4857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143</xdr:row>
      <xdr:rowOff>57150</xdr:rowOff>
    </xdr:from>
    <xdr:to>
      <xdr:col>1</xdr:col>
      <xdr:colOff>590550</xdr:colOff>
      <xdr:row>143</xdr:row>
      <xdr:rowOff>190500</xdr:rowOff>
    </xdr:to>
    <xdr:pic>
      <xdr:nvPicPr>
        <xdr:cNvPr id="1187" name="Picture 154" descr="B6rAduFKZaY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657225" y="182584725"/>
          <a:ext cx="5238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144</xdr:row>
      <xdr:rowOff>28575</xdr:rowOff>
    </xdr:from>
    <xdr:to>
      <xdr:col>1</xdr:col>
      <xdr:colOff>590550</xdr:colOff>
      <xdr:row>144</xdr:row>
      <xdr:rowOff>190500</xdr:rowOff>
    </xdr:to>
    <xdr:pic>
      <xdr:nvPicPr>
        <xdr:cNvPr id="1188" name="Picture 155" descr="slqDqlX2HqQ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695325" y="184051575"/>
          <a:ext cx="485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93</xdr:row>
      <xdr:rowOff>66675</xdr:rowOff>
    </xdr:from>
    <xdr:to>
      <xdr:col>1</xdr:col>
      <xdr:colOff>590550</xdr:colOff>
      <xdr:row>93</xdr:row>
      <xdr:rowOff>190500</xdr:rowOff>
    </xdr:to>
    <xdr:pic>
      <xdr:nvPicPr>
        <xdr:cNvPr id="1189" name="Picture 158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704850" y="115290600"/>
          <a:ext cx="4762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92</xdr:row>
      <xdr:rowOff>57150</xdr:rowOff>
    </xdr:from>
    <xdr:to>
      <xdr:col>1</xdr:col>
      <xdr:colOff>590550</xdr:colOff>
      <xdr:row>92</xdr:row>
      <xdr:rowOff>190500</xdr:rowOff>
    </xdr:to>
    <xdr:pic>
      <xdr:nvPicPr>
        <xdr:cNvPr id="1190" name="Picture 169" descr="q9ybBMqcbH8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704850" y="114119025"/>
          <a:ext cx="4762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118</xdr:row>
      <xdr:rowOff>28575</xdr:rowOff>
    </xdr:from>
    <xdr:to>
      <xdr:col>1</xdr:col>
      <xdr:colOff>590550</xdr:colOff>
      <xdr:row>118</xdr:row>
      <xdr:rowOff>190500</xdr:rowOff>
    </xdr:to>
    <xdr:pic>
      <xdr:nvPicPr>
        <xdr:cNvPr id="1191" name="Picture 170" descr="Be30nJbr9rQ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33425" y="147637500"/>
          <a:ext cx="4476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113</xdr:row>
      <xdr:rowOff>95250</xdr:rowOff>
    </xdr:from>
    <xdr:to>
      <xdr:col>1</xdr:col>
      <xdr:colOff>590550</xdr:colOff>
      <xdr:row>113</xdr:row>
      <xdr:rowOff>190500</xdr:rowOff>
    </xdr:to>
    <xdr:pic>
      <xdr:nvPicPr>
        <xdr:cNvPr id="1192" name="Picture 171" descr="D4_3N96Mu_o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714375" y="140484225"/>
          <a:ext cx="466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95</xdr:row>
      <xdr:rowOff>66675</xdr:rowOff>
    </xdr:from>
    <xdr:to>
      <xdr:col>1</xdr:col>
      <xdr:colOff>590550</xdr:colOff>
      <xdr:row>95</xdr:row>
      <xdr:rowOff>190500</xdr:rowOff>
    </xdr:to>
    <xdr:pic>
      <xdr:nvPicPr>
        <xdr:cNvPr id="1193" name="Picture 173" descr="tK7f-0OhBOc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638175" y="117881400"/>
          <a:ext cx="5429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99</xdr:row>
      <xdr:rowOff>47625</xdr:rowOff>
    </xdr:from>
    <xdr:to>
      <xdr:col>1</xdr:col>
      <xdr:colOff>590550</xdr:colOff>
      <xdr:row>99</xdr:row>
      <xdr:rowOff>190500</xdr:rowOff>
    </xdr:to>
    <xdr:pic>
      <xdr:nvPicPr>
        <xdr:cNvPr id="1194" name="Picture 175" descr="GCWQqNAZLRU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666750" y="122853450"/>
          <a:ext cx="5143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103</xdr:row>
      <xdr:rowOff>104775</xdr:rowOff>
    </xdr:from>
    <xdr:to>
      <xdr:col>1</xdr:col>
      <xdr:colOff>590550</xdr:colOff>
      <xdr:row>103</xdr:row>
      <xdr:rowOff>200025</xdr:rowOff>
    </xdr:to>
    <xdr:pic>
      <xdr:nvPicPr>
        <xdr:cNvPr id="1195" name="Picture 177" descr="5Zoo75hs_B8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647700" y="127949325"/>
          <a:ext cx="5334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97</xdr:row>
      <xdr:rowOff>76200</xdr:rowOff>
    </xdr:from>
    <xdr:to>
      <xdr:col>1</xdr:col>
      <xdr:colOff>590550</xdr:colOff>
      <xdr:row>97</xdr:row>
      <xdr:rowOff>190500</xdr:rowOff>
    </xdr:to>
    <xdr:pic>
      <xdr:nvPicPr>
        <xdr:cNvPr id="1196" name="Picture 182" descr="NZ3LUQvTTs0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695325" y="120481725"/>
          <a:ext cx="4857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96</xdr:row>
      <xdr:rowOff>85725</xdr:rowOff>
    </xdr:from>
    <xdr:to>
      <xdr:col>1</xdr:col>
      <xdr:colOff>590550</xdr:colOff>
      <xdr:row>96</xdr:row>
      <xdr:rowOff>190500</xdr:rowOff>
    </xdr:to>
    <xdr:pic>
      <xdr:nvPicPr>
        <xdr:cNvPr id="1197" name="Picture 185" descr="RDpKs5BdvmA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638175" y="119195850"/>
          <a:ext cx="5429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101</xdr:row>
      <xdr:rowOff>28575</xdr:rowOff>
    </xdr:from>
    <xdr:to>
      <xdr:col>1</xdr:col>
      <xdr:colOff>1562100</xdr:colOff>
      <xdr:row>101</xdr:row>
      <xdr:rowOff>1038225</xdr:rowOff>
    </xdr:to>
    <xdr:pic>
      <xdr:nvPicPr>
        <xdr:cNvPr id="1198" name="Picture 188" descr="tWmc07ThPhI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676275" y="125425200"/>
          <a:ext cx="1476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 fPrintsWithSheet="0"/>
  </xdr:twoCellAnchor>
  <xdr:twoCellAnchor editAs="oneCell">
    <xdr:from>
      <xdr:col>1</xdr:col>
      <xdr:colOff>104775</xdr:colOff>
      <xdr:row>9</xdr:row>
      <xdr:rowOff>219075</xdr:rowOff>
    </xdr:from>
    <xdr:to>
      <xdr:col>1</xdr:col>
      <xdr:colOff>590550</xdr:colOff>
      <xdr:row>9</xdr:row>
      <xdr:rowOff>219075</xdr:rowOff>
    </xdr:to>
    <xdr:pic>
      <xdr:nvPicPr>
        <xdr:cNvPr id="1199" name="Picture 190" descr="YBuOF2mUnt4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695325" y="10696575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94</xdr:row>
      <xdr:rowOff>95250</xdr:rowOff>
    </xdr:from>
    <xdr:to>
      <xdr:col>1</xdr:col>
      <xdr:colOff>590550</xdr:colOff>
      <xdr:row>94</xdr:row>
      <xdr:rowOff>190500</xdr:rowOff>
    </xdr:to>
    <xdr:pic>
      <xdr:nvPicPr>
        <xdr:cNvPr id="1200" name="Picture 198" descr="DlY2QfEQnAo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647700" y="116614575"/>
          <a:ext cx="5334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31</xdr:row>
      <xdr:rowOff>28575</xdr:rowOff>
    </xdr:from>
    <xdr:to>
      <xdr:col>1</xdr:col>
      <xdr:colOff>590550</xdr:colOff>
      <xdr:row>31</xdr:row>
      <xdr:rowOff>190500</xdr:rowOff>
    </xdr:to>
    <xdr:pic>
      <xdr:nvPicPr>
        <xdr:cNvPr id="1201" name="Picture 199" descr="Jtihykw56k4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666750" y="34509075"/>
          <a:ext cx="5143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34</xdr:row>
      <xdr:rowOff>228600</xdr:rowOff>
    </xdr:from>
    <xdr:to>
      <xdr:col>1</xdr:col>
      <xdr:colOff>590550</xdr:colOff>
      <xdr:row>34</xdr:row>
      <xdr:rowOff>228600</xdr:rowOff>
    </xdr:to>
    <xdr:pic>
      <xdr:nvPicPr>
        <xdr:cNvPr id="1202" name="Рисунок 277" descr="https://pp.vk.me/c630422/v630422963/20ab4/8HWmQOyZJDs.jpg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742950" y="382524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35</xdr:row>
      <xdr:rowOff>123825</xdr:rowOff>
    </xdr:from>
    <xdr:to>
      <xdr:col>1</xdr:col>
      <xdr:colOff>590550</xdr:colOff>
      <xdr:row>35</xdr:row>
      <xdr:rowOff>190500</xdr:rowOff>
    </xdr:to>
    <xdr:pic>
      <xdr:nvPicPr>
        <xdr:cNvPr id="1203" name="Рисунок 279" descr="https://pp.vk.me/c633424/v633424858/29060/dzw8lgp1jVY.jpg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638175" y="39443025"/>
          <a:ext cx="5429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7</xdr:row>
      <xdr:rowOff>266700</xdr:rowOff>
    </xdr:from>
    <xdr:to>
      <xdr:col>1</xdr:col>
      <xdr:colOff>1504950</xdr:colOff>
      <xdr:row>7</xdr:row>
      <xdr:rowOff>1333500</xdr:rowOff>
    </xdr:to>
    <xdr:pic>
      <xdr:nvPicPr>
        <xdr:cNvPr id="1204" name="Рисунок 143" descr="https://pp.vk.me/c636423/v636423945/2dd6/MCFyscDQ1uY.jpg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714375" y="788670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9</xdr:row>
      <xdr:rowOff>142875</xdr:rowOff>
    </xdr:from>
    <xdr:to>
      <xdr:col>1</xdr:col>
      <xdr:colOff>1524000</xdr:colOff>
      <xdr:row>9</xdr:row>
      <xdr:rowOff>1219200</xdr:rowOff>
    </xdr:to>
    <xdr:pic>
      <xdr:nvPicPr>
        <xdr:cNvPr id="1205" name="Picture 190" descr="YBuOF2mUnt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3900" y="10620375"/>
          <a:ext cx="1390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12</xdr:row>
      <xdr:rowOff>19050</xdr:rowOff>
    </xdr:from>
    <xdr:to>
      <xdr:col>1</xdr:col>
      <xdr:colOff>1524000</xdr:colOff>
      <xdr:row>13</xdr:row>
      <xdr:rowOff>0</xdr:rowOff>
    </xdr:to>
    <xdr:pic>
      <xdr:nvPicPr>
        <xdr:cNvPr id="1206" name="Picture 83" descr="IKKbX7mSzAk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52475" y="13735050"/>
          <a:ext cx="1362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</xdr:row>
      <xdr:rowOff>0</xdr:rowOff>
    </xdr:from>
    <xdr:to>
      <xdr:col>1</xdr:col>
      <xdr:colOff>1533525</xdr:colOff>
      <xdr:row>13</xdr:row>
      <xdr:rowOff>942975</xdr:rowOff>
    </xdr:to>
    <xdr:pic>
      <xdr:nvPicPr>
        <xdr:cNvPr id="1207" name="Рисунок 29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04850" y="14668500"/>
          <a:ext cx="1419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15</xdr:row>
      <xdr:rowOff>47625</xdr:rowOff>
    </xdr:from>
    <xdr:to>
      <xdr:col>1</xdr:col>
      <xdr:colOff>1514475</xdr:colOff>
      <xdr:row>15</xdr:row>
      <xdr:rowOff>1019175</xdr:rowOff>
    </xdr:to>
    <xdr:pic>
      <xdr:nvPicPr>
        <xdr:cNvPr id="1208" name="Picture 34" descr="KTkw5ifpbWQ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752475" y="16811625"/>
          <a:ext cx="1352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16</xdr:row>
      <xdr:rowOff>47625</xdr:rowOff>
    </xdr:from>
    <xdr:to>
      <xdr:col>1</xdr:col>
      <xdr:colOff>1447800</xdr:colOff>
      <xdr:row>16</xdr:row>
      <xdr:rowOff>1057275</xdr:rowOff>
    </xdr:to>
    <xdr:pic>
      <xdr:nvPicPr>
        <xdr:cNvPr id="1209" name="Picture 35" descr="7Rsr61QTmgI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685800" y="17954625"/>
          <a:ext cx="1352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17</xdr:row>
      <xdr:rowOff>85725</xdr:rowOff>
    </xdr:from>
    <xdr:to>
      <xdr:col>1</xdr:col>
      <xdr:colOff>1419225</xdr:colOff>
      <xdr:row>17</xdr:row>
      <xdr:rowOff>1076325</xdr:rowOff>
    </xdr:to>
    <xdr:pic>
      <xdr:nvPicPr>
        <xdr:cNvPr id="1210" name="Picture 36" descr="WBvNilxRoiI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657225" y="19135725"/>
          <a:ext cx="1352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19</xdr:row>
      <xdr:rowOff>47625</xdr:rowOff>
    </xdr:from>
    <xdr:to>
      <xdr:col>1</xdr:col>
      <xdr:colOff>1495425</xdr:colOff>
      <xdr:row>19</xdr:row>
      <xdr:rowOff>1019175</xdr:rowOff>
    </xdr:to>
    <xdr:pic>
      <xdr:nvPicPr>
        <xdr:cNvPr id="1211" name="Picture 164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676275" y="21383625"/>
          <a:ext cx="1409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28575</xdr:rowOff>
    </xdr:from>
    <xdr:to>
      <xdr:col>1</xdr:col>
      <xdr:colOff>1514475</xdr:colOff>
      <xdr:row>21</xdr:row>
      <xdr:rowOff>1066800</xdr:rowOff>
    </xdr:to>
    <xdr:pic>
      <xdr:nvPicPr>
        <xdr:cNvPr id="1212" name="Picture 202" descr="z7P9l8iqSlo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590550" y="23650575"/>
          <a:ext cx="15144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20</xdr:row>
      <xdr:rowOff>66675</xdr:rowOff>
    </xdr:from>
    <xdr:to>
      <xdr:col>1</xdr:col>
      <xdr:colOff>1571625</xdr:colOff>
      <xdr:row>20</xdr:row>
      <xdr:rowOff>1076325</xdr:rowOff>
    </xdr:to>
    <xdr:pic>
      <xdr:nvPicPr>
        <xdr:cNvPr id="1213" name="Рисунок 298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647700" y="22545675"/>
          <a:ext cx="15144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21</xdr:row>
      <xdr:rowOff>1133475</xdr:rowOff>
    </xdr:from>
    <xdr:to>
      <xdr:col>1</xdr:col>
      <xdr:colOff>1533525</xdr:colOff>
      <xdr:row>22</xdr:row>
      <xdr:rowOff>923925</xdr:rowOff>
    </xdr:to>
    <xdr:pic>
      <xdr:nvPicPr>
        <xdr:cNvPr id="1214" name="Picture 37" descr="6_RYhO2UOrY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657225" y="24755475"/>
          <a:ext cx="1466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1476375</xdr:colOff>
      <xdr:row>23</xdr:row>
      <xdr:rowOff>933450</xdr:rowOff>
    </xdr:to>
    <xdr:pic>
      <xdr:nvPicPr>
        <xdr:cNvPr id="1215" name="Picture 82" descr="BdYPJk4FYXo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590550" y="25717500"/>
          <a:ext cx="14763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1457325</xdr:colOff>
      <xdr:row>25</xdr:row>
      <xdr:rowOff>19050</xdr:rowOff>
    </xdr:to>
    <xdr:pic>
      <xdr:nvPicPr>
        <xdr:cNvPr id="1216" name="Рисунок 301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590550" y="26670000"/>
          <a:ext cx="14573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25</xdr:row>
      <xdr:rowOff>85725</xdr:rowOff>
    </xdr:from>
    <xdr:to>
      <xdr:col>1</xdr:col>
      <xdr:colOff>1571625</xdr:colOff>
      <xdr:row>25</xdr:row>
      <xdr:rowOff>1038225</xdr:rowOff>
    </xdr:to>
    <xdr:pic>
      <xdr:nvPicPr>
        <xdr:cNvPr id="1217" name="Picture 80" descr="EZxYtmA29FM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638175" y="27708225"/>
          <a:ext cx="1524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26</xdr:row>
      <xdr:rowOff>38100</xdr:rowOff>
    </xdr:from>
    <xdr:to>
      <xdr:col>1</xdr:col>
      <xdr:colOff>1438275</xdr:colOff>
      <xdr:row>26</xdr:row>
      <xdr:rowOff>1047750</xdr:rowOff>
    </xdr:to>
    <xdr:pic>
      <xdr:nvPicPr>
        <xdr:cNvPr id="1218" name="Picture 78" descr="Z7yxPk8a4Rg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657225" y="28803600"/>
          <a:ext cx="13716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27</xdr:row>
      <xdr:rowOff>66675</xdr:rowOff>
    </xdr:from>
    <xdr:to>
      <xdr:col>1</xdr:col>
      <xdr:colOff>1562100</xdr:colOff>
      <xdr:row>27</xdr:row>
      <xdr:rowOff>1057275</xdr:rowOff>
    </xdr:to>
    <xdr:pic>
      <xdr:nvPicPr>
        <xdr:cNvPr id="1219" name="Picture 79" descr="oZspPXt2cUU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609600" y="29975175"/>
          <a:ext cx="15430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47625</xdr:rowOff>
    </xdr:from>
    <xdr:to>
      <xdr:col>1</xdr:col>
      <xdr:colOff>1552575</xdr:colOff>
      <xdr:row>28</xdr:row>
      <xdr:rowOff>1038225</xdr:rowOff>
    </xdr:to>
    <xdr:pic>
      <xdr:nvPicPr>
        <xdr:cNvPr id="1220" name="Picture 81" descr="BXgz4MSjmNc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590550" y="31099125"/>
          <a:ext cx="15525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29</xdr:row>
      <xdr:rowOff>85725</xdr:rowOff>
    </xdr:from>
    <xdr:to>
      <xdr:col>1</xdr:col>
      <xdr:colOff>1495425</xdr:colOff>
      <xdr:row>29</xdr:row>
      <xdr:rowOff>1085850</xdr:rowOff>
    </xdr:to>
    <xdr:pic>
      <xdr:nvPicPr>
        <xdr:cNvPr id="1221" name="Picture 183" descr="Sc58e8A2JDo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38175" y="32280225"/>
          <a:ext cx="14478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30</xdr:row>
      <xdr:rowOff>19050</xdr:rowOff>
    </xdr:from>
    <xdr:to>
      <xdr:col>1</xdr:col>
      <xdr:colOff>1390650</xdr:colOff>
      <xdr:row>30</xdr:row>
      <xdr:rowOff>1076325</xdr:rowOff>
    </xdr:to>
    <xdr:pic>
      <xdr:nvPicPr>
        <xdr:cNvPr id="1222" name="Picture 84" descr="KVutl_GXejA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42950" y="33356550"/>
          <a:ext cx="12382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31</xdr:row>
      <xdr:rowOff>0</xdr:rowOff>
    </xdr:from>
    <xdr:to>
      <xdr:col>1</xdr:col>
      <xdr:colOff>1552575</xdr:colOff>
      <xdr:row>32</xdr:row>
      <xdr:rowOff>57150</xdr:rowOff>
    </xdr:to>
    <xdr:pic>
      <xdr:nvPicPr>
        <xdr:cNvPr id="1223" name="Picture 199" descr="Jtihykw56k4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666750" y="34480500"/>
          <a:ext cx="1476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32</xdr:row>
      <xdr:rowOff>219075</xdr:rowOff>
    </xdr:from>
    <xdr:to>
      <xdr:col>1</xdr:col>
      <xdr:colOff>1438275</xdr:colOff>
      <xdr:row>32</xdr:row>
      <xdr:rowOff>1171575</xdr:rowOff>
    </xdr:to>
    <xdr:pic>
      <xdr:nvPicPr>
        <xdr:cNvPr id="1224" name="Picture 200" descr="JHJ1rFm-qas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647700" y="35652075"/>
          <a:ext cx="1381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34</xdr:row>
      <xdr:rowOff>209550</xdr:rowOff>
    </xdr:from>
    <xdr:to>
      <xdr:col>1</xdr:col>
      <xdr:colOff>1457325</xdr:colOff>
      <xdr:row>34</xdr:row>
      <xdr:rowOff>1123950</xdr:rowOff>
    </xdr:to>
    <xdr:pic>
      <xdr:nvPicPr>
        <xdr:cNvPr id="1225" name="Рисунок 141" descr="https://pp.vk.me/c630422/v630422963/20ab4/8HWmQOyZJDs.jpg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676275" y="38233350"/>
          <a:ext cx="1371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35</xdr:row>
      <xdr:rowOff>38100</xdr:rowOff>
    </xdr:from>
    <xdr:to>
      <xdr:col>1</xdr:col>
      <xdr:colOff>1552575</xdr:colOff>
      <xdr:row>35</xdr:row>
      <xdr:rowOff>1095375</xdr:rowOff>
    </xdr:to>
    <xdr:pic>
      <xdr:nvPicPr>
        <xdr:cNvPr id="1226" name="Рисунок 142" descr="https://pp.vk.me/c633424/v633424858/29060/dzw8lgp1jVY.jpg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666750" y="39357300"/>
          <a:ext cx="14763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39</xdr:row>
      <xdr:rowOff>123825</xdr:rowOff>
    </xdr:from>
    <xdr:to>
      <xdr:col>1</xdr:col>
      <xdr:colOff>1543050</xdr:colOff>
      <xdr:row>39</xdr:row>
      <xdr:rowOff>1133475</xdr:rowOff>
    </xdr:to>
    <xdr:pic>
      <xdr:nvPicPr>
        <xdr:cNvPr id="1227" name="Рисунок 312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619125" y="44815125"/>
          <a:ext cx="15144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41</xdr:row>
      <xdr:rowOff>142875</xdr:rowOff>
    </xdr:from>
    <xdr:to>
      <xdr:col>1</xdr:col>
      <xdr:colOff>1514475</xdr:colOff>
      <xdr:row>42</xdr:row>
      <xdr:rowOff>57150</xdr:rowOff>
    </xdr:to>
    <xdr:pic>
      <xdr:nvPicPr>
        <xdr:cNvPr id="1228" name="Picture 195" descr="P5F5zISAJNA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619125" y="47263050"/>
          <a:ext cx="14859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43</xdr:row>
      <xdr:rowOff>76200</xdr:rowOff>
    </xdr:from>
    <xdr:to>
      <xdr:col>1</xdr:col>
      <xdr:colOff>1457325</xdr:colOff>
      <xdr:row>43</xdr:row>
      <xdr:rowOff>1276350</xdr:rowOff>
    </xdr:to>
    <xdr:pic>
      <xdr:nvPicPr>
        <xdr:cNvPr id="1229" name="Picture 92" descr="AcmkZEybPBk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600075" y="49634775"/>
          <a:ext cx="14478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44</xdr:row>
      <xdr:rowOff>57150</xdr:rowOff>
    </xdr:from>
    <xdr:to>
      <xdr:col>1</xdr:col>
      <xdr:colOff>1552575</xdr:colOff>
      <xdr:row>44</xdr:row>
      <xdr:rowOff>1257300</xdr:rowOff>
    </xdr:to>
    <xdr:pic>
      <xdr:nvPicPr>
        <xdr:cNvPr id="1230" name="Picture 187" descr="Qny4Ey49NKY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619125" y="51025425"/>
          <a:ext cx="15240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</xdr:row>
      <xdr:rowOff>104775</xdr:rowOff>
    </xdr:from>
    <xdr:to>
      <xdr:col>1</xdr:col>
      <xdr:colOff>1619250</xdr:colOff>
      <xdr:row>45</xdr:row>
      <xdr:rowOff>1209675</xdr:rowOff>
    </xdr:to>
    <xdr:pic>
      <xdr:nvPicPr>
        <xdr:cNvPr id="1231" name="Picture 203" descr="gqgRTYrBEUU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590550" y="5248275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47</xdr:row>
      <xdr:rowOff>95250</xdr:rowOff>
    </xdr:from>
    <xdr:to>
      <xdr:col>1</xdr:col>
      <xdr:colOff>1600200</xdr:colOff>
      <xdr:row>47</xdr:row>
      <xdr:rowOff>1181100</xdr:rowOff>
    </xdr:to>
    <xdr:pic>
      <xdr:nvPicPr>
        <xdr:cNvPr id="1232" name="Picture 201" descr="wfl3HtIVv44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619125" y="55140225"/>
          <a:ext cx="1571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48</xdr:row>
      <xdr:rowOff>47625</xdr:rowOff>
    </xdr:from>
    <xdr:to>
      <xdr:col>1</xdr:col>
      <xdr:colOff>1524000</xdr:colOff>
      <xdr:row>48</xdr:row>
      <xdr:rowOff>1200150</xdr:rowOff>
    </xdr:to>
    <xdr:pic>
      <xdr:nvPicPr>
        <xdr:cNvPr id="1233" name="Picture 178" descr="zvqJGnghxH4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657225" y="56426100"/>
          <a:ext cx="14573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50</xdr:row>
      <xdr:rowOff>85725</xdr:rowOff>
    </xdr:from>
    <xdr:to>
      <xdr:col>1</xdr:col>
      <xdr:colOff>1524000</xdr:colOff>
      <xdr:row>50</xdr:row>
      <xdr:rowOff>1171575</xdr:rowOff>
    </xdr:to>
    <xdr:pic>
      <xdr:nvPicPr>
        <xdr:cNvPr id="1234" name="Picture 186" descr="dCD4rFW9mJ8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638175" y="59055000"/>
          <a:ext cx="14763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51</xdr:row>
      <xdr:rowOff>28575</xdr:rowOff>
    </xdr:from>
    <xdr:to>
      <xdr:col>1</xdr:col>
      <xdr:colOff>1485900</xdr:colOff>
      <xdr:row>51</xdr:row>
      <xdr:rowOff>1171575</xdr:rowOff>
    </xdr:to>
    <xdr:pic>
      <xdr:nvPicPr>
        <xdr:cNvPr id="1235" name="Picture 90" descr="CQDQjJAYzW4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685800" y="60331350"/>
          <a:ext cx="1390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53</xdr:row>
      <xdr:rowOff>28575</xdr:rowOff>
    </xdr:from>
    <xdr:to>
      <xdr:col>1</xdr:col>
      <xdr:colOff>1571625</xdr:colOff>
      <xdr:row>53</xdr:row>
      <xdr:rowOff>1304925</xdr:rowOff>
    </xdr:to>
    <xdr:pic>
      <xdr:nvPicPr>
        <xdr:cNvPr id="1236" name="Picture 157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628650" y="63007875"/>
          <a:ext cx="15335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54</xdr:row>
      <xdr:rowOff>28575</xdr:rowOff>
    </xdr:from>
    <xdr:to>
      <xdr:col>1</xdr:col>
      <xdr:colOff>1590675</xdr:colOff>
      <xdr:row>54</xdr:row>
      <xdr:rowOff>1323975</xdr:rowOff>
    </xdr:to>
    <xdr:pic>
      <xdr:nvPicPr>
        <xdr:cNvPr id="1237" name="Picture 156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609600" y="64408050"/>
          <a:ext cx="15716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55</xdr:row>
      <xdr:rowOff>104775</xdr:rowOff>
    </xdr:from>
    <xdr:to>
      <xdr:col>1</xdr:col>
      <xdr:colOff>1600200</xdr:colOff>
      <xdr:row>55</xdr:row>
      <xdr:rowOff>1343025</xdr:rowOff>
    </xdr:to>
    <xdr:pic>
      <xdr:nvPicPr>
        <xdr:cNvPr id="1238" name="Picture 163" descr="MBVsWGQX0S0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657225" y="65884425"/>
          <a:ext cx="15335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58</xdr:row>
      <xdr:rowOff>76200</xdr:rowOff>
    </xdr:from>
    <xdr:to>
      <xdr:col>1</xdr:col>
      <xdr:colOff>1457325</xdr:colOff>
      <xdr:row>58</xdr:row>
      <xdr:rowOff>1200150</xdr:rowOff>
    </xdr:to>
    <xdr:pic>
      <xdr:nvPicPr>
        <xdr:cNvPr id="1239" name="Picture 86" descr="wWqrGT9q_WY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638175" y="69903975"/>
          <a:ext cx="1409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59</xdr:row>
      <xdr:rowOff>38100</xdr:rowOff>
    </xdr:from>
    <xdr:to>
      <xdr:col>1</xdr:col>
      <xdr:colOff>1524000</xdr:colOff>
      <xdr:row>59</xdr:row>
      <xdr:rowOff>1390650</xdr:rowOff>
    </xdr:to>
    <xdr:pic>
      <xdr:nvPicPr>
        <xdr:cNvPr id="1240" name="Picture 192" descr="oKZ6BTClMSE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628650" y="71304150"/>
          <a:ext cx="14859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60</xdr:row>
      <xdr:rowOff>85725</xdr:rowOff>
    </xdr:from>
    <xdr:to>
      <xdr:col>1</xdr:col>
      <xdr:colOff>1438275</xdr:colOff>
      <xdr:row>60</xdr:row>
      <xdr:rowOff>1257300</xdr:rowOff>
    </xdr:to>
    <xdr:pic>
      <xdr:nvPicPr>
        <xdr:cNvPr id="1241" name="Picture 88" descr="MCUcjRnD3dY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647700" y="72790050"/>
          <a:ext cx="1381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61</xdr:row>
      <xdr:rowOff>57150</xdr:rowOff>
    </xdr:from>
    <xdr:to>
      <xdr:col>1</xdr:col>
      <xdr:colOff>1552575</xdr:colOff>
      <xdr:row>61</xdr:row>
      <xdr:rowOff>1247775</xdr:rowOff>
    </xdr:to>
    <xdr:pic>
      <xdr:nvPicPr>
        <xdr:cNvPr id="1242" name="Picture 168" descr="eBoJ2Lq7hAg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619125" y="74171175"/>
          <a:ext cx="15240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62</xdr:row>
      <xdr:rowOff>104775</xdr:rowOff>
    </xdr:from>
    <xdr:to>
      <xdr:col>1</xdr:col>
      <xdr:colOff>1400175</xdr:colOff>
      <xdr:row>63</xdr:row>
      <xdr:rowOff>0</xdr:rowOff>
    </xdr:to>
    <xdr:pic>
      <xdr:nvPicPr>
        <xdr:cNvPr id="1243" name="Picture 189" descr="Mp_RrjLFF_Y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638175" y="75628500"/>
          <a:ext cx="13525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63</xdr:row>
      <xdr:rowOff>57150</xdr:rowOff>
    </xdr:from>
    <xdr:to>
      <xdr:col>1</xdr:col>
      <xdr:colOff>1533525</xdr:colOff>
      <xdr:row>63</xdr:row>
      <xdr:rowOff>1362075</xdr:rowOff>
    </xdr:to>
    <xdr:pic>
      <xdr:nvPicPr>
        <xdr:cNvPr id="1244" name="Picture 176" descr="yvWjT3QsspY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600075" y="76990575"/>
          <a:ext cx="15240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64</xdr:row>
      <xdr:rowOff>57150</xdr:rowOff>
    </xdr:from>
    <xdr:to>
      <xdr:col>1</xdr:col>
      <xdr:colOff>1514475</xdr:colOff>
      <xdr:row>64</xdr:row>
      <xdr:rowOff>1447800</xdr:rowOff>
    </xdr:to>
    <xdr:pic>
      <xdr:nvPicPr>
        <xdr:cNvPr id="1245" name="Picture 159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619125" y="78400275"/>
          <a:ext cx="14859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1504950</xdr:colOff>
      <xdr:row>65</xdr:row>
      <xdr:rowOff>1238250</xdr:rowOff>
    </xdr:to>
    <xdr:pic>
      <xdr:nvPicPr>
        <xdr:cNvPr id="1246" name="Picture 160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590550" y="79971900"/>
          <a:ext cx="15049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66</xdr:row>
      <xdr:rowOff>76200</xdr:rowOff>
    </xdr:from>
    <xdr:to>
      <xdr:col>1</xdr:col>
      <xdr:colOff>1524000</xdr:colOff>
      <xdr:row>66</xdr:row>
      <xdr:rowOff>1314450</xdr:rowOff>
    </xdr:to>
    <xdr:pic>
      <xdr:nvPicPr>
        <xdr:cNvPr id="1247" name="Picture 161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619125" y="81381600"/>
          <a:ext cx="1495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67</xdr:row>
      <xdr:rowOff>38100</xdr:rowOff>
    </xdr:from>
    <xdr:to>
      <xdr:col>1</xdr:col>
      <xdr:colOff>1524000</xdr:colOff>
      <xdr:row>67</xdr:row>
      <xdr:rowOff>1190625</xdr:rowOff>
    </xdr:to>
    <xdr:pic>
      <xdr:nvPicPr>
        <xdr:cNvPr id="1248" name="Picture 193" descr="IV3_wXATMtI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628650" y="82696050"/>
          <a:ext cx="1485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68</xdr:row>
      <xdr:rowOff>85725</xdr:rowOff>
    </xdr:from>
    <xdr:to>
      <xdr:col>1</xdr:col>
      <xdr:colOff>1504950</xdr:colOff>
      <xdr:row>68</xdr:row>
      <xdr:rowOff>1238250</xdr:rowOff>
    </xdr:to>
    <xdr:pic>
      <xdr:nvPicPr>
        <xdr:cNvPr id="1249" name="Picture 194" descr="jhHVpIqnJX4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619125" y="84096225"/>
          <a:ext cx="1476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69</xdr:row>
      <xdr:rowOff>38100</xdr:rowOff>
    </xdr:from>
    <xdr:to>
      <xdr:col>1</xdr:col>
      <xdr:colOff>1590675</xdr:colOff>
      <xdr:row>69</xdr:row>
      <xdr:rowOff>1114425</xdr:rowOff>
    </xdr:to>
    <xdr:pic>
      <xdr:nvPicPr>
        <xdr:cNvPr id="1250" name="Picture 196" descr="TM04lIq0t90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619125" y="85401150"/>
          <a:ext cx="1562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70</xdr:row>
      <xdr:rowOff>47625</xdr:rowOff>
    </xdr:from>
    <xdr:to>
      <xdr:col>1</xdr:col>
      <xdr:colOff>1524000</xdr:colOff>
      <xdr:row>70</xdr:row>
      <xdr:rowOff>1057275</xdr:rowOff>
    </xdr:to>
    <xdr:pic>
      <xdr:nvPicPr>
        <xdr:cNvPr id="1251" name="Picture 77" descr="gltEDAb9L6s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638175" y="86763225"/>
          <a:ext cx="1476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76</xdr:row>
      <xdr:rowOff>57150</xdr:rowOff>
    </xdr:from>
    <xdr:to>
      <xdr:col>1</xdr:col>
      <xdr:colOff>1571625</xdr:colOff>
      <xdr:row>76</xdr:row>
      <xdr:rowOff>1066800</xdr:rowOff>
    </xdr:to>
    <xdr:pic>
      <xdr:nvPicPr>
        <xdr:cNvPr id="1252" name="Рисунок 337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647700" y="94002225"/>
          <a:ext cx="15144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77</xdr:row>
      <xdr:rowOff>57150</xdr:rowOff>
    </xdr:from>
    <xdr:to>
      <xdr:col>1</xdr:col>
      <xdr:colOff>1552575</xdr:colOff>
      <xdr:row>77</xdr:row>
      <xdr:rowOff>1066800</xdr:rowOff>
    </xdr:to>
    <xdr:pic>
      <xdr:nvPicPr>
        <xdr:cNvPr id="1253" name="Рисунок 338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628650" y="95297625"/>
          <a:ext cx="15144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78</xdr:row>
      <xdr:rowOff>28575</xdr:rowOff>
    </xdr:from>
    <xdr:to>
      <xdr:col>1</xdr:col>
      <xdr:colOff>1495425</xdr:colOff>
      <xdr:row>78</xdr:row>
      <xdr:rowOff>1143000</xdr:rowOff>
    </xdr:to>
    <xdr:pic>
      <xdr:nvPicPr>
        <xdr:cNvPr id="1254" name="Picture 115" descr="jJ9c3_lRrO8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619125" y="96564450"/>
          <a:ext cx="14668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79</xdr:row>
      <xdr:rowOff>76200</xdr:rowOff>
    </xdr:from>
    <xdr:to>
      <xdr:col>1</xdr:col>
      <xdr:colOff>1476375</xdr:colOff>
      <xdr:row>79</xdr:row>
      <xdr:rowOff>1162050</xdr:rowOff>
    </xdr:to>
    <xdr:pic>
      <xdr:nvPicPr>
        <xdr:cNvPr id="1255" name="Picture 134" descr="vtRVeSQ28D0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600075" y="97907475"/>
          <a:ext cx="1466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80</xdr:row>
      <xdr:rowOff>19050</xdr:rowOff>
    </xdr:from>
    <xdr:to>
      <xdr:col>1</xdr:col>
      <xdr:colOff>1485900</xdr:colOff>
      <xdr:row>80</xdr:row>
      <xdr:rowOff>1200150</xdr:rowOff>
    </xdr:to>
    <xdr:pic>
      <xdr:nvPicPr>
        <xdr:cNvPr id="1256" name="Picture 167" descr="L3Eg8kqXBbU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619125" y="99145725"/>
          <a:ext cx="14573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81</xdr:row>
      <xdr:rowOff>19050</xdr:rowOff>
    </xdr:from>
    <xdr:to>
      <xdr:col>1</xdr:col>
      <xdr:colOff>1590675</xdr:colOff>
      <xdr:row>81</xdr:row>
      <xdr:rowOff>1247775</xdr:rowOff>
    </xdr:to>
    <xdr:pic>
      <xdr:nvPicPr>
        <xdr:cNvPr id="1257" name="Picture 174" descr="LytMSIDxa84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619125" y="100460175"/>
          <a:ext cx="15621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82</xdr:row>
      <xdr:rowOff>19050</xdr:rowOff>
    </xdr:from>
    <xdr:to>
      <xdr:col>1</xdr:col>
      <xdr:colOff>1533525</xdr:colOff>
      <xdr:row>82</xdr:row>
      <xdr:rowOff>1143000</xdr:rowOff>
    </xdr:to>
    <xdr:pic>
      <xdr:nvPicPr>
        <xdr:cNvPr id="1258" name="Picture 172" descr="h2PGiuvfUWo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638175" y="101774625"/>
          <a:ext cx="1485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84</xdr:row>
      <xdr:rowOff>57150</xdr:rowOff>
    </xdr:from>
    <xdr:to>
      <xdr:col>1</xdr:col>
      <xdr:colOff>1438275</xdr:colOff>
      <xdr:row>84</xdr:row>
      <xdr:rowOff>1057275</xdr:rowOff>
    </xdr:to>
    <xdr:pic>
      <xdr:nvPicPr>
        <xdr:cNvPr id="1259" name="Picture 91" descr="zI8xQgq1ItE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647700" y="104460675"/>
          <a:ext cx="1381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85</xdr:row>
      <xdr:rowOff>57150</xdr:rowOff>
    </xdr:from>
    <xdr:to>
      <xdr:col>1</xdr:col>
      <xdr:colOff>1457325</xdr:colOff>
      <xdr:row>85</xdr:row>
      <xdr:rowOff>1133475</xdr:rowOff>
    </xdr:to>
    <xdr:pic>
      <xdr:nvPicPr>
        <xdr:cNvPr id="1260" name="Picture 85" descr="V-GpMzBb_h4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657225" y="105660825"/>
          <a:ext cx="1390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86</xdr:row>
      <xdr:rowOff>57150</xdr:rowOff>
    </xdr:from>
    <xdr:to>
      <xdr:col>1</xdr:col>
      <xdr:colOff>1562100</xdr:colOff>
      <xdr:row>86</xdr:row>
      <xdr:rowOff>1123950</xdr:rowOff>
    </xdr:to>
    <xdr:pic>
      <xdr:nvPicPr>
        <xdr:cNvPr id="1261" name="Picture 179" descr="ah9ZT3A5IE8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609600" y="106889550"/>
          <a:ext cx="15430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87</xdr:row>
      <xdr:rowOff>47625</xdr:rowOff>
    </xdr:from>
    <xdr:to>
      <xdr:col>1</xdr:col>
      <xdr:colOff>1571625</xdr:colOff>
      <xdr:row>87</xdr:row>
      <xdr:rowOff>1152525</xdr:rowOff>
    </xdr:to>
    <xdr:pic>
      <xdr:nvPicPr>
        <xdr:cNvPr id="1262" name="Picture 152" descr="bhW6C3H8U-A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609600" y="108108750"/>
          <a:ext cx="15525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91</xdr:row>
      <xdr:rowOff>47625</xdr:rowOff>
    </xdr:from>
    <xdr:to>
      <xdr:col>1</xdr:col>
      <xdr:colOff>1571625</xdr:colOff>
      <xdr:row>91</xdr:row>
      <xdr:rowOff>1143000</xdr:rowOff>
    </xdr:to>
    <xdr:pic>
      <xdr:nvPicPr>
        <xdr:cNvPr id="1263" name="Picture 180" descr="euNMc_8wXTI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676275" y="112947450"/>
          <a:ext cx="14859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93</xdr:row>
      <xdr:rowOff>66675</xdr:rowOff>
    </xdr:from>
    <xdr:to>
      <xdr:col>1</xdr:col>
      <xdr:colOff>1524000</xdr:colOff>
      <xdr:row>93</xdr:row>
      <xdr:rowOff>1028700</xdr:rowOff>
    </xdr:to>
    <xdr:pic>
      <xdr:nvPicPr>
        <xdr:cNvPr id="1264" name="Picture 158" descr="Изображение в формате JPEG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704850" y="115290600"/>
          <a:ext cx="14097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92</xdr:row>
      <xdr:rowOff>57150</xdr:rowOff>
    </xdr:from>
    <xdr:to>
      <xdr:col>1</xdr:col>
      <xdr:colOff>1476375</xdr:colOff>
      <xdr:row>92</xdr:row>
      <xdr:rowOff>1123950</xdr:rowOff>
    </xdr:to>
    <xdr:pic>
      <xdr:nvPicPr>
        <xdr:cNvPr id="1265" name="Picture 169" descr="q9ybBMqcbH8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704850" y="114119025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94</xdr:row>
      <xdr:rowOff>95250</xdr:rowOff>
    </xdr:from>
    <xdr:to>
      <xdr:col>1</xdr:col>
      <xdr:colOff>1543050</xdr:colOff>
      <xdr:row>94</xdr:row>
      <xdr:rowOff>1200150</xdr:rowOff>
    </xdr:to>
    <xdr:pic>
      <xdr:nvPicPr>
        <xdr:cNvPr id="1266" name="Picture 198" descr="DlY2QfEQnAo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647700" y="116614575"/>
          <a:ext cx="1485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98</xdr:row>
      <xdr:rowOff>85725</xdr:rowOff>
    </xdr:from>
    <xdr:to>
      <xdr:col>1</xdr:col>
      <xdr:colOff>1552575</xdr:colOff>
      <xdr:row>98</xdr:row>
      <xdr:rowOff>1028700</xdr:rowOff>
    </xdr:to>
    <xdr:pic>
      <xdr:nvPicPr>
        <xdr:cNvPr id="1267" name="Picture 93" descr="aJGfTvL83c8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704850" y="121786650"/>
          <a:ext cx="1438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95</xdr:row>
      <xdr:rowOff>85725</xdr:rowOff>
    </xdr:from>
    <xdr:to>
      <xdr:col>1</xdr:col>
      <xdr:colOff>1562100</xdr:colOff>
      <xdr:row>95</xdr:row>
      <xdr:rowOff>1162050</xdr:rowOff>
    </xdr:to>
    <xdr:pic>
      <xdr:nvPicPr>
        <xdr:cNvPr id="1268" name="Picture 173" descr="tK7f-0OhBOc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647700" y="117900450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97</xdr:row>
      <xdr:rowOff>76200</xdr:rowOff>
    </xdr:from>
    <xdr:to>
      <xdr:col>1</xdr:col>
      <xdr:colOff>1581150</xdr:colOff>
      <xdr:row>97</xdr:row>
      <xdr:rowOff>1162050</xdr:rowOff>
    </xdr:to>
    <xdr:pic>
      <xdr:nvPicPr>
        <xdr:cNvPr id="1269" name="Picture 182" descr="NZ3LUQvTTs0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695325" y="120481725"/>
          <a:ext cx="14763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96</xdr:row>
      <xdr:rowOff>85725</xdr:rowOff>
    </xdr:from>
    <xdr:to>
      <xdr:col>1</xdr:col>
      <xdr:colOff>1571625</xdr:colOff>
      <xdr:row>96</xdr:row>
      <xdr:rowOff>1162050</xdr:rowOff>
    </xdr:to>
    <xdr:pic>
      <xdr:nvPicPr>
        <xdr:cNvPr id="1270" name="Picture 185" descr="RDpKs5BdvmA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638175" y="119195850"/>
          <a:ext cx="1524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100</xdr:row>
      <xdr:rowOff>266700</xdr:rowOff>
    </xdr:from>
    <xdr:to>
      <xdr:col>1</xdr:col>
      <xdr:colOff>1600200</xdr:colOff>
      <xdr:row>100</xdr:row>
      <xdr:rowOff>1219200</xdr:rowOff>
    </xdr:to>
    <xdr:pic>
      <xdr:nvPicPr>
        <xdr:cNvPr id="1271" name="Picture 100" descr="0-iFF2KSHIQ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704850" y="124177425"/>
          <a:ext cx="1485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99</xdr:row>
      <xdr:rowOff>47625</xdr:rowOff>
    </xdr:from>
    <xdr:to>
      <xdr:col>2</xdr:col>
      <xdr:colOff>0</xdr:colOff>
      <xdr:row>100</xdr:row>
      <xdr:rowOff>190500</xdr:rowOff>
    </xdr:to>
    <xdr:pic>
      <xdr:nvPicPr>
        <xdr:cNvPr id="1272" name="Picture 175" descr="GCWQqNAZLRU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666750" y="122853450"/>
          <a:ext cx="15525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102</xdr:row>
      <xdr:rowOff>47625</xdr:rowOff>
    </xdr:from>
    <xdr:to>
      <xdr:col>1</xdr:col>
      <xdr:colOff>1533525</xdr:colOff>
      <xdr:row>102</xdr:row>
      <xdr:rowOff>1123950</xdr:rowOff>
    </xdr:to>
    <xdr:pic>
      <xdr:nvPicPr>
        <xdr:cNvPr id="1273" name="Picture 130" descr="i2vrboKPYqY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76275" y="126730125"/>
          <a:ext cx="1447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103</xdr:row>
      <xdr:rowOff>104775</xdr:rowOff>
    </xdr:from>
    <xdr:to>
      <xdr:col>1</xdr:col>
      <xdr:colOff>1590675</xdr:colOff>
      <xdr:row>103</xdr:row>
      <xdr:rowOff>1104900</xdr:rowOff>
    </xdr:to>
    <xdr:pic>
      <xdr:nvPicPr>
        <xdr:cNvPr id="1274" name="Picture 177" descr="5Zoo75hs_B8"/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647700" y="127949325"/>
          <a:ext cx="1533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105</xdr:row>
      <xdr:rowOff>95250</xdr:rowOff>
    </xdr:from>
    <xdr:to>
      <xdr:col>1</xdr:col>
      <xdr:colOff>1581150</xdr:colOff>
      <xdr:row>105</xdr:row>
      <xdr:rowOff>1143000</xdr:rowOff>
    </xdr:to>
    <xdr:pic>
      <xdr:nvPicPr>
        <xdr:cNvPr id="1275" name="Рисунок 360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609600" y="130511550"/>
          <a:ext cx="1562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107</xdr:row>
      <xdr:rowOff>38100</xdr:rowOff>
    </xdr:from>
    <xdr:to>
      <xdr:col>1</xdr:col>
      <xdr:colOff>1581150</xdr:colOff>
      <xdr:row>108</xdr:row>
      <xdr:rowOff>0</xdr:rowOff>
    </xdr:to>
    <xdr:pic>
      <xdr:nvPicPr>
        <xdr:cNvPr id="1276" name="Picture 123" descr="iXQbkmfBYog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676275" y="133102350"/>
          <a:ext cx="1495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108</xdr:row>
      <xdr:rowOff>104775</xdr:rowOff>
    </xdr:from>
    <xdr:to>
      <xdr:col>1</xdr:col>
      <xdr:colOff>1552575</xdr:colOff>
      <xdr:row>108</xdr:row>
      <xdr:rowOff>1123950</xdr:rowOff>
    </xdr:to>
    <xdr:pic>
      <xdr:nvPicPr>
        <xdr:cNvPr id="1277" name="Picture 125" descr="rw7DCYGjwCA"/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695325" y="134331075"/>
          <a:ext cx="1447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106</xdr:row>
      <xdr:rowOff>85725</xdr:rowOff>
    </xdr:from>
    <xdr:to>
      <xdr:col>1</xdr:col>
      <xdr:colOff>1581150</xdr:colOff>
      <xdr:row>106</xdr:row>
      <xdr:rowOff>1209675</xdr:rowOff>
    </xdr:to>
    <xdr:pic>
      <xdr:nvPicPr>
        <xdr:cNvPr id="1278" name="Picture 129" descr="FQqtHxW6KmY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657225" y="131911725"/>
          <a:ext cx="1514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109</xdr:row>
      <xdr:rowOff>38100</xdr:rowOff>
    </xdr:from>
    <xdr:to>
      <xdr:col>1</xdr:col>
      <xdr:colOff>1552575</xdr:colOff>
      <xdr:row>109</xdr:row>
      <xdr:rowOff>1143000</xdr:rowOff>
    </xdr:to>
    <xdr:pic>
      <xdr:nvPicPr>
        <xdr:cNvPr id="1279" name="Picture 140" descr="OC3y3sGtIkY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76275" y="135426450"/>
          <a:ext cx="1466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1381125</xdr:colOff>
      <xdr:row>111</xdr:row>
      <xdr:rowOff>1057275</xdr:rowOff>
    </xdr:to>
    <xdr:pic>
      <xdr:nvPicPr>
        <xdr:cNvPr id="1280" name="Picture 143" descr="jz6Tjr07LG4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590550" y="137712450"/>
          <a:ext cx="13811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114</xdr:row>
      <xdr:rowOff>104775</xdr:rowOff>
    </xdr:from>
    <xdr:to>
      <xdr:col>1</xdr:col>
      <xdr:colOff>1562100</xdr:colOff>
      <xdr:row>114</xdr:row>
      <xdr:rowOff>1162050</xdr:rowOff>
    </xdr:to>
    <xdr:pic>
      <xdr:nvPicPr>
        <xdr:cNvPr id="1281" name="Picture 96" descr="HnneD1bvRnk"/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685800" y="141808200"/>
          <a:ext cx="14668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115</xdr:row>
      <xdr:rowOff>19050</xdr:rowOff>
    </xdr:from>
    <xdr:to>
      <xdr:col>1</xdr:col>
      <xdr:colOff>1524000</xdr:colOff>
      <xdr:row>115</xdr:row>
      <xdr:rowOff>1162050</xdr:rowOff>
    </xdr:to>
    <xdr:pic>
      <xdr:nvPicPr>
        <xdr:cNvPr id="1282" name="Picture 103" descr="KJkadgw_bJE"/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704850" y="143341725"/>
          <a:ext cx="1409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112</xdr:row>
      <xdr:rowOff>123825</xdr:rowOff>
    </xdr:from>
    <xdr:to>
      <xdr:col>1</xdr:col>
      <xdr:colOff>1543050</xdr:colOff>
      <xdr:row>112</xdr:row>
      <xdr:rowOff>1238250</xdr:rowOff>
    </xdr:to>
    <xdr:pic>
      <xdr:nvPicPr>
        <xdr:cNvPr id="1283" name="Picture 145" descr="A2OLW-jMdRM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714375" y="138998325"/>
          <a:ext cx="14192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113</xdr:row>
      <xdr:rowOff>95250</xdr:rowOff>
    </xdr:from>
    <xdr:to>
      <xdr:col>1</xdr:col>
      <xdr:colOff>1533525</xdr:colOff>
      <xdr:row>113</xdr:row>
      <xdr:rowOff>1162050</xdr:rowOff>
    </xdr:to>
    <xdr:pic>
      <xdr:nvPicPr>
        <xdr:cNvPr id="1284" name="Picture 171" descr="D4_3N96Mu_o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714375" y="140484225"/>
          <a:ext cx="1409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120</xdr:row>
      <xdr:rowOff>85725</xdr:rowOff>
    </xdr:from>
    <xdr:to>
      <xdr:col>1</xdr:col>
      <xdr:colOff>1514475</xdr:colOff>
      <xdr:row>120</xdr:row>
      <xdr:rowOff>1190625</xdr:rowOff>
    </xdr:to>
    <xdr:pic>
      <xdr:nvPicPr>
        <xdr:cNvPr id="1285" name="Picture 94" descr="7FyPSo7q7XM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619125" y="150523575"/>
          <a:ext cx="1485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121</xdr:row>
      <xdr:rowOff>95250</xdr:rowOff>
    </xdr:from>
    <xdr:to>
      <xdr:col>1</xdr:col>
      <xdr:colOff>1524000</xdr:colOff>
      <xdr:row>121</xdr:row>
      <xdr:rowOff>1171575</xdr:rowOff>
    </xdr:to>
    <xdr:pic>
      <xdr:nvPicPr>
        <xdr:cNvPr id="1286" name="Picture 95" descr="q2BOxnshie4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704850" y="151809450"/>
          <a:ext cx="14097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117</xdr:row>
      <xdr:rowOff>57150</xdr:rowOff>
    </xdr:from>
    <xdr:to>
      <xdr:col>1</xdr:col>
      <xdr:colOff>1562100</xdr:colOff>
      <xdr:row>117</xdr:row>
      <xdr:rowOff>1162050</xdr:rowOff>
    </xdr:to>
    <xdr:pic>
      <xdr:nvPicPr>
        <xdr:cNvPr id="1287" name="Picture 102" descr="ZCW0SdzDhQ4"/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666750" y="146408775"/>
          <a:ext cx="1485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119</xdr:row>
      <xdr:rowOff>57150</xdr:rowOff>
    </xdr:from>
    <xdr:to>
      <xdr:col>1</xdr:col>
      <xdr:colOff>1504950</xdr:colOff>
      <xdr:row>119</xdr:row>
      <xdr:rowOff>1314450</xdr:rowOff>
    </xdr:to>
    <xdr:pic>
      <xdr:nvPicPr>
        <xdr:cNvPr id="1288" name="Picture 128" descr="XtJHdqAYIbs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733425" y="148923375"/>
          <a:ext cx="13620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118</xdr:row>
      <xdr:rowOff>28575</xdr:rowOff>
    </xdr:from>
    <xdr:to>
      <xdr:col>1</xdr:col>
      <xdr:colOff>1552575</xdr:colOff>
      <xdr:row>118</xdr:row>
      <xdr:rowOff>1219200</xdr:rowOff>
    </xdr:to>
    <xdr:pic>
      <xdr:nvPicPr>
        <xdr:cNvPr id="1289" name="Picture 170" descr="Be30nJbr9rQ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733425" y="147637500"/>
          <a:ext cx="1409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123</xdr:row>
      <xdr:rowOff>57150</xdr:rowOff>
    </xdr:from>
    <xdr:to>
      <xdr:col>1</xdr:col>
      <xdr:colOff>1543050</xdr:colOff>
      <xdr:row>123</xdr:row>
      <xdr:rowOff>1095375</xdr:rowOff>
    </xdr:to>
    <xdr:pic>
      <xdr:nvPicPr>
        <xdr:cNvPr id="1290" name="Picture 99" descr="Ihb9KxIjRtQ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723900" y="154266900"/>
          <a:ext cx="1409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122</xdr:row>
      <xdr:rowOff>38100</xdr:rowOff>
    </xdr:from>
    <xdr:to>
      <xdr:col>1</xdr:col>
      <xdr:colOff>1562100</xdr:colOff>
      <xdr:row>122</xdr:row>
      <xdr:rowOff>1209675</xdr:rowOff>
    </xdr:to>
    <xdr:pic>
      <xdr:nvPicPr>
        <xdr:cNvPr id="1291" name="Picture 119" descr="h5KvD7E9PDY"/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676275" y="153000075"/>
          <a:ext cx="14763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124</xdr:row>
      <xdr:rowOff>123825</xdr:rowOff>
    </xdr:from>
    <xdr:to>
      <xdr:col>1</xdr:col>
      <xdr:colOff>1562100</xdr:colOff>
      <xdr:row>124</xdr:row>
      <xdr:rowOff>1190625</xdr:rowOff>
    </xdr:to>
    <xdr:pic>
      <xdr:nvPicPr>
        <xdr:cNvPr id="1292" name="Picture 133" descr="aT1xcU-cO1Q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666750" y="155514675"/>
          <a:ext cx="14859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125</xdr:row>
      <xdr:rowOff>9525</xdr:rowOff>
    </xdr:from>
    <xdr:to>
      <xdr:col>1</xdr:col>
      <xdr:colOff>1562100</xdr:colOff>
      <xdr:row>125</xdr:row>
      <xdr:rowOff>1219200</xdr:rowOff>
    </xdr:to>
    <xdr:pic>
      <xdr:nvPicPr>
        <xdr:cNvPr id="1293" name="Picture 144" descr="g97xToq9tsY"/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666750" y="156648150"/>
          <a:ext cx="14859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130</xdr:row>
      <xdr:rowOff>76200</xdr:rowOff>
    </xdr:from>
    <xdr:to>
      <xdr:col>1</xdr:col>
      <xdr:colOff>1562100</xdr:colOff>
      <xdr:row>130</xdr:row>
      <xdr:rowOff>1047750</xdr:rowOff>
    </xdr:to>
    <xdr:pic>
      <xdr:nvPicPr>
        <xdr:cNvPr id="1294" name="Picture 104" descr="_hkAJkITHOY"/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685800" y="163353750"/>
          <a:ext cx="14668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129</xdr:row>
      <xdr:rowOff>76200</xdr:rowOff>
    </xdr:from>
    <xdr:to>
      <xdr:col>1</xdr:col>
      <xdr:colOff>1552575</xdr:colOff>
      <xdr:row>129</xdr:row>
      <xdr:rowOff>1152525</xdr:rowOff>
    </xdr:to>
    <xdr:pic>
      <xdr:nvPicPr>
        <xdr:cNvPr id="1295" name="Picture 107" descr="-PBC686kxLM"/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619125" y="162096450"/>
          <a:ext cx="1524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128</xdr:row>
      <xdr:rowOff>19050</xdr:rowOff>
    </xdr:from>
    <xdr:to>
      <xdr:col>1</xdr:col>
      <xdr:colOff>1552575</xdr:colOff>
      <xdr:row>128</xdr:row>
      <xdr:rowOff>1066800</xdr:rowOff>
    </xdr:to>
    <xdr:pic>
      <xdr:nvPicPr>
        <xdr:cNvPr id="1296" name="Picture 139" descr="D9qfMP3G-3Y"/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771525" y="160896300"/>
          <a:ext cx="1371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126</xdr:row>
      <xdr:rowOff>76200</xdr:rowOff>
    </xdr:from>
    <xdr:to>
      <xdr:col>1</xdr:col>
      <xdr:colOff>1524000</xdr:colOff>
      <xdr:row>126</xdr:row>
      <xdr:rowOff>1276350</xdr:rowOff>
    </xdr:to>
    <xdr:pic>
      <xdr:nvPicPr>
        <xdr:cNvPr id="1297" name="Picture 146" descr="NHEB2EFrM9M"/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704850" y="157962600"/>
          <a:ext cx="14097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127</xdr:row>
      <xdr:rowOff>95250</xdr:rowOff>
    </xdr:from>
    <xdr:to>
      <xdr:col>1</xdr:col>
      <xdr:colOff>1514475</xdr:colOff>
      <xdr:row>127</xdr:row>
      <xdr:rowOff>1247775</xdr:rowOff>
    </xdr:to>
    <xdr:pic>
      <xdr:nvPicPr>
        <xdr:cNvPr id="1298" name="Picture 148" descr="93wsfXYxhgk"/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666750" y="159477075"/>
          <a:ext cx="14382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132</xdr:row>
      <xdr:rowOff>104775</xdr:rowOff>
    </xdr:from>
    <xdr:to>
      <xdr:col>1</xdr:col>
      <xdr:colOff>1533525</xdr:colOff>
      <xdr:row>132</xdr:row>
      <xdr:rowOff>1133475</xdr:rowOff>
    </xdr:to>
    <xdr:pic>
      <xdr:nvPicPr>
        <xdr:cNvPr id="1299" name="Picture 105" descr="i29qs334yIQ"/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657225" y="165820725"/>
          <a:ext cx="1466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135</xdr:row>
      <xdr:rowOff>19050</xdr:rowOff>
    </xdr:from>
    <xdr:to>
      <xdr:col>1</xdr:col>
      <xdr:colOff>1552575</xdr:colOff>
      <xdr:row>135</xdr:row>
      <xdr:rowOff>1257300</xdr:rowOff>
    </xdr:to>
    <xdr:pic>
      <xdr:nvPicPr>
        <xdr:cNvPr id="1300" name="Picture 112" descr="oKsimggqh0k"/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666750" y="170068875"/>
          <a:ext cx="1476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133</xdr:row>
      <xdr:rowOff>28575</xdr:rowOff>
    </xdr:from>
    <xdr:to>
      <xdr:col>1</xdr:col>
      <xdr:colOff>1543050</xdr:colOff>
      <xdr:row>133</xdr:row>
      <xdr:rowOff>1476375</xdr:rowOff>
    </xdr:to>
    <xdr:pic>
      <xdr:nvPicPr>
        <xdr:cNvPr id="1301" name="Picture 113" descr="M6lkp8c9TV8"/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714375" y="166954200"/>
          <a:ext cx="14192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134</xdr:row>
      <xdr:rowOff>76200</xdr:rowOff>
    </xdr:from>
    <xdr:to>
      <xdr:col>1</xdr:col>
      <xdr:colOff>1562100</xdr:colOff>
      <xdr:row>134</xdr:row>
      <xdr:rowOff>1143000</xdr:rowOff>
    </xdr:to>
    <xdr:pic>
      <xdr:nvPicPr>
        <xdr:cNvPr id="1302" name="Picture 117" descr="R1bxWinf8HM"/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676275" y="168563925"/>
          <a:ext cx="14763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131</xdr:row>
      <xdr:rowOff>19050</xdr:rowOff>
    </xdr:from>
    <xdr:to>
      <xdr:col>1</xdr:col>
      <xdr:colOff>1562100</xdr:colOff>
      <xdr:row>131</xdr:row>
      <xdr:rowOff>1247775</xdr:rowOff>
    </xdr:to>
    <xdr:pic>
      <xdr:nvPicPr>
        <xdr:cNvPr id="1303" name="Picture 132" descr="ndmwnvqwAmc"/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666750" y="164382450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139</xdr:row>
      <xdr:rowOff>47625</xdr:rowOff>
    </xdr:from>
    <xdr:to>
      <xdr:col>1</xdr:col>
      <xdr:colOff>1533525</xdr:colOff>
      <xdr:row>139</xdr:row>
      <xdr:rowOff>1562100</xdr:rowOff>
    </xdr:to>
    <xdr:pic>
      <xdr:nvPicPr>
        <xdr:cNvPr id="1304" name="Picture 114" descr="QhQcAU8y1x8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733425" y="176450625"/>
          <a:ext cx="13906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136</xdr:row>
      <xdr:rowOff>66675</xdr:rowOff>
    </xdr:from>
    <xdr:to>
      <xdr:col>1</xdr:col>
      <xdr:colOff>1543050</xdr:colOff>
      <xdr:row>136</xdr:row>
      <xdr:rowOff>1085850</xdr:rowOff>
    </xdr:to>
    <xdr:pic>
      <xdr:nvPicPr>
        <xdr:cNvPr id="1305" name="Picture 116" descr="eE74Dwu9Suw"/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685800" y="171488100"/>
          <a:ext cx="1447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138</xdr:row>
      <xdr:rowOff>66675</xdr:rowOff>
    </xdr:from>
    <xdr:to>
      <xdr:col>1</xdr:col>
      <xdr:colOff>1581150</xdr:colOff>
      <xdr:row>138</xdr:row>
      <xdr:rowOff>1209675</xdr:rowOff>
    </xdr:to>
    <xdr:pic>
      <xdr:nvPicPr>
        <xdr:cNvPr id="1306" name="Picture 118" descr="GytD3k3CNMU"/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676275" y="174859950"/>
          <a:ext cx="14954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137</xdr:row>
      <xdr:rowOff>47625</xdr:rowOff>
    </xdr:from>
    <xdr:to>
      <xdr:col>1</xdr:col>
      <xdr:colOff>1504950</xdr:colOff>
      <xdr:row>137</xdr:row>
      <xdr:rowOff>1352550</xdr:rowOff>
    </xdr:to>
    <xdr:pic>
      <xdr:nvPicPr>
        <xdr:cNvPr id="1307" name="Picture 141" descr="de2gLS9JaPw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657225" y="173154975"/>
          <a:ext cx="14382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140</xdr:row>
      <xdr:rowOff>57150</xdr:rowOff>
    </xdr:from>
    <xdr:to>
      <xdr:col>1</xdr:col>
      <xdr:colOff>1533525</xdr:colOff>
      <xdr:row>140</xdr:row>
      <xdr:rowOff>1447800</xdr:rowOff>
    </xdr:to>
    <xdr:pic>
      <xdr:nvPicPr>
        <xdr:cNvPr id="1308" name="Picture 110" descr="nIBtQlW2Tvg"/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685800" y="17809845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141</xdr:row>
      <xdr:rowOff>95250</xdr:rowOff>
    </xdr:from>
    <xdr:to>
      <xdr:col>1</xdr:col>
      <xdr:colOff>1562100</xdr:colOff>
      <xdr:row>141</xdr:row>
      <xdr:rowOff>1371600</xdr:rowOff>
    </xdr:to>
    <xdr:pic>
      <xdr:nvPicPr>
        <xdr:cNvPr id="1309" name="Picture 137" descr="2ZP0emlrtc8"/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676275" y="179631975"/>
          <a:ext cx="14763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142</xdr:row>
      <xdr:rowOff>19050</xdr:rowOff>
    </xdr:from>
    <xdr:to>
      <xdr:col>1</xdr:col>
      <xdr:colOff>1562100</xdr:colOff>
      <xdr:row>142</xdr:row>
      <xdr:rowOff>1466850</xdr:rowOff>
    </xdr:to>
    <xdr:pic>
      <xdr:nvPicPr>
        <xdr:cNvPr id="1310" name="Picture 138" descr="o90fx79prxM"/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676275" y="181051200"/>
          <a:ext cx="14763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143</xdr:row>
      <xdr:rowOff>57150</xdr:rowOff>
    </xdr:from>
    <xdr:to>
      <xdr:col>1</xdr:col>
      <xdr:colOff>1562100</xdr:colOff>
      <xdr:row>143</xdr:row>
      <xdr:rowOff>1476375</xdr:rowOff>
    </xdr:to>
    <xdr:pic>
      <xdr:nvPicPr>
        <xdr:cNvPr id="1311" name="Picture 154" descr="B6rAduFKZaY"/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657225" y="182584725"/>
          <a:ext cx="14954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145</xdr:row>
      <xdr:rowOff>104775</xdr:rowOff>
    </xdr:from>
    <xdr:to>
      <xdr:col>1</xdr:col>
      <xdr:colOff>1552575</xdr:colOff>
      <xdr:row>145</xdr:row>
      <xdr:rowOff>1419225</xdr:rowOff>
    </xdr:to>
    <xdr:pic>
      <xdr:nvPicPr>
        <xdr:cNvPr id="1312" name="Picture 136" descr="6V6nZLoOkfE"/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666750" y="185623200"/>
          <a:ext cx="1476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147</xdr:row>
      <xdr:rowOff>123825</xdr:rowOff>
    </xdr:from>
    <xdr:to>
      <xdr:col>1</xdr:col>
      <xdr:colOff>1533525</xdr:colOff>
      <xdr:row>147</xdr:row>
      <xdr:rowOff>1285875</xdr:rowOff>
    </xdr:to>
    <xdr:pic>
      <xdr:nvPicPr>
        <xdr:cNvPr id="1313" name="Picture 149" descr="SSkeHpfZ-1Q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638175" y="188633100"/>
          <a:ext cx="14859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146</xdr:row>
      <xdr:rowOff>123825</xdr:rowOff>
    </xdr:from>
    <xdr:to>
      <xdr:col>1</xdr:col>
      <xdr:colOff>1466850</xdr:colOff>
      <xdr:row>146</xdr:row>
      <xdr:rowOff>1390650</xdr:rowOff>
    </xdr:to>
    <xdr:pic>
      <xdr:nvPicPr>
        <xdr:cNvPr id="1314" name="Picture 151" descr="DlValCBQenk"/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676275" y="187137675"/>
          <a:ext cx="1381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144</xdr:row>
      <xdr:rowOff>28575</xdr:rowOff>
    </xdr:from>
    <xdr:to>
      <xdr:col>1</xdr:col>
      <xdr:colOff>1552575</xdr:colOff>
      <xdr:row>144</xdr:row>
      <xdr:rowOff>1466850</xdr:rowOff>
    </xdr:to>
    <xdr:pic>
      <xdr:nvPicPr>
        <xdr:cNvPr id="1315" name="Picture 155" descr="slqDqlX2HqQ"/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695325" y="184051575"/>
          <a:ext cx="14478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149</xdr:row>
      <xdr:rowOff>57150</xdr:rowOff>
    </xdr:from>
    <xdr:to>
      <xdr:col>1</xdr:col>
      <xdr:colOff>1533525</xdr:colOff>
      <xdr:row>149</xdr:row>
      <xdr:rowOff>990600</xdr:rowOff>
    </xdr:to>
    <xdr:pic>
      <xdr:nvPicPr>
        <xdr:cNvPr id="1316" name="Picture 106" descr="WXWatGrFhjM"/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676275" y="191119125"/>
          <a:ext cx="14478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152</xdr:row>
      <xdr:rowOff>57150</xdr:rowOff>
    </xdr:from>
    <xdr:to>
      <xdr:col>1</xdr:col>
      <xdr:colOff>1562100</xdr:colOff>
      <xdr:row>152</xdr:row>
      <xdr:rowOff>1457325</xdr:rowOff>
    </xdr:to>
    <xdr:pic>
      <xdr:nvPicPr>
        <xdr:cNvPr id="1317" name="Picture 121" descr="jD2RYMSzJv0"/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657225" y="195052950"/>
          <a:ext cx="14954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150</xdr:row>
      <xdr:rowOff>66675</xdr:rowOff>
    </xdr:from>
    <xdr:to>
      <xdr:col>1</xdr:col>
      <xdr:colOff>1543050</xdr:colOff>
      <xdr:row>150</xdr:row>
      <xdr:rowOff>1114425</xdr:rowOff>
    </xdr:to>
    <xdr:pic>
      <xdr:nvPicPr>
        <xdr:cNvPr id="1318" name="Picture 127" descr="0Z6njB2s9CU"/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704850" y="192204975"/>
          <a:ext cx="1428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151</xdr:row>
      <xdr:rowOff>19050</xdr:rowOff>
    </xdr:from>
    <xdr:to>
      <xdr:col>1</xdr:col>
      <xdr:colOff>1524000</xdr:colOff>
      <xdr:row>151</xdr:row>
      <xdr:rowOff>1495425</xdr:rowOff>
    </xdr:to>
    <xdr:pic>
      <xdr:nvPicPr>
        <xdr:cNvPr id="1319" name="Picture 135" descr="BuyyGkTpkvM"/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638175" y="193338450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153</xdr:row>
      <xdr:rowOff>47625</xdr:rowOff>
    </xdr:from>
    <xdr:to>
      <xdr:col>1</xdr:col>
      <xdr:colOff>1552575</xdr:colOff>
      <xdr:row>153</xdr:row>
      <xdr:rowOff>1476375</xdr:rowOff>
    </xdr:to>
    <xdr:pic>
      <xdr:nvPicPr>
        <xdr:cNvPr id="1320" name="Picture 131" descr="AUc_ts_d6-Y"/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657225" y="196538850"/>
          <a:ext cx="1485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154</xdr:row>
      <xdr:rowOff>57150</xdr:rowOff>
    </xdr:from>
    <xdr:to>
      <xdr:col>1</xdr:col>
      <xdr:colOff>1552575</xdr:colOff>
      <xdr:row>154</xdr:row>
      <xdr:rowOff>1057275</xdr:rowOff>
    </xdr:to>
    <xdr:pic>
      <xdr:nvPicPr>
        <xdr:cNvPr id="1321" name="Picture 142" descr="xVGF409ggZg"/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666750" y="198091425"/>
          <a:ext cx="1476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116</xdr:row>
      <xdr:rowOff>57150</xdr:rowOff>
    </xdr:from>
    <xdr:to>
      <xdr:col>1</xdr:col>
      <xdr:colOff>1457325</xdr:colOff>
      <xdr:row>116</xdr:row>
      <xdr:rowOff>1600200</xdr:rowOff>
    </xdr:to>
    <xdr:pic>
      <xdr:nvPicPr>
        <xdr:cNvPr id="1322" name="Picture 153" descr="Yf5kqhtjS8Q"/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638175" y="144713325"/>
          <a:ext cx="14097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36</xdr:row>
      <xdr:rowOff>104775</xdr:rowOff>
    </xdr:from>
    <xdr:to>
      <xdr:col>1</xdr:col>
      <xdr:colOff>1562100</xdr:colOff>
      <xdr:row>36</xdr:row>
      <xdr:rowOff>1114425</xdr:rowOff>
    </xdr:to>
    <xdr:pic>
      <xdr:nvPicPr>
        <xdr:cNvPr id="1323" name="Рисунок 420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638175" y="40719375"/>
          <a:ext cx="15144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R283"/>
  <sheetViews>
    <sheetView tabSelected="1" topLeftCell="F10" workbookViewId="0">
      <selection activeCell="M12" sqref="M12:N12"/>
    </sheetView>
  </sheetViews>
  <sheetFormatPr defaultColWidth="8.85546875" defaultRowHeight="15"/>
  <cols>
    <col min="1" max="1" width="8.85546875" style="7"/>
    <col min="2" max="2" width="24.42578125" style="7" customWidth="1"/>
    <col min="3" max="3" width="13.5703125" style="8" bestFit="1" customWidth="1"/>
    <col min="4" max="4" width="16.28515625" style="9" customWidth="1"/>
    <col min="5" max="5" width="16.28515625" style="18" customWidth="1"/>
    <col min="6" max="6" width="16.28515625" style="11" customWidth="1"/>
    <col min="7" max="7" width="16.28515625" style="12" customWidth="1"/>
    <col min="8" max="8" width="11.7109375" style="7" customWidth="1"/>
    <col min="9" max="9" width="9.140625" style="13" customWidth="1"/>
    <col min="10" max="11" width="10.140625" style="7" customWidth="1"/>
    <col min="12" max="12" width="10.5703125" style="13" customWidth="1"/>
    <col min="13" max="13" width="10.7109375" style="14" customWidth="1"/>
    <col min="14" max="14" width="10" style="15" customWidth="1"/>
    <col min="15" max="15" width="16.5703125" style="16" customWidth="1"/>
    <col min="16" max="16" width="19.42578125" style="17" customWidth="1"/>
    <col min="17" max="16384" width="8.85546875" style="7"/>
  </cols>
  <sheetData>
    <row r="1" spans="2:16" s="1" customFormat="1" ht="30">
      <c r="C1" s="2" t="s">
        <v>0</v>
      </c>
      <c r="D1" s="1" t="s">
        <v>1</v>
      </c>
      <c r="E1" s="1" t="s">
        <v>2</v>
      </c>
      <c r="F1" s="3">
        <v>24.68</v>
      </c>
      <c r="G1" s="4"/>
      <c r="H1" s="5" t="s">
        <v>3</v>
      </c>
      <c r="I1" s="5" t="s">
        <v>4</v>
      </c>
      <c r="J1" s="5" t="s">
        <v>5</v>
      </c>
      <c r="K1" s="5" t="s">
        <v>6</v>
      </c>
      <c r="L1" s="5" t="s">
        <v>7</v>
      </c>
      <c r="M1" s="5" t="s">
        <v>8</v>
      </c>
      <c r="N1" s="5" t="s">
        <v>9</v>
      </c>
      <c r="O1" s="6"/>
      <c r="P1" s="6"/>
    </row>
    <row r="2" spans="2:16" ht="90">
      <c r="C2" s="8" t="s">
        <v>10</v>
      </c>
      <c r="D2" s="9" t="s">
        <v>11</v>
      </c>
      <c r="E2" s="10" t="s">
        <v>12</v>
      </c>
      <c r="F2" s="11">
        <f>15.23*F1+226</f>
        <v>601.87639999999999</v>
      </c>
      <c r="G2" s="12">
        <f>16.75*F1+248</f>
        <v>661.39</v>
      </c>
      <c r="H2" s="7" t="s">
        <v>13</v>
      </c>
      <c r="I2" s="13" t="s">
        <v>14</v>
      </c>
      <c r="J2" s="7" t="s">
        <v>15</v>
      </c>
      <c r="L2" s="13" t="s">
        <v>16</v>
      </c>
      <c r="M2" s="14" t="s">
        <v>17</v>
      </c>
      <c r="N2" s="15" t="s">
        <v>18</v>
      </c>
      <c r="P2" s="17" t="s">
        <v>19</v>
      </c>
    </row>
    <row r="3" spans="2:16" ht="90">
      <c r="C3" s="8" t="s">
        <v>20</v>
      </c>
      <c r="D3" s="9" t="s">
        <v>21</v>
      </c>
      <c r="E3" s="18" t="s">
        <v>22</v>
      </c>
      <c r="F3" s="11">
        <f>16.69*F1+231</f>
        <v>642.90920000000006</v>
      </c>
      <c r="G3" s="12">
        <f>18.36*F1+253</f>
        <v>706.12480000000005</v>
      </c>
      <c r="I3" s="13" t="s">
        <v>14</v>
      </c>
      <c r="J3" s="7" t="s">
        <v>15</v>
      </c>
      <c r="L3" s="13" t="s">
        <v>23</v>
      </c>
      <c r="M3" s="14" t="s">
        <v>24</v>
      </c>
      <c r="N3" s="15" t="s">
        <v>18</v>
      </c>
      <c r="P3" s="17" t="s">
        <v>19</v>
      </c>
    </row>
    <row r="4" spans="2:16" ht="90">
      <c r="C4" s="8" t="s">
        <v>25</v>
      </c>
      <c r="D4" s="9" t="s">
        <v>26</v>
      </c>
      <c r="E4" s="18" t="s">
        <v>27</v>
      </c>
      <c r="F4" s="11">
        <f>14.94*F1+231</f>
        <v>599.7192</v>
      </c>
      <c r="G4" s="12">
        <f>16.43*F1+253</f>
        <v>658.49239999999998</v>
      </c>
      <c r="I4" s="13" t="s">
        <v>14</v>
      </c>
      <c r="J4" s="7" t="s">
        <v>15</v>
      </c>
      <c r="L4" s="13" t="s">
        <v>16</v>
      </c>
      <c r="M4" s="14" t="s">
        <v>24</v>
      </c>
      <c r="N4" s="15" t="s">
        <v>18</v>
      </c>
      <c r="P4" s="17" t="s">
        <v>19</v>
      </c>
    </row>
    <row r="5" spans="2:16" ht="90">
      <c r="C5" s="8" t="s">
        <v>28</v>
      </c>
      <c r="D5" s="9" t="s">
        <v>29</v>
      </c>
      <c r="E5" s="18" t="s">
        <v>30</v>
      </c>
      <c r="F5" s="11">
        <f>15.72*F1+231</f>
        <v>618.96960000000001</v>
      </c>
      <c r="G5" s="12">
        <f>17.92*F1+253</f>
        <v>695.26560000000006</v>
      </c>
      <c r="H5" s="7" t="s">
        <v>31</v>
      </c>
      <c r="I5" s="13" t="s">
        <v>14</v>
      </c>
      <c r="J5" s="7" t="s">
        <v>15</v>
      </c>
      <c r="L5" s="13" t="s">
        <v>16</v>
      </c>
      <c r="M5" s="14" t="s">
        <v>24</v>
      </c>
      <c r="N5" s="15" t="s">
        <v>18</v>
      </c>
      <c r="P5" s="17" t="s">
        <v>19</v>
      </c>
    </row>
    <row r="6" spans="2:16" ht="90">
      <c r="C6" s="8" t="s">
        <v>32</v>
      </c>
      <c r="D6" s="9" t="s">
        <v>33</v>
      </c>
      <c r="E6" s="18" t="s">
        <v>34</v>
      </c>
      <c r="F6" s="11">
        <f>9.7*F1+156</f>
        <v>395.39599999999996</v>
      </c>
      <c r="G6" s="12">
        <f>10.67*F1+171</f>
        <v>434.3356</v>
      </c>
      <c r="H6" s="7" t="s">
        <v>35</v>
      </c>
      <c r="I6" s="13" t="s">
        <v>36</v>
      </c>
      <c r="L6" s="13" t="s">
        <v>37</v>
      </c>
      <c r="M6" s="14" t="s">
        <v>38</v>
      </c>
      <c r="N6" s="15" t="s">
        <v>39</v>
      </c>
    </row>
    <row r="7" spans="2:16" ht="120">
      <c r="C7" s="8" t="s">
        <v>40</v>
      </c>
      <c r="D7" s="9" t="s">
        <v>41</v>
      </c>
      <c r="E7" s="18" t="s">
        <v>42</v>
      </c>
      <c r="F7" s="11">
        <f>9.87*F1+156</f>
        <v>399.59159999999997</v>
      </c>
      <c r="G7" s="12">
        <f>10.86*F1+171</f>
        <v>439.02479999999997</v>
      </c>
      <c r="L7" s="13" t="s">
        <v>43</v>
      </c>
      <c r="M7" s="14" t="s">
        <v>44</v>
      </c>
      <c r="N7" s="15" t="s">
        <v>45</v>
      </c>
      <c r="O7" s="16" t="s">
        <v>46</v>
      </c>
    </row>
    <row r="8" spans="2:16" ht="120">
      <c r="B8"/>
      <c r="C8" s="8" t="s">
        <v>47</v>
      </c>
      <c r="D8" s="9" t="s">
        <v>48</v>
      </c>
      <c r="E8" s="18" t="s">
        <v>49</v>
      </c>
      <c r="F8" s="11">
        <f>9.87*F1+174</f>
        <v>417.59159999999997</v>
      </c>
      <c r="G8" s="12">
        <f>10.86*F1+191</f>
        <v>459.02479999999997</v>
      </c>
      <c r="L8" s="13" t="s">
        <v>37</v>
      </c>
      <c r="M8" s="14" t="s">
        <v>50</v>
      </c>
      <c r="N8" s="15" t="s">
        <v>51</v>
      </c>
      <c r="O8" s="16" t="s">
        <v>46</v>
      </c>
      <c r="P8" s="17" t="s">
        <v>52</v>
      </c>
    </row>
    <row r="9" spans="2:16" ht="105">
      <c r="C9" s="8" t="s">
        <v>53</v>
      </c>
      <c r="D9" s="9" t="s">
        <v>54</v>
      </c>
      <c r="E9" s="18" t="s">
        <v>55</v>
      </c>
      <c r="F9" s="11">
        <f>10.33*F1+157</f>
        <v>411.94439999999997</v>
      </c>
      <c r="G9" s="12">
        <f>11.36*F1+172</f>
        <v>452.3648</v>
      </c>
      <c r="L9" s="13" t="s">
        <v>43</v>
      </c>
      <c r="M9" s="14" t="s">
        <v>56</v>
      </c>
      <c r="N9" s="15" t="s">
        <v>45</v>
      </c>
    </row>
    <row r="10" spans="2:16" ht="105">
      <c r="B10"/>
      <c r="C10" s="8" t="s">
        <v>57</v>
      </c>
      <c r="D10" s="9" t="s">
        <v>54</v>
      </c>
      <c r="E10" s="18" t="s">
        <v>55</v>
      </c>
      <c r="F10" s="11">
        <f>10.33*F1+157</f>
        <v>411.94439999999997</v>
      </c>
      <c r="G10" s="12">
        <f>11.36*F1+172</f>
        <v>452.3648</v>
      </c>
      <c r="L10" s="13" t="s">
        <v>43</v>
      </c>
      <c r="M10" s="14" t="s">
        <v>56</v>
      </c>
      <c r="N10" s="15" t="s">
        <v>45</v>
      </c>
    </row>
    <row r="11" spans="2:16" ht="75">
      <c r="C11" s="8" t="s">
        <v>58</v>
      </c>
      <c r="D11" s="9" t="s">
        <v>59</v>
      </c>
      <c r="E11" s="18" t="s">
        <v>60</v>
      </c>
      <c r="F11" s="11">
        <f>13.57*F1+180</f>
        <v>514.9076</v>
      </c>
      <c r="G11" s="12">
        <f>14.93*F1+197</f>
        <v>565.47239999999999</v>
      </c>
      <c r="I11" s="13" t="s">
        <v>61</v>
      </c>
      <c r="J11" s="7" t="s">
        <v>62</v>
      </c>
      <c r="L11" s="13" t="s">
        <v>16</v>
      </c>
      <c r="M11" s="14" t="s">
        <v>63</v>
      </c>
      <c r="N11" s="15" t="s">
        <v>64</v>
      </c>
    </row>
    <row r="12" spans="2:16" s="8" customFormat="1" ht="75">
      <c r="B12" s="19"/>
      <c r="C12" s="8" t="s">
        <v>65</v>
      </c>
      <c r="D12" s="9" t="s">
        <v>66</v>
      </c>
      <c r="E12" s="18" t="s">
        <v>67</v>
      </c>
      <c r="F12" s="11">
        <f>13.05*F1+177</f>
        <v>499.07400000000001</v>
      </c>
      <c r="G12" s="12">
        <f>14.36*F1+194</f>
        <v>548.40480000000002</v>
      </c>
      <c r="I12" s="20" t="s">
        <v>68</v>
      </c>
      <c r="L12" s="20" t="s">
        <v>16</v>
      </c>
      <c r="M12" s="14" t="s">
        <v>63</v>
      </c>
      <c r="N12" s="15" t="s">
        <v>64</v>
      </c>
      <c r="O12" s="21"/>
      <c r="P12" s="17" t="s">
        <v>69</v>
      </c>
    </row>
    <row r="13" spans="2:16" s="8" customFormat="1" ht="75">
      <c r="B13" s="19"/>
      <c r="C13" s="8" t="s">
        <v>70</v>
      </c>
      <c r="D13" s="22" t="s">
        <v>71</v>
      </c>
      <c r="E13" s="23" t="s">
        <v>72</v>
      </c>
      <c r="F13" s="11">
        <f>14.61*F1+180</f>
        <v>540.57479999999998</v>
      </c>
      <c r="G13" s="12">
        <f>16.07*F1+197</f>
        <v>593.60760000000005</v>
      </c>
      <c r="I13" s="20" t="s">
        <v>68</v>
      </c>
      <c r="L13" s="20" t="s">
        <v>16</v>
      </c>
      <c r="M13" s="14" t="s">
        <v>63</v>
      </c>
      <c r="N13" s="15" t="s">
        <v>64</v>
      </c>
      <c r="O13" s="21"/>
      <c r="P13" s="17" t="s">
        <v>69</v>
      </c>
    </row>
    <row r="14" spans="2:16" s="8" customFormat="1" ht="75">
      <c r="B14"/>
      <c r="C14" s="8" t="s">
        <v>73</v>
      </c>
      <c r="D14" s="22" t="s">
        <v>74</v>
      </c>
      <c r="E14" s="23" t="s">
        <v>75</v>
      </c>
      <c r="F14" s="11">
        <f>14.5*F1+182</f>
        <v>539.86</v>
      </c>
      <c r="G14" s="12">
        <f>15.95*F1+200</f>
        <v>593.64599999999996</v>
      </c>
      <c r="I14" s="13" t="s">
        <v>61</v>
      </c>
      <c r="J14" s="7" t="s">
        <v>62</v>
      </c>
      <c r="K14" s="7"/>
      <c r="L14" s="13" t="s">
        <v>16</v>
      </c>
      <c r="M14" s="14" t="s">
        <v>63</v>
      </c>
      <c r="N14" s="15" t="s">
        <v>64</v>
      </c>
      <c r="O14" s="21"/>
      <c r="P14" s="17"/>
    </row>
    <row r="15" spans="2:16" s="8" customFormat="1" ht="90">
      <c r="B15" s="24"/>
      <c r="C15" s="8" t="s">
        <v>76</v>
      </c>
      <c r="D15" s="22" t="s">
        <v>77</v>
      </c>
      <c r="E15" s="23" t="s">
        <v>78</v>
      </c>
      <c r="F15" s="11">
        <f>11.19*F1+177</f>
        <v>453.16919999999999</v>
      </c>
      <c r="G15" s="12">
        <f>12.31*F1+194</f>
        <v>497.81080000000003</v>
      </c>
      <c r="I15" s="20"/>
      <c r="L15" s="20" t="s">
        <v>37</v>
      </c>
      <c r="M15" s="25" t="s">
        <v>79</v>
      </c>
      <c r="N15" s="26" t="s">
        <v>80</v>
      </c>
      <c r="O15" s="21"/>
      <c r="P15" s="27"/>
    </row>
    <row r="16" spans="2:16" s="8" customFormat="1" ht="90">
      <c r="B16" s="19"/>
      <c r="C16" s="8" t="s">
        <v>81</v>
      </c>
      <c r="D16" s="22" t="s">
        <v>77</v>
      </c>
      <c r="E16" s="23" t="s">
        <v>78</v>
      </c>
      <c r="F16" s="11">
        <f>11.19*F1+177</f>
        <v>453.16919999999999</v>
      </c>
      <c r="G16" s="12">
        <f>12.31*F1+194</f>
        <v>497.81080000000003</v>
      </c>
      <c r="I16" s="20"/>
      <c r="L16" s="20" t="s">
        <v>37</v>
      </c>
      <c r="M16" s="25" t="s">
        <v>79</v>
      </c>
      <c r="N16" s="26" t="s">
        <v>80</v>
      </c>
      <c r="O16" s="21"/>
      <c r="P16" s="17" t="s">
        <v>52</v>
      </c>
    </row>
    <row r="17" spans="2:16" s="8" customFormat="1" ht="90">
      <c r="B17" s="19"/>
      <c r="C17" s="8" t="s">
        <v>82</v>
      </c>
      <c r="D17" s="22" t="s">
        <v>83</v>
      </c>
      <c r="E17" s="23" t="s">
        <v>84</v>
      </c>
      <c r="F17" s="11">
        <f>11.42*F1+177</f>
        <v>458.84559999999999</v>
      </c>
      <c r="G17" s="12">
        <f>12.56*F1+194</f>
        <v>503.98079999999999</v>
      </c>
      <c r="I17" s="20"/>
      <c r="L17" s="20" t="s">
        <v>37</v>
      </c>
      <c r="M17" s="25" t="s">
        <v>79</v>
      </c>
      <c r="N17" s="26" t="s">
        <v>80</v>
      </c>
      <c r="O17" s="21"/>
      <c r="P17" s="27"/>
    </row>
    <row r="18" spans="2:16" s="8" customFormat="1" ht="90">
      <c r="B18" s="19"/>
      <c r="C18" s="8" t="s">
        <v>85</v>
      </c>
      <c r="D18" s="22" t="s">
        <v>86</v>
      </c>
      <c r="E18" s="23" t="s">
        <v>87</v>
      </c>
      <c r="F18" s="11">
        <f>12.26*F1+176</f>
        <v>478.57679999999999</v>
      </c>
      <c r="G18" s="12">
        <f>13.49*F1+193</f>
        <v>525.93319999999994</v>
      </c>
      <c r="I18" s="20"/>
      <c r="L18" s="20" t="s">
        <v>37</v>
      </c>
      <c r="M18" s="25" t="s">
        <v>79</v>
      </c>
      <c r="N18" s="26" t="s">
        <v>80</v>
      </c>
      <c r="O18" s="21"/>
      <c r="P18" s="27"/>
    </row>
    <row r="19" spans="2:16" s="8" customFormat="1" ht="90">
      <c r="B19" s="28"/>
      <c r="C19" s="8" t="s">
        <v>88</v>
      </c>
      <c r="D19" s="22" t="s">
        <v>89</v>
      </c>
      <c r="E19" s="23" t="s">
        <v>90</v>
      </c>
      <c r="F19" s="11">
        <f>11.59*F1+181</f>
        <v>467.0412</v>
      </c>
      <c r="G19" s="12">
        <f>12.75*F1+197</f>
        <v>511.67</v>
      </c>
      <c r="I19" s="20"/>
      <c r="L19" s="20" t="s">
        <v>37</v>
      </c>
      <c r="M19" s="25" t="s">
        <v>79</v>
      </c>
      <c r="N19" s="26" t="s">
        <v>80</v>
      </c>
      <c r="O19" s="21"/>
      <c r="P19" s="27"/>
    </row>
    <row r="20" spans="2:16" s="8" customFormat="1" ht="90">
      <c r="B20" s="19"/>
      <c r="C20" s="8" t="s">
        <v>91</v>
      </c>
      <c r="D20" s="22" t="s">
        <v>92</v>
      </c>
      <c r="E20" s="23" t="s">
        <v>93</v>
      </c>
      <c r="F20" s="11">
        <f>9.11*F1+177</f>
        <v>401.83479999999997</v>
      </c>
      <c r="G20" s="12">
        <f>10.02*F1+194</f>
        <v>441.29359999999997</v>
      </c>
      <c r="I20" s="20"/>
      <c r="L20" s="20" t="s">
        <v>37</v>
      </c>
      <c r="M20" s="25" t="s">
        <v>79</v>
      </c>
      <c r="N20" s="26" t="s">
        <v>80</v>
      </c>
      <c r="O20" s="21"/>
      <c r="P20" s="17" t="s">
        <v>52</v>
      </c>
    </row>
    <row r="21" spans="2:16" s="8" customFormat="1" ht="90">
      <c r="B21" s="19"/>
      <c r="C21" s="8" t="s">
        <v>94</v>
      </c>
      <c r="D21" s="22" t="s">
        <v>95</v>
      </c>
      <c r="E21" s="23" t="s">
        <v>96</v>
      </c>
      <c r="F21" s="11">
        <f>9.11*F1+192</f>
        <v>416.83479999999997</v>
      </c>
      <c r="G21" s="12">
        <f>10.02*F1+211</f>
        <v>458.29359999999997</v>
      </c>
      <c r="I21" s="20"/>
      <c r="L21" s="20" t="s">
        <v>37</v>
      </c>
      <c r="M21" s="25" t="s">
        <v>79</v>
      </c>
      <c r="N21" s="26" t="s">
        <v>80</v>
      </c>
      <c r="O21" s="21"/>
      <c r="P21" s="17" t="s">
        <v>52</v>
      </c>
    </row>
    <row r="22" spans="2:16" s="8" customFormat="1" ht="90">
      <c r="B22"/>
      <c r="C22" s="8" t="s">
        <v>97</v>
      </c>
      <c r="D22" s="22" t="s">
        <v>98</v>
      </c>
      <c r="E22" s="23" t="s">
        <v>99</v>
      </c>
      <c r="F22" s="11">
        <f>12.52*F1+181</f>
        <v>489.99359999999996</v>
      </c>
      <c r="G22" s="12">
        <f>13.77*F1+199</f>
        <v>538.84359999999992</v>
      </c>
      <c r="I22" s="20"/>
      <c r="L22" s="20" t="s">
        <v>37</v>
      </c>
      <c r="M22" s="25" t="s">
        <v>79</v>
      </c>
      <c r="N22" s="26" t="s">
        <v>80</v>
      </c>
      <c r="O22" s="21"/>
      <c r="P22" s="17" t="s">
        <v>52</v>
      </c>
    </row>
    <row r="23" spans="2:16" s="8" customFormat="1" ht="75">
      <c r="B23" s="19"/>
      <c r="C23" s="8" t="s">
        <v>100</v>
      </c>
      <c r="D23" s="22" t="s">
        <v>101</v>
      </c>
      <c r="E23" s="23" t="s">
        <v>102</v>
      </c>
      <c r="F23" s="11">
        <f>12.91*F1+162</f>
        <v>480.61880000000002</v>
      </c>
      <c r="G23" s="12">
        <f>14.2*F1+177</f>
        <v>527.4559999999999</v>
      </c>
      <c r="I23" s="20" t="s">
        <v>103</v>
      </c>
      <c r="L23" s="20" t="s">
        <v>16</v>
      </c>
      <c r="M23" s="25" t="s">
        <v>104</v>
      </c>
      <c r="N23" s="26" t="s">
        <v>105</v>
      </c>
      <c r="O23" s="21"/>
      <c r="P23" s="27"/>
    </row>
    <row r="24" spans="2:16" s="8" customFormat="1" ht="75">
      <c r="B24" s="19"/>
      <c r="C24" s="8" t="s">
        <v>106</v>
      </c>
      <c r="D24" s="22" t="s">
        <v>107</v>
      </c>
      <c r="E24" s="23" t="s">
        <v>108</v>
      </c>
      <c r="F24" s="11">
        <f>13.1*F1+162</f>
        <v>485.30799999999999</v>
      </c>
      <c r="G24" s="12">
        <f>14.41*F1+177</f>
        <v>532.63879999999995</v>
      </c>
      <c r="I24" s="20" t="s">
        <v>103</v>
      </c>
      <c r="L24" s="20" t="s">
        <v>16</v>
      </c>
      <c r="M24" s="25" t="s">
        <v>104</v>
      </c>
      <c r="N24" s="26" t="s">
        <v>105</v>
      </c>
      <c r="O24" s="21"/>
      <c r="P24" s="27"/>
    </row>
    <row r="25" spans="2:16" s="8" customFormat="1" ht="75">
      <c r="B25"/>
      <c r="C25" s="8" t="s">
        <v>109</v>
      </c>
      <c r="D25" s="22" t="s">
        <v>110</v>
      </c>
      <c r="E25" s="23" t="s">
        <v>111</v>
      </c>
      <c r="F25" s="11">
        <f>12.72*F1+173</f>
        <v>486.92959999999999</v>
      </c>
      <c r="G25" s="12">
        <f>13.99*F1+190</f>
        <v>535.27319999999997</v>
      </c>
      <c r="I25" s="20" t="s">
        <v>103</v>
      </c>
      <c r="L25" s="20" t="s">
        <v>16</v>
      </c>
      <c r="M25" s="25" t="s">
        <v>104</v>
      </c>
      <c r="N25" s="26" t="s">
        <v>105</v>
      </c>
      <c r="O25" s="21"/>
      <c r="P25" s="27"/>
    </row>
    <row r="26" spans="2:16" s="8" customFormat="1" ht="90">
      <c r="B26" s="19"/>
      <c r="C26" s="8" t="s">
        <v>112</v>
      </c>
      <c r="D26" s="22" t="s">
        <v>113</v>
      </c>
      <c r="E26" s="23" t="s">
        <v>114</v>
      </c>
      <c r="F26" s="11">
        <f>7.92*F1+146</f>
        <v>341.46559999999999</v>
      </c>
      <c r="G26" s="12">
        <f>8.71*F1+160</f>
        <v>374.96280000000002</v>
      </c>
      <c r="I26" s="20"/>
      <c r="L26" s="13" t="s">
        <v>37</v>
      </c>
      <c r="M26" s="25" t="s">
        <v>115</v>
      </c>
      <c r="N26" s="26" t="s">
        <v>116</v>
      </c>
      <c r="O26" s="21"/>
      <c r="P26" s="27"/>
    </row>
    <row r="27" spans="2:16" s="8" customFormat="1" ht="90">
      <c r="B27" s="19"/>
      <c r="C27" s="8" t="s">
        <v>117</v>
      </c>
      <c r="D27" s="22" t="s">
        <v>118</v>
      </c>
      <c r="E27" s="23" t="s">
        <v>119</v>
      </c>
      <c r="F27" s="11">
        <f>9.29*F1+153</f>
        <v>382.27719999999999</v>
      </c>
      <c r="G27" s="12">
        <f>10.22*F1+167</f>
        <v>419.2296</v>
      </c>
      <c r="I27" s="20"/>
      <c r="L27" s="13" t="s">
        <v>37</v>
      </c>
      <c r="M27" s="25" t="s">
        <v>115</v>
      </c>
      <c r="N27" s="26" t="s">
        <v>116</v>
      </c>
      <c r="O27" s="21"/>
      <c r="P27" s="27"/>
    </row>
    <row r="28" spans="2:16" s="8" customFormat="1" ht="90">
      <c r="B28" s="19"/>
      <c r="C28" s="8" t="s">
        <v>120</v>
      </c>
      <c r="D28" s="22" t="s">
        <v>121</v>
      </c>
      <c r="E28" s="23" t="s">
        <v>122</v>
      </c>
      <c r="F28" s="11">
        <f>9.91*F1+153</f>
        <v>397.5788</v>
      </c>
      <c r="G28" s="12">
        <f>10.9*F1+167</f>
        <v>436.012</v>
      </c>
      <c r="I28" s="20"/>
      <c r="L28" s="13" t="s">
        <v>37</v>
      </c>
      <c r="M28" s="25" t="s">
        <v>115</v>
      </c>
      <c r="N28" s="26" t="s">
        <v>116</v>
      </c>
      <c r="O28" s="21"/>
      <c r="P28" s="27"/>
    </row>
    <row r="29" spans="2:16" s="8" customFormat="1" ht="90">
      <c r="C29" s="8" t="s">
        <v>123</v>
      </c>
      <c r="D29" s="22" t="s">
        <v>124</v>
      </c>
      <c r="E29" s="23" t="s">
        <v>125</v>
      </c>
      <c r="F29" s="11">
        <f>13.36*F1+171</f>
        <v>500.72479999999996</v>
      </c>
      <c r="G29" s="12">
        <f>15.06*F1+187</f>
        <v>558.68080000000009</v>
      </c>
      <c r="I29" s="20"/>
      <c r="L29" s="20" t="s">
        <v>37</v>
      </c>
      <c r="M29" s="25" t="s">
        <v>115</v>
      </c>
      <c r="N29" s="26" t="s">
        <v>116</v>
      </c>
      <c r="O29" s="21"/>
      <c r="P29" s="27"/>
    </row>
    <row r="30" spans="2:16" s="8" customFormat="1" ht="90">
      <c r="B30"/>
      <c r="C30" s="8" t="s">
        <v>126</v>
      </c>
      <c r="D30" s="22" t="s">
        <v>127</v>
      </c>
      <c r="E30" s="23" t="s">
        <v>128</v>
      </c>
      <c r="F30" s="11">
        <f>12.33*F1+172</f>
        <v>476.30439999999999</v>
      </c>
      <c r="G30" s="12">
        <f>13.56*F1+188</f>
        <v>522.66079999999999</v>
      </c>
      <c r="L30" s="20" t="s">
        <v>37</v>
      </c>
      <c r="M30" s="25" t="s">
        <v>115</v>
      </c>
      <c r="N30" s="26" t="s">
        <v>116</v>
      </c>
      <c r="O30" s="21"/>
      <c r="P30" s="27"/>
    </row>
    <row r="31" spans="2:16" s="8" customFormat="1" ht="90">
      <c r="B31" s="36"/>
      <c r="C31" s="8" t="s">
        <v>129</v>
      </c>
      <c r="D31" s="22" t="s">
        <v>130</v>
      </c>
      <c r="E31" s="23" t="s">
        <v>128</v>
      </c>
      <c r="F31" s="11">
        <f>12.33*F1+172</f>
        <v>476.30439999999999</v>
      </c>
      <c r="G31" s="12">
        <f>13.56*F1+188</f>
        <v>522.66079999999999</v>
      </c>
      <c r="I31" s="20"/>
      <c r="L31" s="13" t="s">
        <v>37</v>
      </c>
      <c r="M31" s="25" t="s">
        <v>115</v>
      </c>
      <c r="N31" s="26" t="s">
        <v>116</v>
      </c>
      <c r="O31" s="21"/>
      <c r="P31" s="27"/>
    </row>
    <row r="32" spans="2:16" s="8" customFormat="1" ht="75">
      <c r="B32"/>
      <c r="C32" s="8" t="s">
        <v>131</v>
      </c>
      <c r="D32" s="22" t="s">
        <v>132</v>
      </c>
      <c r="E32" s="23" t="s">
        <v>133</v>
      </c>
      <c r="F32" s="11">
        <f>14.08*F1+181</f>
        <v>528.49440000000004</v>
      </c>
      <c r="G32" s="12">
        <f>15.49*F1+199</f>
        <v>581.29320000000007</v>
      </c>
      <c r="I32" s="20" t="s">
        <v>134</v>
      </c>
      <c r="J32" s="8" t="s">
        <v>135</v>
      </c>
      <c r="L32" s="13" t="s">
        <v>16</v>
      </c>
      <c r="M32" s="14" t="s">
        <v>136</v>
      </c>
      <c r="N32" s="26"/>
      <c r="O32" s="21"/>
      <c r="P32" s="27" t="s">
        <v>137</v>
      </c>
    </row>
    <row r="33" spans="2:18" s="8" customFormat="1" ht="102.6" customHeight="1">
      <c r="B33"/>
      <c r="C33" s="8" t="s">
        <v>138</v>
      </c>
      <c r="D33" s="22" t="s">
        <v>139</v>
      </c>
      <c r="E33" s="23" t="s">
        <v>140</v>
      </c>
      <c r="F33" s="11">
        <f>12.97*F1+181</f>
        <v>501.09960000000001</v>
      </c>
      <c r="G33" s="12">
        <f>14.27*F1+199</f>
        <v>551.18360000000007</v>
      </c>
      <c r="I33" s="20" t="s">
        <v>13</v>
      </c>
      <c r="J33" s="8" t="s">
        <v>141</v>
      </c>
      <c r="L33" s="13" t="s">
        <v>43</v>
      </c>
      <c r="M33" s="14" t="s">
        <v>142</v>
      </c>
      <c r="N33" s="15"/>
      <c r="O33" s="21" t="s">
        <v>143</v>
      </c>
      <c r="P33" s="17" t="s">
        <v>52</v>
      </c>
    </row>
    <row r="34" spans="2:18" s="8" customFormat="1" ht="102.6" customHeight="1">
      <c r="B34" s="37" t="s">
        <v>144</v>
      </c>
      <c r="C34" s="8" t="s">
        <v>145</v>
      </c>
      <c r="D34" s="22" t="s">
        <v>146</v>
      </c>
      <c r="E34" s="23" t="s">
        <v>147</v>
      </c>
      <c r="F34" s="11">
        <f>12.48*F1+173</f>
        <v>481.00639999999999</v>
      </c>
      <c r="G34" s="12">
        <f>13.73*F1+190</f>
        <v>528.85640000000001</v>
      </c>
      <c r="I34" s="20" t="s">
        <v>13</v>
      </c>
      <c r="J34" s="8" t="s">
        <v>141</v>
      </c>
      <c r="L34" s="13" t="s">
        <v>43</v>
      </c>
      <c r="M34" s="14" t="s">
        <v>142</v>
      </c>
      <c r="N34" s="15"/>
      <c r="O34" s="21" t="s">
        <v>143</v>
      </c>
      <c r="P34" s="17" t="s">
        <v>52</v>
      </c>
    </row>
    <row r="35" spans="2:18" s="8" customFormat="1" ht="102.6" customHeight="1">
      <c r="B35" s="19"/>
      <c r="C35" s="8" t="s">
        <v>148</v>
      </c>
      <c r="D35" s="22" t="s">
        <v>149</v>
      </c>
      <c r="E35" s="23" t="s">
        <v>150</v>
      </c>
      <c r="F35" s="11">
        <f>13.55*F1+178</f>
        <v>512.41399999999999</v>
      </c>
      <c r="G35" s="12">
        <f>14.91*F1+196</f>
        <v>563.97879999999998</v>
      </c>
      <c r="I35" s="20" t="s">
        <v>151</v>
      </c>
      <c r="J35" s="8" t="s">
        <v>15</v>
      </c>
      <c r="L35" s="13" t="s">
        <v>16</v>
      </c>
      <c r="M35" s="14" t="s">
        <v>136</v>
      </c>
      <c r="N35" s="15"/>
      <c r="O35" s="21"/>
      <c r="P35" s="17" t="s">
        <v>52</v>
      </c>
    </row>
    <row r="36" spans="2:18" s="8" customFormat="1" ht="102.6" customHeight="1">
      <c r="B36"/>
      <c r="C36" s="8" t="s">
        <v>152</v>
      </c>
      <c r="D36" s="22" t="s">
        <v>153</v>
      </c>
      <c r="E36" s="23" t="s">
        <v>154</v>
      </c>
      <c r="F36" s="11">
        <f>14.55*F1+173</f>
        <v>532.09400000000005</v>
      </c>
      <c r="G36" s="12">
        <f>16.01*F1+190</f>
        <v>585.1268</v>
      </c>
      <c r="I36" s="20" t="s">
        <v>151</v>
      </c>
      <c r="J36" s="8" t="s">
        <v>15</v>
      </c>
      <c r="L36" s="13" t="s">
        <v>16</v>
      </c>
      <c r="M36" s="14" t="s">
        <v>136</v>
      </c>
      <c r="N36" s="15"/>
      <c r="O36" s="21"/>
      <c r="P36" s="17" t="s">
        <v>52</v>
      </c>
    </row>
    <row r="37" spans="2:18" s="8" customFormat="1" ht="102.6" customHeight="1">
      <c r="B37"/>
      <c r="C37" s="8" t="s">
        <v>155</v>
      </c>
      <c r="D37" s="22" t="s">
        <v>156</v>
      </c>
      <c r="E37" s="23" t="s">
        <v>157</v>
      </c>
      <c r="F37" s="11">
        <f>11.84*F1+178</f>
        <v>470.21120000000002</v>
      </c>
      <c r="G37" s="12">
        <f>13.02*F1+196</f>
        <v>517.33359999999993</v>
      </c>
      <c r="I37" s="20" t="s">
        <v>151</v>
      </c>
      <c r="J37" s="8" t="s">
        <v>15</v>
      </c>
      <c r="L37" s="13" t="s">
        <v>16</v>
      </c>
      <c r="M37" s="14" t="s">
        <v>136</v>
      </c>
      <c r="N37" s="15"/>
      <c r="O37" s="21"/>
      <c r="P37" s="17" t="s">
        <v>52</v>
      </c>
    </row>
    <row r="38" spans="2:18" ht="108" customHeight="1">
      <c r="C38" s="8" t="s">
        <v>158</v>
      </c>
      <c r="D38" s="9" t="s">
        <v>159</v>
      </c>
      <c r="E38" s="18" t="s">
        <v>160</v>
      </c>
      <c r="F38" s="11">
        <f>12.04*F1+170</f>
        <v>467.1472</v>
      </c>
      <c r="G38" s="12">
        <f>13.24*F1+186</f>
        <v>512.76319999999998</v>
      </c>
      <c r="I38" s="13" t="s">
        <v>161</v>
      </c>
      <c r="L38" s="13" t="s">
        <v>37</v>
      </c>
      <c r="M38" s="14" t="s">
        <v>162</v>
      </c>
      <c r="N38" s="15" t="s">
        <v>163</v>
      </c>
      <c r="O38" s="16" t="s">
        <v>46</v>
      </c>
      <c r="P38" s="17" t="s">
        <v>164</v>
      </c>
    </row>
    <row r="39" spans="2:18" ht="111.6" customHeight="1">
      <c r="C39" s="8" t="s">
        <v>165</v>
      </c>
      <c r="D39" s="9" t="s">
        <v>166</v>
      </c>
      <c r="E39" s="18" t="s">
        <v>167</v>
      </c>
      <c r="F39" s="11">
        <f>13.28*F1+174</f>
        <v>501.75039999999996</v>
      </c>
      <c r="G39" s="12">
        <f>14.61*F1+190</f>
        <v>550.57479999999998</v>
      </c>
      <c r="I39" s="13" t="s">
        <v>161</v>
      </c>
      <c r="L39" s="13" t="s">
        <v>37</v>
      </c>
      <c r="M39" s="14" t="s">
        <v>162</v>
      </c>
      <c r="N39" s="15" t="s">
        <v>163</v>
      </c>
      <c r="O39" s="16" t="s">
        <v>46</v>
      </c>
      <c r="P39" s="17" t="s">
        <v>164</v>
      </c>
    </row>
    <row r="40" spans="2:18" ht="104.45" customHeight="1">
      <c r="B40"/>
      <c r="C40" s="8" t="s">
        <v>168</v>
      </c>
      <c r="D40" s="9" t="s">
        <v>169</v>
      </c>
      <c r="E40" s="18" t="s">
        <v>170</v>
      </c>
      <c r="F40" s="11">
        <f>12.47*F1+180</f>
        <v>487.75960000000003</v>
      </c>
      <c r="G40" s="12">
        <f>14.01*F1+197</f>
        <v>542.76679999999999</v>
      </c>
      <c r="I40" s="13" t="s">
        <v>61</v>
      </c>
      <c r="L40" s="20" t="s">
        <v>16</v>
      </c>
      <c r="M40" s="14" t="s">
        <v>63</v>
      </c>
      <c r="N40" s="15" t="s">
        <v>64</v>
      </c>
      <c r="O40" s="29" t="s">
        <v>171</v>
      </c>
    </row>
    <row r="41" spans="2:18" ht="87" customHeight="1">
      <c r="C41" s="8" t="s">
        <v>172</v>
      </c>
      <c r="D41" s="9" t="s">
        <v>173</v>
      </c>
      <c r="E41" s="18" t="s">
        <v>174</v>
      </c>
      <c r="F41" s="11">
        <f>11.97*F1+179</f>
        <v>474.4196</v>
      </c>
      <c r="G41" s="12">
        <f>13.17*F1+196</f>
        <v>521.03559999999993</v>
      </c>
      <c r="I41" s="13" t="s">
        <v>61</v>
      </c>
      <c r="L41" s="20" t="s">
        <v>16</v>
      </c>
      <c r="M41" s="14" t="s">
        <v>63</v>
      </c>
      <c r="N41" s="15" t="s">
        <v>64</v>
      </c>
    </row>
    <row r="42" spans="2:18" ht="87" customHeight="1">
      <c r="B42"/>
      <c r="C42" s="8" t="s">
        <v>175</v>
      </c>
      <c r="D42" s="9" t="s">
        <v>176</v>
      </c>
      <c r="E42" s="18" t="s">
        <v>177</v>
      </c>
      <c r="F42" s="11">
        <f>13.17*F1+179</f>
        <v>504.03559999999999</v>
      </c>
      <c r="G42" s="30">
        <f>14.49*F1+196</f>
        <v>553.61320000000001</v>
      </c>
      <c r="I42" s="13" t="s">
        <v>61</v>
      </c>
      <c r="L42" s="20" t="s">
        <v>16</v>
      </c>
      <c r="M42" s="14" t="s">
        <v>63</v>
      </c>
      <c r="N42" s="15" t="s">
        <v>64</v>
      </c>
    </row>
    <row r="43" spans="2:18" ht="105.6" customHeight="1">
      <c r="C43" s="8" t="s">
        <v>178</v>
      </c>
      <c r="D43" s="9" t="s">
        <v>179</v>
      </c>
      <c r="E43" s="18" t="s">
        <v>180</v>
      </c>
      <c r="F43" s="11">
        <f>11.64*F1+168</f>
        <v>455.27519999999998</v>
      </c>
      <c r="G43" s="12">
        <f>12.8*F1+184</f>
        <v>499.904</v>
      </c>
      <c r="H43" s="7" t="s">
        <v>35</v>
      </c>
      <c r="I43" s="13" t="s">
        <v>161</v>
      </c>
      <c r="L43" s="13" t="s">
        <v>37</v>
      </c>
      <c r="M43" s="14" t="s">
        <v>162</v>
      </c>
      <c r="N43" s="15" t="s">
        <v>163</v>
      </c>
      <c r="O43" s="16" t="s">
        <v>46</v>
      </c>
      <c r="P43" s="17" t="s">
        <v>164</v>
      </c>
    </row>
    <row r="44" spans="2:18" s="8" customFormat="1" ht="111.6" customHeight="1">
      <c r="B44" s="19"/>
      <c r="C44" s="8" t="s">
        <v>181</v>
      </c>
      <c r="D44" s="22" t="s">
        <v>182</v>
      </c>
      <c r="E44" s="23" t="s">
        <v>183</v>
      </c>
      <c r="F44" s="11">
        <f>13.49*F1+180</f>
        <v>512.93319999999994</v>
      </c>
      <c r="G44" s="12">
        <f>14.84*F1+197</f>
        <v>563.25119999999993</v>
      </c>
      <c r="I44" s="13" t="s">
        <v>161</v>
      </c>
      <c r="J44" s="7"/>
      <c r="K44" s="7"/>
      <c r="L44" s="13" t="s">
        <v>37</v>
      </c>
      <c r="M44" s="14" t="s">
        <v>162</v>
      </c>
      <c r="N44" s="15" t="s">
        <v>163</v>
      </c>
      <c r="O44" s="16" t="s">
        <v>46</v>
      </c>
      <c r="P44" s="17" t="s">
        <v>164</v>
      </c>
      <c r="Q44" s="7"/>
      <c r="R44" s="7"/>
    </row>
    <row r="45" spans="2:18" s="8" customFormat="1" ht="111.6" customHeight="1">
      <c r="B45" s="19"/>
      <c r="C45" s="8" t="s">
        <v>184</v>
      </c>
      <c r="D45" s="22" t="s">
        <v>185</v>
      </c>
      <c r="E45" s="23" t="s">
        <v>186</v>
      </c>
      <c r="F45" s="11">
        <f>10.68*F1+219</f>
        <v>482.58240000000001</v>
      </c>
      <c r="G45" s="12">
        <f>11.75*F1+240</f>
        <v>529.99</v>
      </c>
      <c r="H45" s="31" t="s">
        <v>187</v>
      </c>
      <c r="I45" s="13" t="s">
        <v>161</v>
      </c>
      <c r="J45" s="7"/>
      <c r="K45" s="7"/>
      <c r="L45" s="13" t="s">
        <v>37</v>
      </c>
      <c r="M45" s="14" t="s">
        <v>162</v>
      </c>
      <c r="N45" s="15" t="s">
        <v>163</v>
      </c>
      <c r="O45" s="16" t="s">
        <v>46</v>
      </c>
      <c r="P45" s="17" t="s">
        <v>164</v>
      </c>
      <c r="Q45" s="7"/>
      <c r="R45" s="7"/>
    </row>
    <row r="46" spans="2:18" s="8" customFormat="1" ht="111.6" customHeight="1">
      <c r="B46"/>
      <c r="C46" s="8" t="s">
        <v>188</v>
      </c>
      <c r="D46" s="22" t="s">
        <v>189</v>
      </c>
      <c r="E46" s="23" t="s">
        <v>190</v>
      </c>
      <c r="F46" s="11">
        <f>11.73*F1+187</f>
        <v>476.49639999999999</v>
      </c>
      <c r="G46" s="12">
        <f>12.9*F1+205</f>
        <v>523.37200000000007</v>
      </c>
      <c r="H46" s="7"/>
      <c r="I46" s="13" t="s">
        <v>161</v>
      </c>
      <c r="L46" s="13" t="s">
        <v>37</v>
      </c>
      <c r="M46" s="14" t="s">
        <v>162</v>
      </c>
      <c r="N46" s="15" t="s">
        <v>163</v>
      </c>
      <c r="O46" s="16" t="s">
        <v>46</v>
      </c>
      <c r="P46" s="17" t="s">
        <v>164</v>
      </c>
      <c r="Q46" s="7"/>
      <c r="R46" s="7"/>
    </row>
    <row r="47" spans="2:18" ht="99" customHeight="1">
      <c r="C47" s="8" t="s">
        <v>191</v>
      </c>
      <c r="D47" s="9" t="s">
        <v>192</v>
      </c>
      <c r="E47" s="18" t="s">
        <v>193</v>
      </c>
      <c r="F47" s="11">
        <f>13.75*F1+246</f>
        <v>585.35</v>
      </c>
      <c r="G47" s="12">
        <f>15.13*F1+270</f>
        <v>643.40840000000003</v>
      </c>
      <c r="H47" s="7" t="s">
        <v>13</v>
      </c>
      <c r="I47" s="13" t="s">
        <v>14</v>
      </c>
      <c r="J47" s="7" t="s">
        <v>15</v>
      </c>
      <c r="L47" s="13" t="s">
        <v>16</v>
      </c>
      <c r="M47" s="14" t="s">
        <v>24</v>
      </c>
      <c r="N47" s="15" t="s">
        <v>18</v>
      </c>
      <c r="P47" s="17" t="s">
        <v>19</v>
      </c>
    </row>
    <row r="48" spans="2:18" ht="105.6" customHeight="1">
      <c r="B48" s="19"/>
      <c r="C48" s="8" t="s">
        <v>194</v>
      </c>
      <c r="D48" s="9" t="s">
        <v>195</v>
      </c>
      <c r="E48" s="18" t="s">
        <v>196</v>
      </c>
      <c r="F48" s="11">
        <f>14.65*F1+196</f>
        <v>557.56200000000001</v>
      </c>
      <c r="G48" s="12">
        <f>16.12*F1+215</f>
        <v>612.84159999999997</v>
      </c>
      <c r="I48" s="13" t="s">
        <v>161</v>
      </c>
      <c r="L48" s="13" t="s">
        <v>37</v>
      </c>
      <c r="M48" s="14" t="s">
        <v>197</v>
      </c>
      <c r="P48" s="17" t="s">
        <v>164</v>
      </c>
    </row>
    <row r="49" spans="2:16" ht="99" customHeight="1">
      <c r="B49"/>
      <c r="C49" s="8" t="s">
        <v>198</v>
      </c>
      <c r="D49" s="9" t="s">
        <v>199</v>
      </c>
      <c r="E49" s="18" t="s">
        <v>200</v>
      </c>
      <c r="F49" s="11">
        <f>8.9*F1+151</f>
        <v>370.65200000000004</v>
      </c>
      <c r="G49" s="12">
        <f>9.79*F1+165</f>
        <v>406.61719999999997</v>
      </c>
      <c r="L49" s="13" t="s">
        <v>37</v>
      </c>
      <c r="M49" s="14" t="s">
        <v>38</v>
      </c>
      <c r="N49" s="15" t="s">
        <v>39</v>
      </c>
    </row>
    <row r="50" spans="2:16" ht="105.6" customHeight="1">
      <c r="C50" s="8" t="s">
        <v>201</v>
      </c>
      <c r="D50" s="9" t="s">
        <v>199</v>
      </c>
      <c r="E50" s="18" t="s">
        <v>200</v>
      </c>
      <c r="F50" s="11">
        <f>8.9*F1+151</f>
        <v>370.65200000000004</v>
      </c>
      <c r="G50" s="12">
        <f>9.79*F1+165</f>
        <v>406.61719999999997</v>
      </c>
      <c r="L50" s="13" t="s">
        <v>43</v>
      </c>
      <c r="M50" s="14" t="s">
        <v>56</v>
      </c>
      <c r="N50" s="15" t="s">
        <v>45</v>
      </c>
      <c r="O50" s="16" t="s">
        <v>46</v>
      </c>
    </row>
    <row r="51" spans="2:16" ht="105.6" customHeight="1">
      <c r="B51"/>
      <c r="C51" s="8" t="s">
        <v>202</v>
      </c>
      <c r="D51" s="9" t="s">
        <v>203</v>
      </c>
      <c r="E51" s="18" t="s">
        <v>204</v>
      </c>
      <c r="F51" s="11">
        <f>10.86*F1+133</f>
        <v>401.02479999999997</v>
      </c>
      <c r="G51" s="12">
        <f>11.95*F1+145</f>
        <v>439.92599999999999</v>
      </c>
      <c r="L51" s="13" t="s">
        <v>37</v>
      </c>
      <c r="M51" s="14" t="s">
        <v>50</v>
      </c>
      <c r="N51" s="15" t="s">
        <v>45</v>
      </c>
      <c r="O51" s="16" t="s">
        <v>46</v>
      </c>
      <c r="P51" s="17" t="s">
        <v>52</v>
      </c>
    </row>
    <row r="52" spans="2:16" ht="100.9" customHeight="1">
      <c r="B52" s="19"/>
      <c r="C52" s="8" t="s">
        <v>205</v>
      </c>
      <c r="D52" s="9" t="s">
        <v>206</v>
      </c>
      <c r="E52" s="18" t="s">
        <v>207</v>
      </c>
      <c r="F52" s="11">
        <f>8.9*F1+166</f>
        <v>385.65200000000004</v>
      </c>
      <c r="G52" s="12">
        <f>9.79*F1+182</f>
        <v>423.61719999999997</v>
      </c>
      <c r="L52" s="13" t="s">
        <v>43</v>
      </c>
      <c r="M52" s="14" t="s">
        <v>56</v>
      </c>
      <c r="N52" s="15" t="s">
        <v>45</v>
      </c>
      <c r="O52" s="16" t="s">
        <v>46</v>
      </c>
    </row>
    <row r="53" spans="2:16" ht="110.25" customHeight="1">
      <c r="C53" s="8" t="s">
        <v>208</v>
      </c>
      <c r="D53" s="9" t="s">
        <v>209</v>
      </c>
      <c r="E53" s="18" t="s">
        <v>210</v>
      </c>
      <c r="F53" s="11">
        <f>8.9*F1+196</f>
        <v>415.65200000000004</v>
      </c>
      <c r="G53" s="12">
        <f>9.79*F1+215</f>
        <v>456.61719999999997</v>
      </c>
      <c r="L53" s="13" t="s">
        <v>43</v>
      </c>
      <c r="M53" s="14" t="s">
        <v>56</v>
      </c>
      <c r="N53" s="15" t="s">
        <v>45</v>
      </c>
      <c r="O53" s="16" t="s">
        <v>46</v>
      </c>
    </row>
    <row r="54" spans="2:16" ht="110.25" customHeight="1">
      <c r="B54" s="19"/>
      <c r="C54" s="8" t="s">
        <v>211</v>
      </c>
      <c r="D54" s="9" t="s">
        <v>212</v>
      </c>
      <c r="E54" s="18" t="s">
        <v>213</v>
      </c>
      <c r="F54" s="11">
        <f>10.03*F1+140</f>
        <v>387.54039999999998</v>
      </c>
      <c r="G54" s="12">
        <f>11.03*F1+153</f>
        <v>425.22039999999998</v>
      </c>
      <c r="L54" s="13" t="s">
        <v>37</v>
      </c>
      <c r="M54" s="14" t="s">
        <v>50</v>
      </c>
      <c r="N54" s="15" t="s">
        <v>51</v>
      </c>
      <c r="O54" s="16" t="s">
        <v>46</v>
      </c>
      <c r="P54" s="17" t="s">
        <v>52</v>
      </c>
    </row>
    <row r="55" spans="2:16" ht="110.25" customHeight="1">
      <c r="B55" s="19"/>
      <c r="C55" s="8" t="s">
        <v>214</v>
      </c>
      <c r="D55" s="9" t="s">
        <v>215</v>
      </c>
      <c r="E55" s="18" t="s">
        <v>216</v>
      </c>
      <c r="F55" s="11">
        <f>10.03*F1+151</f>
        <v>398.54039999999998</v>
      </c>
      <c r="G55" s="12">
        <f>11.03*F1+165</f>
        <v>437.22039999999998</v>
      </c>
      <c r="L55" s="13" t="s">
        <v>37</v>
      </c>
      <c r="M55" s="14" t="s">
        <v>50</v>
      </c>
      <c r="N55" s="15" t="s">
        <v>51</v>
      </c>
      <c r="O55" s="16" t="s">
        <v>46</v>
      </c>
      <c r="P55" s="17" t="s">
        <v>52</v>
      </c>
    </row>
    <row r="56" spans="2:16" ht="110.25" customHeight="1">
      <c r="B56"/>
      <c r="C56" s="8" t="s">
        <v>217</v>
      </c>
      <c r="D56" s="9" t="s">
        <v>218</v>
      </c>
      <c r="E56" s="18" t="s">
        <v>219</v>
      </c>
      <c r="F56" s="11">
        <f>10.15*F1+156</f>
        <v>406.50200000000001</v>
      </c>
      <c r="G56" s="12">
        <f>11.16*F1+171</f>
        <v>446.42880000000002</v>
      </c>
      <c r="L56" s="13" t="s">
        <v>43</v>
      </c>
      <c r="M56" s="14" t="s">
        <v>56</v>
      </c>
      <c r="N56" s="15" t="s">
        <v>45</v>
      </c>
      <c r="O56" s="16" t="s">
        <v>46</v>
      </c>
    </row>
    <row r="57" spans="2:16" ht="105" customHeight="1">
      <c r="C57" s="8" t="s">
        <v>220</v>
      </c>
      <c r="D57" s="9" t="s">
        <v>221</v>
      </c>
      <c r="E57" s="18" t="s">
        <v>222</v>
      </c>
      <c r="F57" s="11">
        <f>11.98*F1+184</f>
        <v>479.66640000000001</v>
      </c>
      <c r="G57" s="12">
        <f>13.18*F1+201</f>
        <v>526.28240000000005</v>
      </c>
      <c r="L57" s="13" t="s">
        <v>43</v>
      </c>
      <c r="M57" s="14" t="s">
        <v>56</v>
      </c>
      <c r="N57" s="15" t="s">
        <v>45</v>
      </c>
      <c r="O57" s="16" t="s">
        <v>46</v>
      </c>
    </row>
    <row r="58" spans="2:16" ht="103.9" customHeight="1">
      <c r="C58" s="8" t="s">
        <v>223</v>
      </c>
      <c r="D58" s="9" t="s">
        <v>224</v>
      </c>
      <c r="E58" s="18" t="s">
        <v>225</v>
      </c>
      <c r="F58" s="11">
        <f>11.38*F1+170</f>
        <v>450.85840000000002</v>
      </c>
      <c r="G58" s="12">
        <f>12.52*F1+186</f>
        <v>494.99359999999996</v>
      </c>
      <c r="L58" s="13" t="s">
        <v>43</v>
      </c>
      <c r="M58" s="14" t="s">
        <v>56</v>
      </c>
      <c r="N58" s="15" t="s">
        <v>45</v>
      </c>
      <c r="O58" s="16" t="s">
        <v>46</v>
      </c>
    </row>
    <row r="59" spans="2:16" s="8" customFormat="1" ht="113.45" customHeight="1">
      <c r="B59" s="19"/>
      <c r="C59" s="8" t="s">
        <v>226</v>
      </c>
      <c r="D59" s="22" t="s">
        <v>227</v>
      </c>
      <c r="E59" s="23" t="s">
        <v>228</v>
      </c>
      <c r="F59" s="11">
        <f>10.57*F1+163</f>
        <v>423.86759999999998</v>
      </c>
      <c r="G59" s="12">
        <f>11.63*F1+177</f>
        <v>464.02840000000003</v>
      </c>
      <c r="I59" s="20"/>
      <c r="L59" s="13" t="s">
        <v>43</v>
      </c>
      <c r="M59" s="14" t="s">
        <v>56</v>
      </c>
      <c r="N59" s="15" t="s">
        <v>45</v>
      </c>
      <c r="O59" s="16" t="s">
        <v>46</v>
      </c>
      <c r="P59" s="27"/>
    </row>
    <row r="60" spans="2:16" s="8" customFormat="1" ht="113.45" customHeight="1">
      <c r="B60"/>
      <c r="C60" s="8" t="s">
        <v>229</v>
      </c>
      <c r="D60" s="22" t="s">
        <v>230</v>
      </c>
      <c r="E60" s="23" t="s">
        <v>231</v>
      </c>
      <c r="F60" s="11">
        <f>12.08*F1+186</f>
        <v>484.13439999999997</v>
      </c>
      <c r="G60" s="12">
        <f>13.29*F1+204</f>
        <v>531.99720000000002</v>
      </c>
      <c r="I60" s="20"/>
      <c r="L60" s="13" t="s">
        <v>37</v>
      </c>
      <c r="M60" s="14" t="s">
        <v>50</v>
      </c>
      <c r="N60" s="15" t="s">
        <v>51</v>
      </c>
      <c r="O60" s="16"/>
      <c r="P60" s="17" t="s">
        <v>52</v>
      </c>
    </row>
    <row r="61" spans="2:16" s="8" customFormat="1" ht="111" customHeight="1">
      <c r="B61" s="19"/>
      <c r="C61" s="8" t="s">
        <v>232</v>
      </c>
      <c r="D61" s="22" t="s">
        <v>233</v>
      </c>
      <c r="E61" s="23" t="s">
        <v>234</v>
      </c>
      <c r="F61" s="11">
        <f>10.38*F1+163</f>
        <v>419.17840000000001</v>
      </c>
      <c r="G61" s="12">
        <f>11.42*F1+178</f>
        <v>459.84559999999999</v>
      </c>
      <c r="I61" s="20"/>
      <c r="L61" s="13" t="s">
        <v>43</v>
      </c>
      <c r="M61" s="14" t="s">
        <v>235</v>
      </c>
      <c r="N61" s="15" t="s">
        <v>45</v>
      </c>
      <c r="O61" s="16" t="s">
        <v>46</v>
      </c>
      <c r="P61" s="27"/>
    </row>
    <row r="62" spans="2:16" s="8" customFormat="1" ht="111" customHeight="1">
      <c r="B62" s="19"/>
      <c r="C62" s="8" t="s">
        <v>236</v>
      </c>
      <c r="D62" s="22" t="s">
        <v>237</v>
      </c>
      <c r="E62" s="23" t="s">
        <v>238</v>
      </c>
      <c r="F62" s="11">
        <f>12.49*F1+163</f>
        <v>471.25319999999999</v>
      </c>
      <c r="G62" s="12">
        <f>13.74*F1+178</f>
        <v>517.10320000000002</v>
      </c>
      <c r="I62" s="20"/>
      <c r="L62" s="13" t="s">
        <v>37</v>
      </c>
      <c r="M62" s="14" t="s">
        <v>50</v>
      </c>
      <c r="N62" s="15" t="s">
        <v>51</v>
      </c>
      <c r="O62" s="16"/>
      <c r="P62" s="17" t="s">
        <v>52</v>
      </c>
    </row>
    <row r="63" spans="2:16" s="8" customFormat="1" ht="111" customHeight="1">
      <c r="B63" s="19"/>
      <c r="C63" s="8" t="s">
        <v>239</v>
      </c>
      <c r="D63" s="22" t="s">
        <v>240</v>
      </c>
      <c r="E63" s="23" t="s">
        <v>241</v>
      </c>
      <c r="F63" s="11">
        <f>11.94*F1+170</f>
        <v>464.67919999999998</v>
      </c>
      <c r="G63" s="12">
        <f>12.64*F1+186</f>
        <v>497.95519999999999</v>
      </c>
      <c r="I63" s="20"/>
      <c r="L63" s="13" t="s">
        <v>37</v>
      </c>
      <c r="M63" s="14" t="s">
        <v>50</v>
      </c>
      <c r="N63" s="15" t="s">
        <v>51</v>
      </c>
      <c r="O63" s="16" t="s">
        <v>46</v>
      </c>
      <c r="P63" s="27"/>
    </row>
    <row r="64" spans="2:16" s="8" customFormat="1" ht="111" customHeight="1">
      <c r="B64" s="19"/>
      <c r="C64" s="8" t="s">
        <v>242</v>
      </c>
      <c r="D64" s="22" t="s">
        <v>243</v>
      </c>
      <c r="E64" s="23" t="s">
        <v>244</v>
      </c>
      <c r="F64" s="11">
        <f>13.94*F1+170</f>
        <v>514.03919999999994</v>
      </c>
      <c r="G64" s="12">
        <f>15.33*F1+186</f>
        <v>564.34439999999995</v>
      </c>
      <c r="I64" s="20"/>
      <c r="L64" s="13" t="s">
        <v>37</v>
      </c>
      <c r="M64" s="14" t="s">
        <v>50</v>
      </c>
      <c r="N64" s="15" t="s">
        <v>51</v>
      </c>
      <c r="O64" s="16"/>
      <c r="P64" s="17" t="s">
        <v>52</v>
      </c>
    </row>
    <row r="65" spans="2:16" s="8" customFormat="1" ht="128.44999999999999" customHeight="1">
      <c r="B65" s="19"/>
      <c r="C65" s="8" t="s">
        <v>245</v>
      </c>
      <c r="D65" s="22" t="s">
        <v>246</v>
      </c>
      <c r="E65" s="23" t="s">
        <v>247</v>
      </c>
      <c r="F65" s="11">
        <f>12.02*F1+197</f>
        <v>493.65359999999998</v>
      </c>
      <c r="G65" s="12">
        <f>13.22*F1+216</f>
        <v>542.26960000000008</v>
      </c>
      <c r="H65" s="7"/>
      <c r="I65" s="13"/>
      <c r="J65" s="7"/>
      <c r="K65" s="7"/>
      <c r="L65" s="13" t="s">
        <v>43</v>
      </c>
      <c r="M65" s="14" t="s">
        <v>248</v>
      </c>
      <c r="N65" s="15" t="s">
        <v>249</v>
      </c>
      <c r="O65" s="21"/>
      <c r="P65" s="17"/>
    </row>
    <row r="66" spans="2:16" s="8" customFormat="1" ht="105.6" customHeight="1">
      <c r="B66" s="19"/>
      <c r="C66" s="8" t="s">
        <v>250</v>
      </c>
      <c r="D66" s="22" t="s">
        <v>251</v>
      </c>
      <c r="E66" s="23" t="s">
        <v>252</v>
      </c>
      <c r="F66" s="11">
        <f>9.11*F1+156</f>
        <v>380.83479999999997</v>
      </c>
      <c r="G66" s="12">
        <f>10.02*F1+171</f>
        <v>418.29359999999997</v>
      </c>
      <c r="H66" s="7"/>
      <c r="I66" s="13"/>
      <c r="J66" s="7"/>
      <c r="K66" s="7"/>
      <c r="L66" s="13" t="s">
        <v>43</v>
      </c>
      <c r="M66" s="14" t="s">
        <v>248</v>
      </c>
      <c r="N66" s="15" t="s">
        <v>249</v>
      </c>
      <c r="O66" s="21"/>
      <c r="P66" s="17"/>
    </row>
    <row r="67" spans="2:16" s="8" customFormat="1" ht="106.9" customHeight="1">
      <c r="B67" s="19"/>
      <c r="C67" s="8" t="s">
        <v>253</v>
      </c>
      <c r="D67" s="22" t="s">
        <v>254</v>
      </c>
      <c r="E67" s="23" t="s">
        <v>255</v>
      </c>
      <c r="F67" s="11">
        <f>9.98*F1+156</f>
        <v>402.3064</v>
      </c>
      <c r="G67" s="12">
        <f>10.98*F1+171</f>
        <v>441.9864</v>
      </c>
      <c r="H67" s="7"/>
      <c r="I67" s="13"/>
      <c r="J67" s="7"/>
      <c r="K67" s="7"/>
      <c r="L67" s="13" t="s">
        <v>43</v>
      </c>
      <c r="M67" s="14" t="s">
        <v>248</v>
      </c>
      <c r="N67" s="15" t="s">
        <v>249</v>
      </c>
      <c r="O67" s="21"/>
      <c r="P67" s="17"/>
    </row>
    <row r="68" spans="2:16" s="8" customFormat="1" ht="106.9" customHeight="1">
      <c r="B68" s="19"/>
      <c r="C68" s="8" t="s">
        <v>256</v>
      </c>
      <c r="D68" s="22" t="s">
        <v>257</v>
      </c>
      <c r="E68" s="23" t="s">
        <v>258</v>
      </c>
      <c r="F68" s="11">
        <f>10.23*F1+206</f>
        <v>458.47640000000001</v>
      </c>
      <c r="G68" s="12">
        <f>11.25*F1+226</f>
        <v>503.65</v>
      </c>
      <c r="H68" s="7"/>
      <c r="I68" s="13"/>
      <c r="J68" s="7"/>
      <c r="K68" s="7"/>
      <c r="L68" s="13" t="s">
        <v>43</v>
      </c>
      <c r="M68" s="14" t="s">
        <v>248</v>
      </c>
      <c r="N68" s="15" t="s">
        <v>249</v>
      </c>
      <c r="O68" s="21"/>
      <c r="P68" s="17"/>
    </row>
    <row r="69" spans="2:16" s="8" customFormat="1" ht="106.9" customHeight="1">
      <c r="B69" s="19"/>
      <c r="C69" s="8" t="s">
        <v>259</v>
      </c>
      <c r="D69" s="22" t="s">
        <v>260</v>
      </c>
      <c r="E69" s="23" t="s">
        <v>261</v>
      </c>
      <c r="F69" s="11">
        <f>13.6*F1+206</f>
        <v>541.64799999999991</v>
      </c>
      <c r="G69" s="12">
        <f>14.69*F1+226</f>
        <v>588.54919999999993</v>
      </c>
      <c r="H69" s="7" t="s">
        <v>262</v>
      </c>
      <c r="I69" s="13" t="s">
        <v>263</v>
      </c>
      <c r="J69" s="7" t="s">
        <v>264</v>
      </c>
      <c r="K69" s="7"/>
      <c r="L69" s="13" t="s">
        <v>16</v>
      </c>
      <c r="M69" s="14" t="s">
        <v>136</v>
      </c>
      <c r="N69" s="26"/>
      <c r="O69" s="21"/>
      <c r="P69" s="27" t="s">
        <v>137</v>
      </c>
    </row>
    <row r="70" spans="2:16" s="8" customFormat="1" ht="106.9" customHeight="1">
      <c r="B70"/>
      <c r="C70" s="8" t="s">
        <v>265</v>
      </c>
      <c r="D70" s="22" t="s">
        <v>266</v>
      </c>
      <c r="E70" s="23" t="s">
        <v>267</v>
      </c>
      <c r="F70" s="11">
        <f>13.73*F1+197</f>
        <v>535.85640000000001</v>
      </c>
      <c r="G70" s="12">
        <f>15.1*F1+216</f>
        <v>588.66800000000001</v>
      </c>
      <c r="H70" s="7"/>
      <c r="I70" s="13" t="s">
        <v>263</v>
      </c>
      <c r="J70" s="7" t="s">
        <v>264</v>
      </c>
      <c r="K70" s="7"/>
      <c r="L70" s="13" t="s">
        <v>16</v>
      </c>
      <c r="M70" s="14" t="s">
        <v>136</v>
      </c>
      <c r="N70" s="26"/>
      <c r="O70" s="21"/>
      <c r="P70" s="27" t="s">
        <v>137</v>
      </c>
    </row>
    <row r="71" spans="2:16" ht="91.9" customHeight="1">
      <c r="C71" s="8" t="s">
        <v>268</v>
      </c>
      <c r="D71" s="9" t="s">
        <v>269</v>
      </c>
      <c r="E71" s="18" t="s">
        <v>270</v>
      </c>
      <c r="F71" s="11">
        <f>11.32*F1+170</f>
        <v>449.37760000000003</v>
      </c>
      <c r="G71" s="12">
        <f>12.45*F1+186</f>
        <v>493.26599999999996</v>
      </c>
      <c r="H71" s="7" t="s">
        <v>13</v>
      </c>
      <c r="I71" s="13" t="s">
        <v>36</v>
      </c>
      <c r="L71" s="13" t="s">
        <v>37</v>
      </c>
      <c r="M71" s="14" t="s">
        <v>38</v>
      </c>
      <c r="N71" s="15" t="s">
        <v>39</v>
      </c>
    </row>
    <row r="72" spans="2:16" ht="96.6" customHeight="1">
      <c r="C72" s="8" t="s">
        <v>271</v>
      </c>
      <c r="D72" s="9" t="s">
        <v>272</v>
      </c>
      <c r="E72" s="18" t="s">
        <v>273</v>
      </c>
      <c r="F72" s="11">
        <f>9.89*F1+165</f>
        <v>409.08519999999999</v>
      </c>
      <c r="G72" s="12">
        <f>10.88*F1+180</f>
        <v>448.51840000000004</v>
      </c>
      <c r="I72" s="13" t="s">
        <v>36</v>
      </c>
      <c r="L72" s="13" t="s">
        <v>37</v>
      </c>
      <c r="M72" s="14" t="s">
        <v>38</v>
      </c>
      <c r="N72" s="15" t="s">
        <v>39</v>
      </c>
    </row>
    <row r="73" spans="2:16" ht="91.15" customHeight="1">
      <c r="C73" s="8" t="s">
        <v>274</v>
      </c>
      <c r="D73" s="9" t="s">
        <v>275</v>
      </c>
      <c r="E73" s="18" t="s">
        <v>276</v>
      </c>
      <c r="F73" s="11">
        <f>10.09*F1+165</f>
        <v>414.02120000000002</v>
      </c>
      <c r="G73" s="12">
        <f>11.1*F1+180</f>
        <v>453.94799999999998</v>
      </c>
      <c r="H73" s="7" t="s">
        <v>277</v>
      </c>
      <c r="I73" s="13" t="s">
        <v>36</v>
      </c>
      <c r="L73" s="13" t="s">
        <v>37</v>
      </c>
      <c r="M73" s="14" t="s">
        <v>38</v>
      </c>
      <c r="N73" s="15" t="s">
        <v>39</v>
      </c>
    </row>
    <row r="74" spans="2:16" ht="99" customHeight="1">
      <c r="C74" s="8" t="s">
        <v>278</v>
      </c>
      <c r="D74" s="9" t="s">
        <v>279</v>
      </c>
      <c r="E74" s="18" t="s">
        <v>280</v>
      </c>
      <c r="F74" s="11">
        <f>10.39*F1+165</f>
        <v>421.42520000000002</v>
      </c>
      <c r="G74" s="12">
        <f>11.43*F1+180</f>
        <v>462.0924</v>
      </c>
      <c r="H74" s="7" t="s">
        <v>277</v>
      </c>
      <c r="I74" s="13" t="s">
        <v>36</v>
      </c>
      <c r="L74" s="13" t="s">
        <v>37</v>
      </c>
      <c r="M74" s="14" t="s">
        <v>38</v>
      </c>
      <c r="N74" s="15" t="s">
        <v>39</v>
      </c>
    </row>
    <row r="75" spans="2:16" ht="90.6" customHeight="1">
      <c r="C75" s="8" t="s">
        <v>281</v>
      </c>
      <c r="D75" s="9" t="s">
        <v>272</v>
      </c>
      <c r="E75" s="18" t="s">
        <v>273</v>
      </c>
      <c r="F75" s="11">
        <f>9.89*F1+165</f>
        <v>409.08519999999999</v>
      </c>
      <c r="G75" s="12">
        <f>10.88*F1+180</f>
        <v>448.51840000000004</v>
      </c>
      <c r="I75" s="13" t="s">
        <v>36</v>
      </c>
      <c r="L75" s="13" t="s">
        <v>37</v>
      </c>
      <c r="M75" s="14" t="s">
        <v>38</v>
      </c>
      <c r="N75" s="15" t="s">
        <v>39</v>
      </c>
    </row>
    <row r="76" spans="2:16" ht="102" customHeight="1">
      <c r="C76" s="8" t="s">
        <v>282</v>
      </c>
      <c r="D76" s="9" t="s">
        <v>283</v>
      </c>
      <c r="E76" s="18" t="s">
        <v>284</v>
      </c>
      <c r="F76" s="11">
        <f>10.52*F1+170</f>
        <v>429.6336</v>
      </c>
      <c r="G76" s="12">
        <f>11.57*F1+186</f>
        <v>471.54759999999999</v>
      </c>
      <c r="H76" s="7" t="s">
        <v>13</v>
      </c>
      <c r="I76" s="13" t="s">
        <v>36</v>
      </c>
      <c r="L76" s="13" t="s">
        <v>37</v>
      </c>
      <c r="M76" s="14" t="s">
        <v>38</v>
      </c>
      <c r="N76" s="15" t="s">
        <v>39</v>
      </c>
    </row>
    <row r="77" spans="2:16" ht="102" customHeight="1">
      <c r="B77" s="19"/>
      <c r="C77" s="8" t="s">
        <v>285</v>
      </c>
      <c r="D77" s="9" t="s">
        <v>286</v>
      </c>
      <c r="E77" s="18" t="s">
        <v>287</v>
      </c>
      <c r="F77" s="11">
        <f>10.89*F1+195</f>
        <v>463.76519999999999</v>
      </c>
      <c r="G77" s="12">
        <f>11.98*F1+215</f>
        <v>510.66640000000001</v>
      </c>
      <c r="L77" s="13" t="s">
        <v>37</v>
      </c>
      <c r="M77" s="14" t="s">
        <v>38</v>
      </c>
      <c r="N77" s="15" t="s">
        <v>39</v>
      </c>
      <c r="P77" s="17" t="s">
        <v>288</v>
      </c>
    </row>
    <row r="78" spans="2:16" ht="102" customHeight="1">
      <c r="B78" s="19"/>
      <c r="C78" s="8" t="s">
        <v>289</v>
      </c>
      <c r="D78" s="9" t="s">
        <v>290</v>
      </c>
      <c r="E78" s="18" t="s">
        <v>291</v>
      </c>
      <c r="F78" s="11">
        <f>14.19*F1+194</f>
        <v>544.20920000000001</v>
      </c>
      <c r="G78" s="12">
        <f>15.61*F1+213</f>
        <v>598.25479999999993</v>
      </c>
      <c r="L78" s="13" t="s">
        <v>37</v>
      </c>
      <c r="M78" s="14" t="s">
        <v>38</v>
      </c>
      <c r="N78" s="15" t="s">
        <v>39</v>
      </c>
      <c r="P78" s="17" t="s">
        <v>288</v>
      </c>
    </row>
    <row r="79" spans="2:16" ht="102" customHeight="1">
      <c r="B79" s="19"/>
      <c r="C79" s="8" t="s">
        <v>292</v>
      </c>
      <c r="D79" s="9" t="s">
        <v>293</v>
      </c>
      <c r="E79" s="18" t="s">
        <v>294</v>
      </c>
      <c r="F79" s="11">
        <f>14.56*F1+170</f>
        <v>529.34079999999994</v>
      </c>
      <c r="G79" s="12">
        <f>16.02*F1+186</f>
        <v>581.37360000000001</v>
      </c>
      <c r="L79" s="13" t="s">
        <v>37</v>
      </c>
      <c r="M79" s="14" t="s">
        <v>295</v>
      </c>
    </row>
    <row r="80" spans="2:16" ht="102" customHeight="1">
      <c r="B80" s="19"/>
      <c r="C80" s="8" t="s">
        <v>296</v>
      </c>
      <c r="D80" s="9" t="s">
        <v>297</v>
      </c>
      <c r="E80" s="18" t="s">
        <v>298</v>
      </c>
      <c r="F80" s="11">
        <f>14.38*F1+167</f>
        <v>521.89840000000004</v>
      </c>
      <c r="G80" s="12">
        <f>15.82*F1+183</f>
        <v>573.43759999999997</v>
      </c>
      <c r="L80" s="13" t="s">
        <v>37</v>
      </c>
      <c r="M80" s="14" t="s">
        <v>295</v>
      </c>
    </row>
    <row r="81" spans="2:16" s="8" customFormat="1" ht="103.9" customHeight="1">
      <c r="B81" s="19"/>
      <c r="C81" s="8" t="s">
        <v>299</v>
      </c>
      <c r="D81" s="22" t="s">
        <v>300</v>
      </c>
      <c r="E81" s="23" t="s">
        <v>301</v>
      </c>
      <c r="F81" s="11">
        <f>14.51*F1+197</f>
        <v>555.10680000000002</v>
      </c>
      <c r="G81" s="12">
        <f>15.96*F1+216</f>
        <v>609.89280000000008</v>
      </c>
      <c r="H81" s="7" t="s">
        <v>302</v>
      </c>
      <c r="I81" s="13" t="s">
        <v>13</v>
      </c>
      <c r="J81" s="7" t="s">
        <v>141</v>
      </c>
      <c r="K81" s="7"/>
      <c r="L81" s="13" t="s">
        <v>43</v>
      </c>
      <c r="M81" s="14" t="s">
        <v>142</v>
      </c>
      <c r="N81" s="15"/>
      <c r="O81" s="21" t="s">
        <v>143</v>
      </c>
      <c r="P81" s="17" t="s">
        <v>52</v>
      </c>
    </row>
    <row r="82" spans="2:16" s="8" customFormat="1" ht="103.9" customHeight="1">
      <c r="B82" s="19"/>
      <c r="C82" s="8" t="s">
        <v>303</v>
      </c>
      <c r="D82" s="22" t="s">
        <v>304</v>
      </c>
      <c r="E82" s="23" t="s">
        <v>305</v>
      </c>
      <c r="F82" s="11">
        <f>15.45*F1+197</f>
        <v>578.30600000000004</v>
      </c>
      <c r="G82" s="12">
        <f>17*F1+216</f>
        <v>635.55999999999995</v>
      </c>
      <c r="H82" s="7" t="s">
        <v>302</v>
      </c>
      <c r="I82" s="13" t="s">
        <v>13</v>
      </c>
      <c r="J82" s="7" t="s">
        <v>141</v>
      </c>
      <c r="K82" s="7"/>
      <c r="L82" s="13" t="s">
        <v>43</v>
      </c>
      <c r="M82" s="14" t="s">
        <v>142</v>
      </c>
      <c r="N82" s="15"/>
      <c r="O82" s="21" t="s">
        <v>143</v>
      </c>
      <c r="P82" s="17" t="s">
        <v>52</v>
      </c>
    </row>
    <row r="83" spans="2:16" s="8" customFormat="1" ht="103.9" customHeight="1">
      <c r="B83" s="19"/>
      <c r="C83" s="8" t="s">
        <v>306</v>
      </c>
      <c r="D83" s="22" t="s">
        <v>307</v>
      </c>
      <c r="E83" s="23" t="s">
        <v>308</v>
      </c>
      <c r="F83" s="11">
        <f>14.38*F1+197</f>
        <v>551.89840000000004</v>
      </c>
      <c r="G83" s="12">
        <f>15.82*F1+216</f>
        <v>606.43759999999997</v>
      </c>
      <c r="H83" s="7"/>
      <c r="I83" s="13"/>
      <c r="J83" s="7"/>
      <c r="K83" s="7"/>
      <c r="L83" s="13" t="s">
        <v>37</v>
      </c>
      <c r="M83" s="14" t="s">
        <v>295</v>
      </c>
      <c r="N83" s="15"/>
      <c r="O83" s="21"/>
      <c r="P83" s="17"/>
    </row>
    <row r="84" spans="2:16" ht="105.6" customHeight="1">
      <c r="C84" s="8" t="s">
        <v>309</v>
      </c>
      <c r="D84" s="9" t="s">
        <v>310</v>
      </c>
      <c r="E84" s="18" t="s">
        <v>311</v>
      </c>
      <c r="F84" s="11">
        <f>12.02*F1+170</f>
        <v>466.65359999999998</v>
      </c>
      <c r="G84" s="12">
        <f>13.22*F1+186</f>
        <v>512.26960000000008</v>
      </c>
      <c r="H84" s="7" t="s">
        <v>13</v>
      </c>
      <c r="J84" s="7" t="s">
        <v>312</v>
      </c>
      <c r="L84" s="13" t="s">
        <v>37</v>
      </c>
      <c r="M84" s="14" t="s">
        <v>313</v>
      </c>
      <c r="N84" s="15" t="s">
        <v>314</v>
      </c>
    </row>
    <row r="85" spans="2:16" s="8" customFormat="1" ht="94.9" customHeight="1">
      <c r="B85"/>
      <c r="C85" s="8" t="s">
        <v>315</v>
      </c>
      <c r="D85" s="22" t="s">
        <v>316</v>
      </c>
      <c r="E85" s="23" t="s">
        <v>317</v>
      </c>
      <c r="F85" s="11">
        <f>11.98*F1+170</f>
        <v>465.66640000000001</v>
      </c>
      <c r="G85" s="12">
        <f>13.18*F1+186</f>
        <v>511.2824</v>
      </c>
      <c r="H85" s="7" t="s">
        <v>318</v>
      </c>
      <c r="I85" s="13"/>
      <c r="J85" s="7" t="s">
        <v>312</v>
      </c>
      <c r="K85" s="7"/>
      <c r="L85" s="13" t="s">
        <v>37</v>
      </c>
      <c r="M85" s="14" t="s">
        <v>313</v>
      </c>
      <c r="N85" s="15" t="s">
        <v>314</v>
      </c>
      <c r="O85" s="21"/>
      <c r="P85" s="27"/>
    </row>
    <row r="86" spans="2:16" s="8" customFormat="1" ht="97.15" customHeight="1">
      <c r="B86" s="19"/>
      <c r="C86" s="8" t="s">
        <v>319</v>
      </c>
      <c r="D86" s="9" t="s">
        <v>224</v>
      </c>
      <c r="E86" s="23" t="s">
        <v>320</v>
      </c>
      <c r="F86" s="11">
        <f>13.27*F1+170</f>
        <v>497.50360000000001</v>
      </c>
      <c r="G86" s="12">
        <f>14.6*F1+186</f>
        <v>546.32799999999997</v>
      </c>
      <c r="H86" s="7" t="s">
        <v>318</v>
      </c>
      <c r="I86" s="13"/>
      <c r="J86" s="7" t="s">
        <v>312</v>
      </c>
      <c r="K86" s="7"/>
      <c r="L86" s="13" t="s">
        <v>37</v>
      </c>
      <c r="M86" s="14" t="s">
        <v>313</v>
      </c>
      <c r="N86" s="15" t="s">
        <v>314</v>
      </c>
      <c r="O86" s="21"/>
      <c r="P86" s="27"/>
    </row>
    <row r="87" spans="2:16" s="8" customFormat="1" ht="97.15" customHeight="1">
      <c r="B87" s="19"/>
      <c r="C87" s="8" t="s">
        <v>321</v>
      </c>
      <c r="D87" s="22" t="s">
        <v>322</v>
      </c>
      <c r="E87" s="23" t="s">
        <v>323</v>
      </c>
      <c r="F87" s="11">
        <f>13.76*F1+192</f>
        <v>531.59680000000003</v>
      </c>
      <c r="G87" s="12">
        <f>15.14*F1+210</f>
        <v>583.65520000000004</v>
      </c>
      <c r="H87" s="7"/>
      <c r="I87" s="13"/>
      <c r="J87" s="7"/>
      <c r="K87" s="7"/>
      <c r="L87" s="13" t="s">
        <v>37</v>
      </c>
      <c r="M87" s="14" t="s">
        <v>162</v>
      </c>
      <c r="N87" s="15" t="s">
        <v>45</v>
      </c>
      <c r="O87" s="21"/>
      <c r="P87" s="17" t="s">
        <v>52</v>
      </c>
    </row>
    <row r="88" spans="2:16" s="8" customFormat="1" ht="97.15" customHeight="1">
      <c r="B88"/>
      <c r="C88" s="8" t="s">
        <v>324</v>
      </c>
      <c r="D88" s="22" t="s">
        <v>325</v>
      </c>
      <c r="E88" s="23" t="s">
        <v>326</v>
      </c>
      <c r="F88" s="11">
        <f>12.09*F1+208</f>
        <v>506.38119999999998</v>
      </c>
      <c r="G88" s="12">
        <f>13.3*F1+228</f>
        <v>556.24400000000003</v>
      </c>
      <c r="H88" s="7"/>
      <c r="I88" s="13"/>
      <c r="J88" s="7" t="s">
        <v>312</v>
      </c>
      <c r="K88" s="7"/>
      <c r="L88" s="13" t="s">
        <v>37</v>
      </c>
      <c r="M88" s="14" t="s">
        <v>313</v>
      </c>
      <c r="N88" s="15" t="s">
        <v>314</v>
      </c>
      <c r="O88" s="21"/>
      <c r="P88" s="27"/>
    </row>
    <row r="89" spans="2:16" s="8" customFormat="1" ht="97.15" customHeight="1">
      <c r="B89" s="19"/>
      <c r="C89" s="8" t="s">
        <v>327</v>
      </c>
      <c r="D89" s="22" t="s">
        <v>325</v>
      </c>
      <c r="E89" s="23" t="s">
        <v>326</v>
      </c>
      <c r="F89" s="11">
        <f>12.09*F1+208</f>
        <v>506.38119999999998</v>
      </c>
      <c r="G89" s="12">
        <f>13.3*F1+228</f>
        <v>556.24400000000003</v>
      </c>
      <c r="H89" s="7"/>
      <c r="I89" s="13"/>
      <c r="J89" s="7" t="s">
        <v>328</v>
      </c>
      <c r="K89" s="7"/>
      <c r="L89" s="13" t="s">
        <v>16</v>
      </c>
      <c r="M89" s="14" t="s">
        <v>329</v>
      </c>
      <c r="N89" s="15" t="s">
        <v>330</v>
      </c>
      <c r="O89" s="21"/>
      <c r="P89" s="17" t="s">
        <v>331</v>
      </c>
    </row>
    <row r="90" spans="2:16" ht="96" customHeight="1">
      <c r="C90" s="8" t="s">
        <v>332</v>
      </c>
      <c r="D90" s="9" t="s">
        <v>333</v>
      </c>
      <c r="E90" s="18" t="s">
        <v>334</v>
      </c>
      <c r="F90" s="11">
        <f>13.83*F1+168</f>
        <v>509.32440000000003</v>
      </c>
      <c r="G90" s="12">
        <f>15.21*F1+184</f>
        <v>559.38280000000009</v>
      </c>
      <c r="H90" s="7" t="s">
        <v>318</v>
      </c>
      <c r="J90" s="7" t="s">
        <v>328</v>
      </c>
      <c r="L90" s="13" t="s">
        <v>16</v>
      </c>
      <c r="M90" s="14" t="s">
        <v>329</v>
      </c>
      <c r="N90" s="15" t="s">
        <v>330</v>
      </c>
      <c r="P90" s="17" t="s">
        <v>331</v>
      </c>
    </row>
    <row r="91" spans="2:16" ht="91.9" customHeight="1">
      <c r="C91" s="8" t="s">
        <v>335</v>
      </c>
      <c r="D91" s="9" t="s">
        <v>333</v>
      </c>
      <c r="E91" s="18" t="s">
        <v>334</v>
      </c>
      <c r="F91" s="11">
        <f>13.83*F1+168</f>
        <v>509.32440000000003</v>
      </c>
      <c r="G91" s="12">
        <f>15.21*F1+184</f>
        <v>559.38280000000009</v>
      </c>
      <c r="H91" s="7" t="s">
        <v>318</v>
      </c>
      <c r="J91" s="7" t="s">
        <v>312</v>
      </c>
      <c r="L91" s="13" t="s">
        <v>37</v>
      </c>
      <c r="M91" s="14" t="s">
        <v>313</v>
      </c>
      <c r="N91" s="15" t="s">
        <v>314</v>
      </c>
    </row>
    <row r="92" spans="2:16" ht="91.9" customHeight="1">
      <c r="B92"/>
      <c r="C92" s="8" t="s">
        <v>336</v>
      </c>
      <c r="D92" s="9" t="s">
        <v>337</v>
      </c>
      <c r="E92" s="18" t="s">
        <v>338</v>
      </c>
      <c r="F92" s="11">
        <f>13.83*F1+188</f>
        <v>529.32439999999997</v>
      </c>
      <c r="G92" s="12">
        <f>15.21*F1+206</f>
        <v>581.38280000000009</v>
      </c>
      <c r="H92" s="7" t="s">
        <v>318</v>
      </c>
      <c r="J92" s="7" t="s">
        <v>328</v>
      </c>
      <c r="L92" s="13" t="s">
        <v>16</v>
      </c>
      <c r="M92" s="14" t="s">
        <v>329</v>
      </c>
      <c r="N92" s="15" t="s">
        <v>330</v>
      </c>
      <c r="P92" s="17" t="s">
        <v>331</v>
      </c>
    </row>
    <row r="93" spans="2:16" ht="91.9" customHeight="1">
      <c r="B93" s="19"/>
      <c r="C93" s="8" t="s">
        <v>339</v>
      </c>
      <c r="D93" s="9" t="s">
        <v>300</v>
      </c>
      <c r="E93" s="18" t="s">
        <v>301</v>
      </c>
      <c r="F93" s="11">
        <f>14.51*F1+197</f>
        <v>555.10680000000002</v>
      </c>
      <c r="G93" s="12">
        <f>15.96*F1+216</f>
        <v>609.89280000000008</v>
      </c>
      <c r="L93" s="13" t="s">
        <v>16</v>
      </c>
      <c r="M93" s="14" t="s">
        <v>329</v>
      </c>
      <c r="N93" s="15" t="s">
        <v>330</v>
      </c>
      <c r="P93" s="17" t="s">
        <v>52</v>
      </c>
    </row>
    <row r="94" spans="2:16" s="8" customFormat="1" ht="102.6" customHeight="1">
      <c r="B94" s="19"/>
      <c r="C94" s="8" t="s">
        <v>340</v>
      </c>
      <c r="D94" s="22" t="s">
        <v>341</v>
      </c>
      <c r="E94" s="23" t="s">
        <v>342</v>
      </c>
      <c r="F94" s="11">
        <f>13.55*F1+197</f>
        <v>531.41399999999999</v>
      </c>
      <c r="G94" s="12">
        <f>14.91*F1+216</f>
        <v>583.97879999999998</v>
      </c>
      <c r="H94" s="7"/>
      <c r="I94" s="13"/>
      <c r="J94" s="7"/>
      <c r="K94" s="7"/>
      <c r="L94" s="13" t="s">
        <v>43</v>
      </c>
      <c r="M94" s="14" t="s">
        <v>343</v>
      </c>
      <c r="N94" s="15"/>
      <c r="O94" s="21"/>
      <c r="P94" s="17" t="s">
        <v>52</v>
      </c>
    </row>
    <row r="95" spans="2:16" s="8" customFormat="1" ht="102.6" customHeight="1">
      <c r="B95" s="19"/>
      <c r="C95" s="8" t="s">
        <v>344</v>
      </c>
      <c r="D95" s="22" t="s">
        <v>345</v>
      </c>
      <c r="E95" s="23" t="s">
        <v>346</v>
      </c>
      <c r="F95" s="11">
        <f>14.1*F1+197</f>
        <v>544.98800000000006</v>
      </c>
      <c r="G95" s="12">
        <f>15.51*F1+216</f>
        <v>598.78679999999997</v>
      </c>
      <c r="H95" s="7"/>
      <c r="I95" s="13"/>
      <c r="J95" s="7"/>
      <c r="K95" s="7"/>
      <c r="L95" s="13" t="s">
        <v>43</v>
      </c>
      <c r="M95" s="14" t="s">
        <v>343</v>
      </c>
      <c r="N95" s="15"/>
      <c r="O95" s="21"/>
      <c r="P95" s="17" t="s">
        <v>52</v>
      </c>
    </row>
    <row r="96" spans="2:16" s="8" customFormat="1" ht="102.6" customHeight="1">
      <c r="B96" s="19"/>
      <c r="C96" s="8" t="s">
        <v>347</v>
      </c>
      <c r="D96" s="22" t="s">
        <v>348</v>
      </c>
      <c r="E96" s="23" t="s">
        <v>349</v>
      </c>
      <c r="F96" s="11">
        <f>12.31*F1+196</f>
        <v>499.81080000000003</v>
      </c>
      <c r="G96" s="12">
        <f>13.54*F1+215</f>
        <v>549.16719999999998</v>
      </c>
      <c r="H96" s="7"/>
      <c r="I96" s="13"/>
      <c r="J96" s="7"/>
      <c r="K96" s="7"/>
      <c r="L96" s="13" t="s">
        <v>43</v>
      </c>
      <c r="M96" s="14" t="s">
        <v>343</v>
      </c>
      <c r="N96" s="15"/>
      <c r="O96" s="21"/>
      <c r="P96" s="17" t="s">
        <v>52</v>
      </c>
    </row>
    <row r="97" spans="2:17" s="8" customFormat="1" ht="102.6" customHeight="1">
      <c r="B97" s="19"/>
      <c r="C97" s="8" t="s">
        <v>350</v>
      </c>
      <c r="D97" s="22" t="s">
        <v>351</v>
      </c>
      <c r="E97" s="23" t="s">
        <v>352</v>
      </c>
      <c r="F97" s="11">
        <f>14.3*F1+196</f>
        <v>548.92399999999998</v>
      </c>
      <c r="G97" s="12">
        <f>15.73*F1+215</f>
        <v>603.21640000000002</v>
      </c>
      <c r="H97" s="7"/>
      <c r="I97" s="13"/>
      <c r="J97" s="7"/>
      <c r="K97" s="7"/>
      <c r="L97" s="13" t="s">
        <v>16</v>
      </c>
      <c r="M97" s="14" t="s">
        <v>353</v>
      </c>
      <c r="N97" s="15" t="s">
        <v>354</v>
      </c>
      <c r="O97" s="21"/>
      <c r="P97" s="17" t="s">
        <v>52</v>
      </c>
    </row>
    <row r="98" spans="2:17" s="8" customFormat="1" ht="102.6" customHeight="1">
      <c r="B98" s="19"/>
      <c r="C98" s="8" t="s">
        <v>355</v>
      </c>
      <c r="D98" s="22" t="s">
        <v>356</v>
      </c>
      <c r="E98" s="23" t="s">
        <v>357</v>
      </c>
      <c r="F98" s="11">
        <f>14.85*F1+196</f>
        <v>562.49800000000005</v>
      </c>
      <c r="G98" s="12">
        <f>16.34*F1+215</f>
        <v>618.27119999999991</v>
      </c>
      <c r="H98" s="7"/>
      <c r="I98" s="13"/>
      <c r="J98" s="7"/>
      <c r="K98" s="7"/>
      <c r="L98" s="13" t="s">
        <v>16</v>
      </c>
      <c r="M98" s="14" t="s">
        <v>353</v>
      </c>
      <c r="N98" s="15" t="s">
        <v>354</v>
      </c>
      <c r="O98" s="21"/>
      <c r="P98" s="17" t="s">
        <v>52</v>
      </c>
    </row>
    <row r="99" spans="2:17" s="8" customFormat="1" ht="87.6" customHeight="1">
      <c r="B99" s="19"/>
      <c r="C99" s="8" t="s">
        <v>358</v>
      </c>
      <c r="D99" s="22" t="s">
        <v>359</v>
      </c>
      <c r="E99" s="23" t="s">
        <v>360</v>
      </c>
      <c r="F99" s="11">
        <f>13.9*F1+165</f>
        <v>508.05200000000002</v>
      </c>
      <c r="G99" s="12">
        <f>15.29*F1+181</f>
        <v>558.35719999999992</v>
      </c>
      <c r="H99" s="7" t="s">
        <v>277</v>
      </c>
      <c r="I99" s="13"/>
      <c r="J99" s="7" t="s">
        <v>361</v>
      </c>
      <c r="K99" s="7"/>
      <c r="L99" s="13" t="s">
        <v>16</v>
      </c>
      <c r="M99" s="14" t="s">
        <v>353</v>
      </c>
      <c r="N99" s="15" t="s">
        <v>354</v>
      </c>
      <c r="O99" s="21"/>
      <c r="P99" s="17" t="s">
        <v>52</v>
      </c>
    </row>
    <row r="100" spans="2:17" s="8" customFormat="1" ht="87.6" customHeight="1">
      <c r="B100" s="19"/>
      <c r="C100" s="8" t="s">
        <v>362</v>
      </c>
      <c r="D100" s="22" t="s">
        <v>363</v>
      </c>
      <c r="E100" s="23" t="s">
        <v>364</v>
      </c>
      <c r="F100" s="11">
        <f>14.9*F1+165</f>
        <v>532.73199999999997</v>
      </c>
      <c r="G100" s="12">
        <f>16.39*F1+181</f>
        <v>585.50520000000006</v>
      </c>
      <c r="H100" s="7" t="s">
        <v>277</v>
      </c>
      <c r="I100" s="13"/>
      <c r="J100" s="7" t="s">
        <v>361</v>
      </c>
      <c r="K100" s="7"/>
      <c r="L100" s="13" t="s">
        <v>16</v>
      </c>
      <c r="M100" s="14" t="s">
        <v>353</v>
      </c>
      <c r="N100" s="15" t="s">
        <v>354</v>
      </c>
      <c r="O100" s="21"/>
      <c r="P100" s="17"/>
    </row>
    <row r="101" spans="2:17" s="8" customFormat="1" ht="117" customHeight="1">
      <c r="B101" s="19"/>
      <c r="C101" s="8" t="s">
        <v>365</v>
      </c>
      <c r="D101" s="22" t="s">
        <v>366</v>
      </c>
      <c r="E101" s="23" t="s">
        <v>367</v>
      </c>
      <c r="F101" s="11">
        <f>13.48*F1+167</f>
        <v>499.68639999999999</v>
      </c>
      <c r="G101" s="12">
        <f>14.83*F1+183</f>
        <v>549.00440000000003</v>
      </c>
      <c r="H101" s="7" t="s">
        <v>277</v>
      </c>
      <c r="I101" s="13"/>
      <c r="J101" s="7" t="s">
        <v>361</v>
      </c>
      <c r="K101" s="7"/>
      <c r="L101" s="13" t="s">
        <v>16</v>
      </c>
      <c r="M101" s="14" t="s">
        <v>353</v>
      </c>
      <c r="N101" s="15" t="s">
        <v>354</v>
      </c>
      <c r="O101" s="21"/>
      <c r="P101" s="17" t="s">
        <v>52</v>
      </c>
    </row>
    <row r="102" spans="2:17" s="8" customFormat="1" ht="101.45" customHeight="1">
      <c r="B102"/>
      <c r="C102" s="8" t="s">
        <v>368</v>
      </c>
      <c r="D102" s="22" t="s">
        <v>369</v>
      </c>
      <c r="E102" s="23" t="s">
        <v>370</v>
      </c>
      <c r="F102" s="11">
        <f>14.32*F1+196</f>
        <v>549.41759999999999</v>
      </c>
      <c r="G102" s="12">
        <f>15.76*F1+215</f>
        <v>603.95679999999993</v>
      </c>
      <c r="H102" s="7" t="s">
        <v>277</v>
      </c>
      <c r="I102" s="13" t="s">
        <v>13</v>
      </c>
      <c r="J102" s="7" t="s">
        <v>141</v>
      </c>
      <c r="K102" s="7"/>
      <c r="L102" s="13" t="s">
        <v>43</v>
      </c>
      <c r="M102" s="14" t="s">
        <v>142</v>
      </c>
      <c r="N102" s="15"/>
      <c r="O102" s="21"/>
      <c r="P102" s="17" t="s">
        <v>52</v>
      </c>
    </row>
    <row r="103" spans="2:17" ht="91.9" customHeight="1">
      <c r="B103" s="19"/>
      <c r="C103" s="8" t="s">
        <v>371</v>
      </c>
      <c r="D103" s="9" t="s">
        <v>372</v>
      </c>
      <c r="E103" s="18" t="s">
        <v>373</v>
      </c>
      <c r="F103" s="11">
        <f>14.09*F1+170</f>
        <v>517.74119999999994</v>
      </c>
      <c r="G103" s="12">
        <f>15.5*F1+186</f>
        <v>568.54</v>
      </c>
      <c r="H103" s="7" t="s">
        <v>277</v>
      </c>
      <c r="J103" s="7" t="s">
        <v>312</v>
      </c>
      <c r="L103" s="13" t="s">
        <v>37</v>
      </c>
      <c r="M103" s="14" t="s">
        <v>313</v>
      </c>
      <c r="N103" s="15" t="s">
        <v>314</v>
      </c>
    </row>
    <row r="104" spans="2:17" ht="91.9" customHeight="1">
      <c r="B104" s="19"/>
      <c r="C104" s="8" t="s">
        <v>374</v>
      </c>
      <c r="D104" s="9" t="s">
        <v>375</v>
      </c>
      <c r="E104" s="18" t="s">
        <v>376</v>
      </c>
      <c r="F104" s="11">
        <f>13.63*F1+168</f>
        <v>504.38839999999999</v>
      </c>
      <c r="G104" s="12">
        <f>14.99*F1+184</f>
        <v>553.95319999999992</v>
      </c>
      <c r="J104" s="7" t="s">
        <v>361</v>
      </c>
      <c r="L104" s="13" t="s">
        <v>16</v>
      </c>
      <c r="M104" s="14" t="s">
        <v>353</v>
      </c>
      <c r="N104" s="15" t="s">
        <v>354</v>
      </c>
      <c r="P104" s="17" t="s">
        <v>52</v>
      </c>
    </row>
    <row r="105" spans="2:17" ht="111" customHeight="1">
      <c r="C105" s="8" t="s">
        <v>377</v>
      </c>
      <c r="D105" s="9" t="s">
        <v>378</v>
      </c>
      <c r="E105" s="18" t="s">
        <v>379</v>
      </c>
      <c r="F105" s="11">
        <f>15.29*F1+170</f>
        <v>547.35719999999992</v>
      </c>
      <c r="G105" s="12">
        <f>16.82*F1+186</f>
        <v>601.11760000000004</v>
      </c>
      <c r="H105" s="7" t="s">
        <v>277</v>
      </c>
      <c r="J105" s="7" t="s">
        <v>361</v>
      </c>
      <c r="L105" s="13" t="s">
        <v>16</v>
      </c>
      <c r="M105" s="14" t="s">
        <v>353</v>
      </c>
      <c r="N105" s="15" t="s">
        <v>354</v>
      </c>
      <c r="P105" s="17" t="s">
        <v>52</v>
      </c>
    </row>
    <row r="106" spans="2:17" ht="111" customHeight="1">
      <c r="B106"/>
      <c r="C106" s="8" t="s">
        <v>380</v>
      </c>
      <c r="D106" s="9" t="s">
        <v>378</v>
      </c>
      <c r="E106" s="18" t="s">
        <v>379</v>
      </c>
      <c r="F106" s="11">
        <f>15.29*F1+170</f>
        <v>547.35719999999992</v>
      </c>
      <c r="G106" s="12">
        <f>16.82*F1+186</f>
        <v>601.11760000000004</v>
      </c>
      <c r="L106" s="13" t="s">
        <v>43</v>
      </c>
      <c r="M106" s="14" t="s">
        <v>343</v>
      </c>
      <c r="O106" s="21"/>
      <c r="P106" s="17" t="s">
        <v>52</v>
      </c>
      <c r="Q106" s="8"/>
    </row>
    <row r="107" spans="2:17" ht="97.5" customHeight="1">
      <c r="B107" s="19"/>
      <c r="C107" s="8" t="s">
        <v>381</v>
      </c>
      <c r="D107" s="9" t="s">
        <v>382</v>
      </c>
      <c r="E107" s="18" t="s">
        <v>383</v>
      </c>
      <c r="F107" s="11">
        <f>16.29*F1+170</f>
        <v>572.03719999999998</v>
      </c>
      <c r="G107" s="12">
        <f>17.92*F1+186</f>
        <v>628.26560000000006</v>
      </c>
      <c r="H107" s="7" t="s">
        <v>277</v>
      </c>
      <c r="J107" s="7" t="s">
        <v>361</v>
      </c>
      <c r="L107" s="13" t="s">
        <v>16</v>
      </c>
      <c r="M107" s="14" t="s">
        <v>353</v>
      </c>
      <c r="N107" s="15" t="s">
        <v>354</v>
      </c>
    </row>
    <row r="108" spans="2:17" ht="91.9" customHeight="1">
      <c r="B108" s="19"/>
      <c r="C108" s="8" t="s">
        <v>384</v>
      </c>
      <c r="D108" s="9" t="s">
        <v>385</v>
      </c>
      <c r="E108" s="18" t="s">
        <v>386</v>
      </c>
      <c r="F108" s="11">
        <f>20.33*F1+241</f>
        <v>742.74439999999993</v>
      </c>
      <c r="G108" s="12">
        <f>22.36*F1+264</f>
        <v>815.84479999999996</v>
      </c>
      <c r="J108" s="7" t="s">
        <v>312</v>
      </c>
      <c r="L108" s="13" t="s">
        <v>37</v>
      </c>
      <c r="M108" s="14" t="s">
        <v>313</v>
      </c>
      <c r="N108" s="15" t="s">
        <v>314</v>
      </c>
    </row>
    <row r="109" spans="2:17" ht="91.9" customHeight="1">
      <c r="B109" s="19"/>
      <c r="C109" s="8" t="s">
        <v>387</v>
      </c>
      <c r="D109" s="9" t="s">
        <v>385</v>
      </c>
      <c r="E109" s="18" t="s">
        <v>386</v>
      </c>
      <c r="F109" s="11">
        <f>20.33*F1+241</f>
        <v>742.74439999999993</v>
      </c>
      <c r="G109" s="12">
        <f>22.36*F1+264</f>
        <v>815.84479999999996</v>
      </c>
      <c r="J109" s="7" t="s">
        <v>328</v>
      </c>
      <c r="L109" s="13" t="s">
        <v>16</v>
      </c>
      <c r="M109" s="14" t="s">
        <v>388</v>
      </c>
      <c r="N109" s="15" t="s">
        <v>330</v>
      </c>
      <c r="P109" s="17" t="s">
        <v>331</v>
      </c>
    </row>
    <row r="110" spans="2:17" ht="91.9" customHeight="1">
      <c r="B110" s="19"/>
      <c r="C110" s="8" t="s">
        <v>389</v>
      </c>
      <c r="D110" s="9" t="s">
        <v>390</v>
      </c>
      <c r="E110" s="18" t="s">
        <v>391</v>
      </c>
      <c r="F110" s="11">
        <f>21.33*F1+241</f>
        <v>767.42439999999999</v>
      </c>
      <c r="G110" s="12">
        <f>23.46*F1+264</f>
        <v>842.99279999999999</v>
      </c>
      <c r="J110" s="7" t="s">
        <v>361</v>
      </c>
      <c r="L110" s="13" t="s">
        <v>16</v>
      </c>
      <c r="M110" s="14" t="s">
        <v>353</v>
      </c>
      <c r="N110" s="15" t="s">
        <v>354</v>
      </c>
    </row>
    <row r="111" spans="2:17" ht="91.9" customHeight="1">
      <c r="B111"/>
      <c r="C111" s="8" t="s">
        <v>392</v>
      </c>
      <c r="D111" s="9" t="s">
        <v>393</v>
      </c>
      <c r="E111" s="18" t="s">
        <v>394</v>
      </c>
      <c r="F111" s="11">
        <f>21.1*F1+255</f>
        <v>775.74800000000005</v>
      </c>
      <c r="G111" s="12">
        <f>23.21*F1+280</f>
        <v>852.82280000000003</v>
      </c>
      <c r="I111" s="13" t="s">
        <v>395</v>
      </c>
      <c r="L111" s="13" t="s">
        <v>37</v>
      </c>
      <c r="M111" s="14" t="s">
        <v>295</v>
      </c>
    </row>
    <row r="112" spans="2:17" ht="91.9" customHeight="1">
      <c r="B112"/>
      <c r="C112" s="8" t="s">
        <v>396</v>
      </c>
      <c r="D112" s="9" t="s">
        <v>393</v>
      </c>
      <c r="E112" s="18" t="s">
        <v>394</v>
      </c>
      <c r="F112" s="11">
        <f>21.1*F1+255</f>
        <v>775.74800000000005</v>
      </c>
      <c r="G112" s="12">
        <f>23.21*F1+280</f>
        <v>852.82280000000003</v>
      </c>
      <c r="I112" s="13" t="s">
        <v>397</v>
      </c>
      <c r="J112" s="7" t="s">
        <v>395</v>
      </c>
      <c r="L112" s="13" t="s">
        <v>37</v>
      </c>
      <c r="M112" s="14" t="s">
        <v>295</v>
      </c>
    </row>
    <row r="113" spans="2:16" ht="119.45" customHeight="1">
      <c r="B113" s="19"/>
      <c r="C113" s="8" t="s">
        <v>398</v>
      </c>
      <c r="D113" s="9" t="s">
        <v>390</v>
      </c>
      <c r="E113" s="18" t="s">
        <v>391</v>
      </c>
      <c r="F113" s="11">
        <f>21.33*F1+241</f>
        <v>767.42439999999999</v>
      </c>
      <c r="G113" s="12">
        <f>23.46*F1+264</f>
        <v>842.99279999999999</v>
      </c>
      <c r="J113" s="7" t="s">
        <v>361</v>
      </c>
      <c r="L113" s="13" t="s">
        <v>16</v>
      </c>
      <c r="M113" s="14" t="s">
        <v>353</v>
      </c>
      <c r="N113" s="15" t="s">
        <v>354</v>
      </c>
      <c r="O113" s="32" t="s">
        <v>399</v>
      </c>
      <c r="P113" s="17" t="s">
        <v>331</v>
      </c>
    </row>
    <row r="114" spans="2:16" ht="103.9" customHeight="1">
      <c r="B114" s="19"/>
      <c r="C114" s="8" t="s">
        <v>400</v>
      </c>
      <c r="D114" s="9" t="s">
        <v>401</v>
      </c>
      <c r="E114" s="18" t="s">
        <v>402</v>
      </c>
      <c r="F114" s="11">
        <f>17.35*F1+243</f>
        <v>671.19800000000009</v>
      </c>
      <c r="G114" s="12">
        <f>19.09*F1+266</f>
        <v>737.14120000000003</v>
      </c>
      <c r="L114" s="13" t="s">
        <v>37</v>
      </c>
      <c r="M114" s="14" t="s">
        <v>38</v>
      </c>
      <c r="O114" s="32"/>
      <c r="P114" s="17" t="s">
        <v>52</v>
      </c>
    </row>
    <row r="115" spans="2:16" ht="127.9" customHeight="1">
      <c r="B115" s="19"/>
      <c r="C115" s="8" t="s">
        <v>403</v>
      </c>
      <c r="D115" s="9" t="s">
        <v>404</v>
      </c>
      <c r="E115" s="18" t="s">
        <v>405</v>
      </c>
      <c r="F115" s="11">
        <f>13.47*F1+176</f>
        <v>508.43959999999998</v>
      </c>
      <c r="G115" s="12">
        <f>14.82*F1+193</f>
        <v>558.75760000000002</v>
      </c>
      <c r="H115" s="8"/>
      <c r="I115" s="20" t="s">
        <v>103</v>
      </c>
      <c r="J115" s="8"/>
      <c r="K115" s="8"/>
      <c r="L115" s="20" t="s">
        <v>16</v>
      </c>
      <c r="M115" s="25" t="s">
        <v>104</v>
      </c>
      <c r="N115" s="26" t="s">
        <v>105</v>
      </c>
    </row>
    <row r="116" spans="2:16" ht="105.6" customHeight="1">
      <c r="B116" s="19"/>
      <c r="C116" s="8" t="s">
        <v>406</v>
      </c>
      <c r="D116" s="9" t="s">
        <v>407</v>
      </c>
      <c r="E116" s="18" t="s">
        <v>408</v>
      </c>
      <c r="F116" s="11">
        <f>29.3*F1+271</f>
        <v>994.12400000000002</v>
      </c>
      <c r="G116" s="12">
        <f>32.23*F1+297</f>
        <v>1092.4364</v>
      </c>
      <c r="H116" s="7" t="s">
        <v>409</v>
      </c>
      <c r="I116" s="13" t="s">
        <v>410</v>
      </c>
      <c r="K116" s="7" t="s">
        <v>411</v>
      </c>
      <c r="M116" s="14" t="s">
        <v>412</v>
      </c>
    </row>
    <row r="117" spans="2:16" ht="133.9" customHeight="1">
      <c r="B117"/>
      <c r="C117" s="8" t="s">
        <v>413</v>
      </c>
      <c r="D117" s="9" t="s">
        <v>414</v>
      </c>
      <c r="E117" s="18" t="s">
        <v>415</v>
      </c>
      <c r="F117" s="11">
        <f>29.3*F1+256</f>
        <v>979.12400000000002</v>
      </c>
      <c r="G117" s="12">
        <f>32.23*F1+259</f>
        <v>1054.4364</v>
      </c>
      <c r="H117" s="7" t="s">
        <v>409</v>
      </c>
      <c r="I117" s="13" t="s">
        <v>410</v>
      </c>
      <c r="K117" s="7" t="s">
        <v>411</v>
      </c>
      <c r="M117" s="14" t="s">
        <v>412</v>
      </c>
    </row>
    <row r="118" spans="2:16" ht="99.6" customHeight="1">
      <c r="B118" s="19"/>
      <c r="C118" s="8" t="s">
        <v>416</v>
      </c>
      <c r="D118" s="9" t="s">
        <v>417</v>
      </c>
      <c r="E118" s="18" t="s">
        <v>418</v>
      </c>
      <c r="F118" s="11">
        <f>21.83*F1+251</f>
        <v>789.76439999999991</v>
      </c>
      <c r="G118" s="12">
        <f>24.01*F1+275</f>
        <v>867.56680000000006</v>
      </c>
      <c r="H118" s="7" t="s">
        <v>68</v>
      </c>
      <c r="I118" s="13" t="s">
        <v>410</v>
      </c>
      <c r="K118" s="7">
        <v>26.5</v>
      </c>
      <c r="M118" s="14" t="s">
        <v>412</v>
      </c>
    </row>
    <row r="119" spans="2:16" ht="99.6" customHeight="1">
      <c r="B119" s="19"/>
      <c r="C119" s="8" t="s">
        <v>419</v>
      </c>
      <c r="D119" s="9" t="s">
        <v>417</v>
      </c>
      <c r="E119" s="18" t="s">
        <v>418</v>
      </c>
      <c r="F119" s="11">
        <f>21.83*F1+251</f>
        <v>789.76439999999991</v>
      </c>
      <c r="G119" s="12">
        <f>24.01*F1+275</f>
        <v>867.56680000000006</v>
      </c>
      <c r="H119" s="7" t="s">
        <v>68</v>
      </c>
      <c r="I119" s="13" t="s">
        <v>420</v>
      </c>
      <c r="J119" s="7" t="s">
        <v>328</v>
      </c>
      <c r="K119" s="7" t="s">
        <v>421</v>
      </c>
      <c r="L119" s="13" t="s">
        <v>16</v>
      </c>
      <c r="M119" s="14" t="s">
        <v>136</v>
      </c>
    </row>
    <row r="120" spans="2:16" ht="124.15" customHeight="1">
      <c r="B120" s="19"/>
      <c r="C120" s="8" t="s">
        <v>422</v>
      </c>
      <c r="D120" s="9" t="s">
        <v>407</v>
      </c>
      <c r="E120" s="18" t="s">
        <v>408</v>
      </c>
      <c r="F120" s="11">
        <f>29.3*F1+271</f>
        <v>994.12400000000002</v>
      </c>
      <c r="G120" s="12">
        <f>32.23*F1+297</f>
        <v>1092.4364</v>
      </c>
      <c r="H120" s="7" t="s">
        <v>423</v>
      </c>
      <c r="I120" s="13" t="s">
        <v>410</v>
      </c>
      <c r="K120" s="7" t="s">
        <v>424</v>
      </c>
      <c r="M120" s="14" t="s">
        <v>412</v>
      </c>
    </row>
    <row r="121" spans="2:16" ht="100.9" customHeight="1">
      <c r="B121" s="19"/>
      <c r="C121" s="8" t="s">
        <v>425</v>
      </c>
      <c r="D121" s="9" t="s">
        <v>426</v>
      </c>
      <c r="E121" s="18" t="s">
        <v>427</v>
      </c>
      <c r="F121" s="11">
        <f>18.86*F1+206</f>
        <v>671.46479999999997</v>
      </c>
      <c r="G121" s="12">
        <f>20.75*F1+226</f>
        <v>738.11</v>
      </c>
      <c r="H121" s="7" t="s">
        <v>428</v>
      </c>
      <c r="I121" s="13" t="s">
        <v>395</v>
      </c>
      <c r="K121" s="7" t="s">
        <v>429</v>
      </c>
      <c r="L121" s="13" t="s">
        <v>37</v>
      </c>
      <c r="M121" s="14" t="s">
        <v>295</v>
      </c>
      <c r="N121" s="7"/>
      <c r="O121" s="7"/>
      <c r="P121" s="7"/>
    </row>
    <row r="122" spans="2:16" ht="98.45" customHeight="1">
      <c r="B122" s="19"/>
      <c r="C122" s="8" t="s">
        <v>430</v>
      </c>
      <c r="D122" s="9" t="s">
        <v>431</v>
      </c>
      <c r="E122" s="18" t="s">
        <v>432</v>
      </c>
      <c r="F122" s="11">
        <f>22.69*F1+206</f>
        <v>765.98919999999998</v>
      </c>
      <c r="G122" s="12">
        <f>24.96*F1+226</f>
        <v>842.01279999999997</v>
      </c>
      <c r="H122" s="7" t="s">
        <v>433</v>
      </c>
      <c r="K122" s="7" t="s">
        <v>434</v>
      </c>
      <c r="L122" s="13" t="s">
        <v>37</v>
      </c>
      <c r="M122" s="14" t="s">
        <v>295</v>
      </c>
      <c r="N122" s="7"/>
      <c r="O122" s="7"/>
      <c r="P122" s="7"/>
    </row>
    <row r="123" spans="2:16" ht="98.45" customHeight="1">
      <c r="B123" s="19"/>
      <c r="C123" s="8" t="s">
        <v>435</v>
      </c>
      <c r="D123" s="9" t="s">
        <v>431</v>
      </c>
      <c r="E123" s="18" t="s">
        <v>432</v>
      </c>
      <c r="F123" s="11">
        <f>22.69*F1+206</f>
        <v>765.98919999999998</v>
      </c>
      <c r="G123" s="12">
        <f>24.96*F1+226</f>
        <v>842.01279999999997</v>
      </c>
      <c r="H123" s="7" t="s">
        <v>433</v>
      </c>
      <c r="I123" s="13" t="s">
        <v>397</v>
      </c>
      <c r="J123" s="7" t="s">
        <v>395</v>
      </c>
      <c r="K123" s="7" t="s">
        <v>434</v>
      </c>
      <c r="L123" s="13" t="s">
        <v>37</v>
      </c>
      <c r="M123" s="14" t="s">
        <v>295</v>
      </c>
      <c r="N123" s="7"/>
      <c r="O123" s="7"/>
      <c r="P123" s="7"/>
    </row>
    <row r="124" spans="2:16" ht="93" customHeight="1">
      <c r="B124" s="19"/>
      <c r="C124" s="8" t="s">
        <v>436</v>
      </c>
      <c r="D124" s="9" t="s">
        <v>437</v>
      </c>
      <c r="E124" s="18" t="s">
        <v>438</v>
      </c>
      <c r="F124" s="11">
        <f>23.29*F1+206</f>
        <v>780.79719999999998</v>
      </c>
      <c r="G124" s="12">
        <f>25.62*F1+226</f>
        <v>858.30160000000001</v>
      </c>
      <c r="H124" s="7" t="s">
        <v>433</v>
      </c>
      <c r="I124" s="13" t="s">
        <v>395</v>
      </c>
      <c r="K124" s="7" t="s">
        <v>434</v>
      </c>
      <c r="L124" s="13" t="s">
        <v>37</v>
      </c>
      <c r="M124" s="14" t="s">
        <v>295</v>
      </c>
      <c r="N124" s="7"/>
      <c r="O124" s="7"/>
      <c r="P124" s="7"/>
    </row>
    <row r="125" spans="2:16" ht="98.45" customHeight="1">
      <c r="B125" s="19"/>
      <c r="C125" s="8" t="s">
        <v>439</v>
      </c>
      <c r="D125" s="9" t="s">
        <v>440</v>
      </c>
      <c r="E125" s="18" t="s">
        <v>441</v>
      </c>
      <c r="F125" s="11">
        <f>23.79*F1+216</f>
        <v>803.13720000000001</v>
      </c>
      <c r="G125" s="12">
        <f>26.17*F1+236</f>
        <v>881.87560000000008</v>
      </c>
      <c r="H125" s="7" t="s">
        <v>433</v>
      </c>
      <c r="I125" s="13" t="s">
        <v>395</v>
      </c>
      <c r="K125" s="7" t="s">
        <v>434</v>
      </c>
      <c r="L125" s="13" t="s">
        <v>37</v>
      </c>
      <c r="M125" s="14" t="s">
        <v>295</v>
      </c>
      <c r="N125" s="7"/>
      <c r="O125" s="7"/>
      <c r="P125" s="7"/>
    </row>
    <row r="126" spans="2:16" ht="98.45" customHeight="1">
      <c r="B126" s="19"/>
      <c r="C126" s="8" t="s">
        <v>442</v>
      </c>
      <c r="D126" s="9" t="s">
        <v>437</v>
      </c>
      <c r="E126" s="18" t="s">
        <v>438</v>
      </c>
      <c r="F126" s="11">
        <f>23.29*F1+206</f>
        <v>780.79719999999998</v>
      </c>
      <c r="G126" s="12">
        <f>25.62*F1+226</f>
        <v>858.30160000000001</v>
      </c>
      <c r="H126" s="7" t="s">
        <v>433</v>
      </c>
      <c r="I126" s="13" t="s">
        <v>395</v>
      </c>
      <c r="K126" s="7" t="s">
        <v>434</v>
      </c>
      <c r="L126" s="13" t="s">
        <v>37</v>
      </c>
      <c r="M126" s="14" t="s">
        <v>295</v>
      </c>
      <c r="N126" s="7"/>
      <c r="O126" s="7"/>
      <c r="P126" s="7"/>
    </row>
    <row r="127" spans="2:16" ht="118.15" customHeight="1">
      <c r="B127" s="19"/>
      <c r="C127" s="8" t="s">
        <v>443</v>
      </c>
      <c r="D127" s="9" t="s">
        <v>444</v>
      </c>
      <c r="E127" s="18" t="s">
        <v>445</v>
      </c>
      <c r="F127" s="11">
        <f>23.29*F1+236</f>
        <v>810.79719999999998</v>
      </c>
      <c r="G127" s="12">
        <f>25.62*F1+259</f>
        <v>891.30160000000001</v>
      </c>
      <c r="H127" s="7" t="s">
        <v>433</v>
      </c>
      <c r="I127" s="13" t="s">
        <v>395</v>
      </c>
      <c r="K127" s="7" t="s">
        <v>434</v>
      </c>
      <c r="L127" s="13" t="s">
        <v>37</v>
      </c>
      <c r="M127" s="14" t="s">
        <v>295</v>
      </c>
      <c r="N127" s="7"/>
      <c r="O127" s="7"/>
      <c r="P127" s="7"/>
    </row>
    <row r="128" spans="2:16" ht="118.15" customHeight="1">
      <c r="B128" s="19"/>
      <c r="C128" s="8" t="s">
        <v>446</v>
      </c>
      <c r="D128" s="9" t="s">
        <v>447</v>
      </c>
      <c r="E128" s="18" t="s">
        <v>448</v>
      </c>
      <c r="F128" s="11">
        <f>23.29*F1+256</f>
        <v>830.79719999999998</v>
      </c>
      <c r="G128" s="12">
        <f>25.62*F1+281</f>
        <v>913.30160000000001</v>
      </c>
      <c r="H128" s="7" t="s">
        <v>433</v>
      </c>
      <c r="I128" s="13" t="s">
        <v>395</v>
      </c>
      <c r="K128" s="7" t="s">
        <v>434</v>
      </c>
      <c r="L128" s="13" t="s">
        <v>37</v>
      </c>
      <c r="M128" s="14" t="s">
        <v>295</v>
      </c>
      <c r="N128" s="7"/>
      <c r="O128" s="7"/>
      <c r="P128" s="7"/>
    </row>
    <row r="129" spans="2:16" ht="90">
      <c r="B129" s="19"/>
      <c r="C129" s="8" t="s">
        <v>449</v>
      </c>
      <c r="D129" s="9" t="s">
        <v>426</v>
      </c>
      <c r="E129" s="18" t="s">
        <v>427</v>
      </c>
      <c r="F129" s="11">
        <f>18.86*F1+206</f>
        <v>671.46479999999997</v>
      </c>
      <c r="G129" s="12">
        <f>20.75*F1+226</f>
        <v>738.11</v>
      </c>
      <c r="H129" s="7" t="s">
        <v>428</v>
      </c>
      <c r="I129" s="13" t="s">
        <v>397</v>
      </c>
      <c r="J129" s="7" t="s">
        <v>450</v>
      </c>
      <c r="K129" s="7" t="s">
        <v>451</v>
      </c>
      <c r="L129" s="13" t="s">
        <v>37</v>
      </c>
      <c r="M129" s="14" t="s">
        <v>295</v>
      </c>
      <c r="N129" s="7"/>
      <c r="O129" s="7"/>
      <c r="P129" s="7"/>
    </row>
    <row r="130" spans="2:16" ht="99.6" customHeight="1">
      <c r="B130" s="19"/>
      <c r="C130" s="8" t="s">
        <v>452</v>
      </c>
      <c r="D130" s="9" t="s">
        <v>453</v>
      </c>
      <c r="E130" s="18" t="s">
        <v>454</v>
      </c>
      <c r="F130" s="11">
        <f>19.62*F1+246</f>
        <v>730.22160000000008</v>
      </c>
      <c r="G130" s="12">
        <f>21.58*F1+270</f>
        <v>802.59439999999995</v>
      </c>
      <c r="H130" s="7" t="s">
        <v>455</v>
      </c>
      <c r="L130" s="13" t="s">
        <v>37</v>
      </c>
      <c r="M130" s="14" t="s">
        <v>295</v>
      </c>
      <c r="N130" s="7"/>
      <c r="O130" s="7"/>
      <c r="P130" s="7"/>
    </row>
    <row r="131" spans="2:16" ht="85.9" customHeight="1">
      <c r="B131" s="19"/>
      <c r="C131" s="8" t="s">
        <v>456</v>
      </c>
      <c r="D131" s="9" t="s">
        <v>457</v>
      </c>
      <c r="E131" s="18" t="s">
        <v>458</v>
      </c>
      <c r="F131" s="11">
        <f>20.42*F1+246</f>
        <v>749.96559999999999</v>
      </c>
      <c r="G131" s="12">
        <f>22.46*F1+270</f>
        <v>824.31280000000004</v>
      </c>
      <c r="H131" s="7" t="s">
        <v>455</v>
      </c>
      <c r="L131" s="13" t="s">
        <v>37</v>
      </c>
      <c r="M131" s="14" t="s">
        <v>295</v>
      </c>
      <c r="N131" s="7"/>
      <c r="O131" s="7"/>
      <c r="P131" s="7"/>
    </row>
    <row r="132" spans="2:16" ht="106.9" customHeight="1">
      <c r="B132" s="19"/>
      <c r="C132" s="8" t="s">
        <v>459</v>
      </c>
      <c r="D132" s="9" t="s">
        <v>460</v>
      </c>
      <c r="E132" s="18" t="s">
        <v>461</v>
      </c>
      <c r="F132" s="11">
        <f>22.62*F1+251</f>
        <v>809.26160000000004</v>
      </c>
      <c r="G132" s="12">
        <f>24.88*F1+275</f>
        <v>889.03840000000002</v>
      </c>
      <c r="H132" s="7" t="s">
        <v>455</v>
      </c>
      <c r="I132" s="13" t="s">
        <v>397</v>
      </c>
      <c r="J132" s="7" t="s">
        <v>395</v>
      </c>
      <c r="L132" s="13" t="s">
        <v>37</v>
      </c>
      <c r="M132" s="14" t="s">
        <v>295</v>
      </c>
      <c r="N132" s="7"/>
      <c r="O132" s="7"/>
      <c r="P132" s="7"/>
    </row>
    <row r="133" spans="2:16" ht="95.45" customHeight="1">
      <c r="B133" s="19"/>
      <c r="C133" s="8" t="s">
        <v>462</v>
      </c>
      <c r="D133" s="9" t="s">
        <v>460</v>
      </c>
      <c r="E133" s="18" t="s">
        <v>461</v>
      </c>
      <c r="F133" s="11">
        <f>22.62*F1+251</f>
        <v>809.26160000000004</v>
      </c>
      <c r="G133" s="12">
        <f>24.88*F1+275</f>
        <v>889.03840000000002</v>
      </c>
      <c r="H133" s="7" t="s">
        <v>463</v>
      </c>
      <c r="I133" s="13" t="s">
        <v>397</v>
      </c>
      <c r="J133" s="7" t="s">
        <v>395</v>
      </c>
      <c r="L133" s="13" t="s">
        <v>37</v>
      </c>
      <c r="M133" s="14" t="s">
        <v>295</v>
      </c>
      <c r="N133" s="7"/>
      <c r="O133" s="7"/>
      <c r="P133" s="7"/>
    </row>
    <row r="134" spans="2:16" ht="123" customHeight="1">
      <c r="B134" s="19"/>
      <c r="C134" s="8" t="s">
        <v>464</v>
      </c>
      <c r="D134" s="9" t="s">
        <v>465</v>
      </c>
      <c r="E134" s="18" t="s">
        <v>466</v>
      </c>
      <c r="F134" s="11">
        <f>27.88*F1+266</f>
        <v>954.07839999999999</v>
      </c>
      <c r="G134" s="12">
        <f>30.67*F1+292</f>
        <v>1048.9356</v>
      </c>
      <c r="H134" s="7" t="s">
        <v>423</v>
      </c>
      <c r="I134" s="13" t="s">
        <v>395</v>
      </c>
      <c r="K134" s="7" t="s">
        <v>467</v>
      </c>
      <c r="L134" s="13" t="s">
        <v>37</v>
      </c>
      <c r="M134" s="14" t="s">
        <v>295</v>
      </c>
      <c r="N134" s="7"/>
      <c r="O134" s="7"/>
      <c r="P134" s="7"/>
    </row>
    <row r="135" spans="2:16" ht="123" customHeight="1">
      <c r="B135" s="19"/>
      <c r="C135" s="8" t="s">
        <v>468</v>
      </c>
      <c r="D135" s="9" t="s">
        <v>469</v>
      </c>
      <c r="E135" s="18" t="s">
        <v>470</v>
      </c>
      <c r="F135" s="11">
        <f>27.88*F1+251</f>
        <v>939.07839999999999</v>
      </c>
      <c r="G135" s="12">
        <f>30.67*F1+275</f>
        <v>1031.9356</v>
      </c>
      <c r="H135" s="7" t="s">
        <v>423</v>
      </c>
      <c r="I135" s="13" t="s">
        <v>395</v>
      </c>
      <c r="K135" s="7" t="s">
        <v>467</v>
      </c>
      <c r="L135" s="13" t="s">
        <v>37</v>
      </c>
      <c r="M135" s="14" t="s">
        <v>295</v>
      </c>
      <c r="N135" s="7"/>
      <c r="O135" s="7"/>
      <c r="P135" s="7"/>
    </row>
    <row r="136" spans="2:16" ht="108" customHeight="1">
      <c r="B136" s="19"/>
      <c r="C136" s="8" t="s">
        <v>471</v>
      </c>
      <c r="D136" s="9" t="s">
        <v>472</v>
      </c>
      <c r="E136" s="18" t="s">
        <v>473</v>
      </c>
      <c r="F136" s="11">
        <f>29.08*F1+266</f>
        <v>983.69439999999997</v>
      </c>
      <c r="G136" s="12">
        <f>31.99*F1+292</f>
        <v>1081.5131999999999</v>
      </c>
      <c r="H136" s="7" t="s">
        <v>474</v>
      </c>
      <c r="I136" s="13" t="s">
        <v>395</v>
      </c>
      <c r="K136" s="7" t="s">
        <v>475</v>
      </c>
      <c r="L136" s="13" t="s">
        <v>37</v>
      </c>
      <c r="M136" s="14" t="s">
        <v>295</v>
      </c>
      <c r="N136" s="7"/>
      <c r="O136" s="7"/>
      <c r="P136" s="7"/>
    </row>
    <row r="137" spans="2:16" ht="133.15" customHeight="1">
      <c r="B137" s="19"/>
      <c r="C137" s="8" t="s">
        <v>476</v>
      </c>
      <c r="D137" s="9" t="s">
        <v>472</v>
      </c>
      <c r="E137" s="18" t="s">
        <v>473</v>
      </c>
      <c r="F137" s="11">
        <f>29.08*F1+266</f>
        <v>983.69439999999997</v>
      </c>
      <c r="G137" s="12">
        <f>31.99*F1+292</f>
        <v>1081.5131999999999</v>
      </c>
      <c r="H137" s="7" t="s">
        <v>474</v>
      </c>
      <c r="I137" s="13" t="s">
        <v>395</v>
      </c>
      <c r="K137" s="7" t="s">
        <v>475</v>
      </c>
      <c r="L137" s="13" t="s">
        <v>37</v>
      </c>
      <c r="M137" s="14" t="s">
        <v>295</v>
      </c>
      <c r="P137" s="7"/>
    </row>
    <row r="138" spans="2:16" ht="133.15" customHeight="1">
      <c r="B138" s="19"/>
      <c r="C138" s="8" t="s">
        <v>477</v>
      </c>
      <c r="D138" s="9" t="s">
        <v>478</v>
      </c>
      <c r="E138" s="18" t="s">
        <v>479</v>
      </c>
      <c r="F138" s="11">
        <f>29.08*F1+316</f>
        <v>1033.6943999999999</v>
      </c>
      <c r="G138" s="12">
        <f>31.99*F1+346</f>
        <v>1135.5131999999999</v>
      </c>
      <c r="H138" s="7" t="s">
        <v>474</v>
      </c>
      <c r="I138" s="13" t="s">
        <v>395</v>
      </c>
      <c r="K138" s="7" t="s">
        <v>475</v>
      </c>
      <c r="L138" s="13" t="s">
        <v>37</v>
      </c>
      <c r="M138" s="14" t="s">
        <v>295</v>
      </c>
      <c r="P138" s="7"/>
    </row>
    <row r="139" spans="2:16" ht="126.75" customHeight="1">
      <c r="B139" s="19"/>
      <c r="C139" s="8" t="s">
        <v>480</v>
      </c>
      <c r="D139" s="9" t="s">
        <v>481</v>
      </c>
      <c r="E139" s="18" t="s">
        <v>482</v>
      </c>
      <c r="F139" s="11">
        <f>29.12*F1+266</f>
        <v>984.6816</v>
      </c>
      <c r="G139" s="12">
        <f>32.03*F1+292</f>
        <v>1082.5003999999999</v>
      </c>
      <c r="H139" s="7" t="s">
        <v>483</v>
      </c>
      <c r="I139" s="13" t="s">
        <v>395</v>
      </c>
      <c r="K139" s="7" t="s">
        <v>467</v>
      </c>
      <c r="L139" s="13" t="s">
        <v>37</v>
      </c>
      <c r="M139" s="14" t="s">
        <v>295</v>
      </c>
      <c r="O139" s="16" t="s">
        <v>484</v>
      </c>
      <c r="P139" s="7"/>
    </row>
    <row r="140" spans="2:16" ht="129.6" customHeight="1">
      <c r="B140" s="19"/>
      <c r="C140" s="8" t="s">
        <v>485</v>
      </c>
      <c r="D140" s="9" t="s">
        <v>486</v>
      </c>
      <c r="E140" s="18" t="s">
        <v>487</v>
      </c>
      <c r="F140" s="11">
        <f>31.77*F1+271</f>
        <v>1055.0835999999999</v>
      </c>
      <c r="G140" s="12">
        <f>34.95*F1+297</f>
        <v>1159.566</v>
      </c>
      <c r="H140" s="7" t="s">
        <v>488</v>
      </c>
      <c r="I140" s="13" t="s">
        <v>395</v>
      </c>
      <c r="K140" s="7" t="s">
        <v>489</v>
      </c>
      <c r="L140" s="13" t="s">
        <v>37</v>
      </c>
      <c r="M140" s="14" t="s">
        <v>295</v>
      </c>
      <c r="P140" s="7"/>
    </row>
    <row r="141" spans="2:16" ht="118.15" customHeight="1">
      <c r="B141" s="19">
        <v>0</v>
      </c>
      <c r="C141" s="8" t="s">
        <v>490</v>
      </c>
      <c r="D141" s="9" t="s">
        <v>491</v>
      </c>
      <c r="E141" s="18" t="s">
        <v>492</v>
      </c>
      <c r="F141" s="11">
        <f>26.4*F1+266</f>
        <v>917.55199999999991</v>
      </c>
      <c r="G141" s="12">
        <f>29.04*F1+292</f>
        <v>1008.7071999999999</v>
      </c>
      <c r="H141" s="7" t="s">
        <v>423</v>
      </c>
      <c r="K141" s="7" t="s">
        <v>493</v>
      </c>
      <c r="L141" s="13" t="s">
        <v>37</v>
      </c>
      <c r="M141" s="14" t="s">
        <v>295</v>
      </c>
      <c r="P141" s="7"/>
    </row>
    <row r="142" spans="2:16" ht="118.15" customHeight="1">
      <c r="B142" s="19"/>
      <c r="C142" s="8" t="s">
        <v>494</v>
      </c>
      <c r="D142" s="9" t="s">
        <v>495</v>
      </c>
      <c r="E142" s="18" t="s">
        <v>496</v>
      </c>
      <c r="F142" s="11">
        <f>27.95*F1+283</f>
        <v>972.80599999999993</v>
      </c>
      <c r="G142" s="12">
        <f>30.75*F1+310</f>
        <v>1068.9099999999999</v>
      </c>
      <c r="H142" s="7" t="s">
        <v>497</v>
      </c>
      <c r="I142" s="13" t="s">
        <v>397</v>
      </c>
      <c r="J142" s="7" t="s">
        <v>395</v>
      </c>
      <c r="K142" s="8" t="s">
        <v>498</v>
      </c>
      <c r="L142" s="13" t="s">
        <v>37</v>
      </c>
      <c r="M142" s="14" t="s">
        <v>295</v>
      </c>
      <c r="P142" s="7"/>
    </row>
    <row r="143" spans="2:16" ht="118.15" customHeight="1">
      <c r="B143" s="19"/>
      <c r="C143" s="8" t="s">
        <v>499</v>
      </c>
      <c r="D143" s="9" t="s">
        <v>500</v>
      </c>
      <c r="E143" s="18" t="s">
        <v>501</v>
      </c>
      <c r="F143" s="11">
        <f>32.92*F1+318</f>
        <v>1130.4656</v>
      </c>
      <c r="G143" s="12">
        <f>36.31*F1+349</f>
        <v>1245.1307999999999</v>
      </c>
      <c r="H143" s="7" t="s">
        <v>497</v>
      </c>
      <c r="I143" s="13" t="s">
        <v>397</v>
      </c>
      <c r="J143" s="7" t="s">
        <v>395</v>
      </c>
      <c r="K143" s="7" t="s">
        <v>502</v>
      </c>
      <c r="L143" s="13" t="s">
        <v>37</v>
      </c>
      <c r="M143" s="14" t="s">
        <v>295</v>
      </c>
      <c r="P143" s="7"/>
    </row>
    <row r="144" spans="2:16" ht="118.15" customHeight="1">
      <c r="B144" s="19"/>
      <c r="C144" s="8" t="s">
        <v>503</v>
      </c>
      <c r="D144" s="9" t="s">
        <v>504</v>
      </c>
      <c r="E144" s="18" t="s">
        <v>505</v>
      </c>
      <c r="F144" s="11">
        <f>28.4*F1+263</f>
        <v>963.91199999999992</v>
      </c>
      <c r="G144" s="12">
        <f>31.24*F1+288</f>
        <v>1059.0032000000001</v>
      </c>
      <c r="H144" s="7" t="s">
        <v>506</v>
      </c>
      <c r="I144" s="13" t="s">
        <v>397</v>
      </c>
      <c r="J144" s="7" t="s">
        <v>15</v>
      </c>
      <c r="K144" s="7" t="s">
        <v>507</v>
      </c>
      <c r="L144" s="13" t="s">
        <v>37</v>
      </c>
      <c r="M144" s="14" t="s">
        <v>295</v>
      </c>
      <c r="P144" s="7"/>
    </row>
    <row r="145" spans="2:16" ht="118.15" customHeight="1">
      <c r="B145" s="19"/>
      <c r="C145" s="8" t="s">
        <v>508</v>
      </c>
      <c r="D145" s="9" t="s">
        <v>504</v>
      </c>
      <c r="E145" s="18" t="s">
        <v>505</v>
      </c>
      <c r="F145" s="11">
        <f>28.4*F1+263</f>
        <v>963.91199999999992</v>
      </c>
      <c r="G145" s="12">
        <f>31.24*F1+288</f>
        <v>1059.0032000000001</v>
      </c>
      <c r="H145" s="7" t="s">
        <v>506</v>
      </c>
      <c r="I145" s="13" t="s">
        <v>395</v>
      </c>
      <c r="K145" s="7" t="s">
        <v>507</v>
      </c>
      <c r="L145" s="13" t="s">
        <v>37</v>
      </c>
      <c r="M145" s="14" t="s">
        <v>295</v>
      </c>
      <c r="P145" s="7"/>
    </row>
    <row r="146" spans="2:16" ht="118.15" customHeight="1">
      <c r="B146" s="19"/>
      <c r="C146" s="8" t="s">
        <v>509</v>
      </c>
      <c r="D146" s="9" t="s">
        <v>510</v>
      </c>
      <c r="E146" s="18" t="s">
        <v>511</v>
      </c>
      <c r="F146" s="11">
        <f>26.51*F1+273</f>
        <v>927.26679999999999</v>
      </c>
      <c r="G146" s="12">
        <f>29.16*F1+299</f>
        <v>1018.6688</v>
      </c>
      <c r="H146" s="7" t="s">
        <v>512</v>
      </c>
      <c r="I146" s="13" t="s">
        <v>264</v>
      </c>
      <c r="J146" s="7" t="s">
        <v>513</v>
      </c>
      <c r="K146" s="7" t="s">
        <v>514</v>
      </c>
      <c r="L146" s="13" t="s">
        <v>37</v>
      </c>
      <c r="M146" s="14" t="s">
        <v>515</v>
      </c>
      <c r="P146" s="7"/>
    </row>
    <row r="147" spans="2:16" ht="118.15" customHeight="1">
      <c r="B147" s="19"/>
      <c r="C147" s="8" t="s">
        <v>516</v>
      </c>
      <c r="D147" s="9" t="s">
        <v>407</v>
      </c>
      <c r="E147" s="18" t="s">
        <v>408</v>
      </c>
      <c r="F147" s="11">
        <f>29.3*F1+271</f>
        <v>994.12400000000002</v>
      </c>
      <c r="G147" s="12">
        <f>32.23*F1+297</f>
        <v>1092.4364</v>
      </c>
      <c r="H147" s="7" t="s">
        <v>517</v>
      </c>
      <c r="I147" s="13" t="s">
        <v>264</v>
      </c>
      <c r="J147" s="7" t="s">
        <v>513</v>
      </c>
      <c r="K147" s="7" t="s">
        <v>518</v>
      </c>
      <c r="L147" s="13" t="s">
        <v>37</v>
      </c>
      <c r="M147" s="14" t="s">
        <v>515</v>
      </c>
      <c r="P147" s="7"/>
    </row>
    <row r="148" spans="2:16" ht="118.15" customHeight="1">
      <c r="B148" s="19"/>
      <c r="C148" s="8" t="s">
        <v>519</v>
      </c>
      <c r="D148" s="9" t="s">
        <v>520</v>
      </c>
      <c r="E148" s="18" t="s">
        <v>521</v>
      </c>
      <c r="F148" s="11">
        <f>21.53*F1+260</f>
        <v>791.36040000000003</v>
      </c>
      <c r="G148" s="12">
        <f>23.68*F1+285</f>
        <v>869.42240000000004</v>
      </c>
      <c r="H148" s="7" t="s">
        <v>522</v>
      </c>
      <c r="I148" s="13" t="s">
        <v>264</v>
      </c>
      <c r="J148" s="7" t="s">
        <v>513</v>
      </c>
      <c r="K148" s="7" t="s">
        <v>523</v>
      </c>
      <c r="L148" s="13" t="s">
        <v>37</v>
      </c>
      <c r="M148" s="14" t="s">
        <v>515</v>
      </c>
      <c r="P148" s="7"/>
    </row>
    <row r="149" spans="2:16" ht="83.45" customHeight="1">
      <c r="C149" s="8" t="s">
        <v>524</v>
      </c>
      <c r="D149" s="9" t="s">
        <v>407</v>
      </c>
      <c r="E149" s="18" t="s">
        <v>408</v>
      </c>
      <c r="F149" s="11">
        <f>29.3*F1+271</f>
        <v>994.12400000000002</v>
      </c>
      <c r="G149" s="12">
        <f>32.23*F1+297</f>
        <v>1092.4364</v>
      </c>
      <c r="H149" s="7" t="s">
        <v>409</v>
      </c>
      <c r="I149" s="13" t="s">
        <v>420</v>
      </c>
      <c r="J149" s="7" t="s">
        <v>525</v>
      </c>
      <c r="K149" s="7" t="s">
        <v>411</v>
      </c>
      <c r="L149" s="13" t="s">
        <v>16</v>
      </c>
      <c r="M149" s="14" t="s">
        <v>136</v>
      </c>
      <c r="P149" s="7"/>
    </row>
    <row r="150" spans="2:16" ht="85.15" customHeight="1">
      <c r="B150" s="19"/>
      <c r="C150" s="8" t="s">
        <v>526</v>
      </c>
      <c r="D150" s="9" t="s">
        <v>527</v>
      </c>
      <c r="E150" s="18" t="s">
        <v>528</v>
      </c>
      <c r="F150" s="11">
        <f>23.48*F1+246</f>
        <v>825.4864</v>
      </c>
      <c r="G150" s="12">
        <f>25.83*F1+270</f>
        <v>907.48439999999994</v>
      </c>
      <c r="H150" s="7" t="s">
        <v>68</v>
      </c>
      <c r="I150" s="13" t="s">
        <v>420</v>
      </c>
      <c r="J150" s="7" t="s">
        <v>525</v>
      </c>
      <c r="K150" s="7" t="s">
        <v>529</v>
      </c>
      <c r="L150" s="13" t="s">
        <v>16</v>
      </c>
      <c r="M150" s="14" t="s">
        <v>136</v>
      </c>
      <c r="P150" s="7"/>
    </row>
    <row r="151" spans="2:16" ht="93.6" customHeight="1">
      <c r="B151" s="19"/>
      <c r="C151" s="8" t="s">
        <v>530</v>
      </c>
      <c r="D151" s="9" t="s">
        <v>527</v>
      </c>
      <c r="E151" s="18" t="s">
        <v>528</v>
      </c>
      <c r="F151" s="11">
        <f>23.48*F1+246</f>
        <v>825.4864</v>
      </c>
      <c r="G151" s="12">
        <f>25.83*F1+270</f>
        <v>907.48439999999994</v>
      </c>
      <c r="H151" s="7" t="s">
        <v>68</v>
      </c>
      <c r="I151" s="13" t="s">
        <v>420</v>
      </c>
      <c r="J151" s="7" t="s">
        <v>525</v>
      </c>
      <c r="K151" s="7" t="s">
        <v>529</v>
      </c>
      <c r="L151" s="13" t="s">
        <v>16</v>
      </c>
      <c r="M151" s="14" t="s">
        <v>136</v>
      </c>
      <c r="P151" s="7"/>
    </row>
    <row r="152" spans="2:16" ht="132.6" customHeight="1">
      <c r="B152" s="19"/>
      <c r="C152" s="8" t="s">
        <v>531</v>
      </c>
      <c r="D152" s="9" t="s">
        <v>532</v>
      </c>
      <c r="E152" s="18" t="s">
        <v>533</v>
      </c>
      <c r="F152" s="11">
        <f>30.77*F1+291</f>
        <v>1050.4036000000001</v>
      </c>
      <c r="G152" s="12">
        <f>33.85*F1+319</f>
        <v>1154.4180000000001</v>
      </c>
      <c r="H152" s="7" t="s">
        <v>423</v>
      </c>
      <c r="I152" s="13" t="s">
        <v>420</v>
      </c>
      <c r="J152" s="7" t="s">
        <v>525</v>
      </c>
      <c r="K152" s="7" t="s">
        <v>424</v>
      </c>
      <c r="L152" s="13" t="s">
        <v>16</v>
      </c>
      <c r="M152" s="14" t="s">
        <v>136</v>
      </c>
      <c r="P152" s="7"/>
    </row>
    <row r="153" spans="2:16" ht="118.15" customHeight="1">
      <c r="C153" s="8" t="s">
        <v>534</v>
      </c>
      <c r="D153" s="9" t="s">
        <v>535</v>
      </c>
      <c r="E153" s="18" t="s">
        <v>536</v>
      </c>
      <c r="F153" s="11">
        <f>31.93*F1+326</f>
        <v>1114.0324000000001</v>
      </c>
      <c r="G153" s="12">
        <f>35.12*F1+358</f>
        <v>1224.7615999999998</v>
      </c>
      <c r="H153" s="7" t="s">
        <v>409</v>
      </c>
      <c r="I153" s="13" t="s">
        <v>420</v>
      </c>
      <c r="J153" s="7" t="s">
        <v>328</v>
      </c>
      <c r="K153" s="7" t="s">
        <v>475</v>
      </c>
      <c r="L153" s="13" t="s">
        <v>16</v>
      </c>
      <c r="M153" s="14" t="s">
        <v>136</v>
      </c>
      <c r="N153" s="7"/>
      <c r="O153" s="7"/>
      <c r="P153" s="7"/>
    </row>
    <row r="154" spans="2:16" ht="121.9" customHeight="1">
      <c r="C154" s="8" t="s">
        <v>537</v>
      </c>
      <c r="D154" s="9" t="s">
        <v>538</v>
      </c>
      <c r="E154" s="18" t="s">
        <v>539</v>
      </c>
      <c r="F154" s="11">
        <f>30.77*F1+271</f>
        <v>1030.4036000000001</v>
      </c>
      <c r="G154" s="12">
        <f>33.85*F1+297</f>
        <v>1132.4180000000001</v>
      </c>
      <c r="H154" s="33"/>
      <c r="I154" s="13" t="s">
        <v>420</v>
      </c>
      <c r="J154" s="7" t="s">
        <v>328</v>
      </c>
      <c r="K154" s="7" t="s">
        <v>475</v>
      </c>
      <c r="L154" s="13" t="s">
        <v>16</v>
      </c>
      <c r="M154" s="14" t="s">
        <v>136</v>
      </c>
      <c r="N154" s="7"/>
      <c r="O154" s="7"/>
      <c r="P154" s="7"/>
    </row>
    <row r="155" spans="2:16" ht="111" customHeight="1">
      <c r="B155" s="19"/>
      <c r="C155" s="8" t="s">
        <v>540</v>
      </c>
      <c r="D155" s="9" t="s">
        <v>541</v>
      </c>
      <c r="E155" s="18" t="s">
        <v>542</v>
      </c>
      <c r="F155" s="11">
        <f>23.48*F1+196</f>
        <v>775.4864</v>
      </c>
      <c r="G155" s="12">
        <f>25.83*F1+215</f>
        <v>852.48439999999994</v>
      </c>
      <c r="H155" s="33" t="s">
        <v>409</v>
      </c>
      <c r="I155" s="13" t="s">
        <v>420</v>
      </c>
      <c r="J155" s="7" t="s">
        <v>328</v>
      </c>
      <c r="K155" s="7">
        <v>26.5</v>
      </c>
      <c r="L155" s="13" t="s">
        <v>16</v>
      </c>
      <c r="M155" s="14" t="s">
        <v>136</v>
      </c>
      <c r="N155" s="7"/>
      <c r="O155" s="7"/>
      <c r="P155" s="7"/>
    </row>
    <row r="156" spans="2:16">
      <c r="N156" s="7"/>
      <c r="O156" s="7"/>
      <c r="P156" s="7"/>
    </row>
    <row r="157" spans="2:16">
      <c r="N157" s="7"/>
      <c r="O157" s="7"/>
      <c r="P157" s="7"/>
    </row>
    <row r="158" spans="2:16">
      <c r="N158" s="7"/>
      <c r="O158" s="7"/>
      <c r="P158" s="7"/>
    </row>
    <row r="159" spans="2:16">
      <c r="N159" s="7"/>
      <c r="O159" s="7"/>
      <c r="P159" s="7"/>
    </row>
    <row r="160" spans="2:16">
      <c r="N160" s="7"/>
      <c r="O160" s="7"/>
      <c r="P160" s="7"/>
    </row>
    <row r="161" spans="3:16">
      <c r="N161" s="7"/>
      <c r="O161" s="7"/>
      <c r="P161" s="7"/>
    </row>
    <row r="162" spans="3:16">
      <c r="N162" s="7"/>
      <c r="O162" s="7"/>
      <c r="P162" s="7"/>
    </row>
    <row r="163" spans="3:16">
      <c r="N163" s="7"/>
      <c r="O163" s="7"/>
      <c r="P163" s="7"/>
    </row>
    <row r="164" spans="3:16">
      <c r="N164" s="7"/>
      <c r="O164" s="7"/>
      <c r="P164" s="7"/>
    </row>
    <row r="165" spans="3:16">
      <c r="N165" s="7"/>
      <c r="O165" s="7"/>
      <c r="P165" s="7"/>
    </row>
    <row r="166" spans="3:16">
      <c r="N166" s="7"/>
      <c r="O166" s="7"/>
      <c r="P166" s="7"/>
    </row>
    <row r="167" spans="3:16">
      <c r="N167" s="7"/>
      <c r="O167" s="7"/>
      <c r="P167" s="7"/>
    </row>
    <row r="168" spans="3:16">
      <c r="N168" s="7"/>
      <c r="O168" s="7"/>
      <c r="P168" s="7"/>
    </row>
    <row r="169" spans="3:16">
      <c r="C169" s="7"/>
    </row>
    <row r="170" spans="3:16">
      <c r="C170" s="7"/>
    </row>
    <row r="171" spans="3:16">
      <c r="C171" s="7"/>
    </row>
    <row r="172" spans="3:16">
      <c r="C172" s="7"/>
    </row>
    <row r="173" spans="3:16">
      <c r="C173" s="7"/>
    </row>
    <row r="174" spans="3:16">
      <c r="C174" s="7"/>
    </row>
    <row r="175" spans="3:16">
      <c r="C175" s="7"/>
    </row>
    <row r="176" spans="3:16">
      <c r="C176" s="7"/>
    </row>
    <row r="177" spans="3:16">
      <c r="C177" s="7"/>
    </row>
    <row r="178" spans="3:16">
      <c r="C178" s="7"/>
    </row>
    <row r="179" spans="3:16">
      <c r="C179" s="7"/>
    </row>
    <row r="180" spans="3:16">
      <c r="C180" s="7"/>
      <c r="D180" s="22"/>
      <c r="E180" s="23"/>
    </row>
    <row r="181" spans="3:16" s="8" customFormat="1">
      <c r="D181" s="22"/>
      <c r="E181" s="23"/>
      <c r="F181" s="11"/>
      <c r="G181" s="12"/>
      <c r="I181" s="20"/>
      <c r="L181" s="20"/>
      <c r="M181" s="34"/>
      <c r="N181" s="35"/>
      <c r="O181" s="21"/>
      <c r="P181" s="27"/>
    </row>
    <row r="182" spans="3:16" s="8" customFormat="1">
      <c r="D182" s="22"/>
      <c r="E182" s="23"/>
      <c r="F182" s="11"/>
      <c r="G182" s="12"/>
      <c r="I182" s="20"/>
      <c r="L182" s="20"/>
      <c r="M182" s="34"/>
      <c r="N182" s="35"/>
      <c r="O182" s="21"/>
      <c r="P182" s="27"/>
    </row>
    <row r="183" spans="3:16" s="8" customFormat="1">
      <c r="D183" s="22"/>
      <c r="E183" s="23"/>
      <c r="F183" s="11"/>
      <c r="G183" s="12"/>
      <c r="I183" s="20"/>
      <c r="L183" s="20"/>
      <c r="M183" s="34"/>
      <c r="N183" s="35"/>
      <c r="O183" s="21"/>
      <c r="P183" s="27"/>
    </row>
    <row r="184" spans="3:16" s="8" customFormat="1">
      <c r="D184" s="22"/>
      <c r="E184" s="23"/>
      <c r="F184" s="11"/>
      <c r="G184" s="12"/>
      <c r="I184" s="20"/>
      <c r="L184" s="20"/>
      <c r="M184" s="34"/>
      <c r="N184" s="35"/>
      <c r="O184" s="21"/>
      <c r="P184" s="27"/>
    </row>
    <row r="185" spans="3:16" s="8" customFormat="1">
      <c r="D185" s="9"/>
      <c r="E185" s="18"/>
      <c r="F185" s="11"/>
      <c r="G185" s="12"/>
      <c r="I185" s="20"/>
      <c r="L185" s="20"/>
      <c r="M185" s="34"/>
      <c r="N185" s="35"/>
      <c r="O185" s="21"/>
      <c r="P185" s="27"/>
    </row>
    <row r="186" spans="3:16">
      <c r="C186" s="7"/>
    </row>
    <row r="187" spans="3:16">
      <c r="C187" s="7"/>
    </row>
    <row r="188" spans="3:16">
      <c r="C188" s="7"/>
    </row>
    <row r="189" spans="3:16">
      <c r="C189" s="7"/>
    </row>
    <row r="190" spans="3:16">
      <c r="C190" s="7"/>
    </row>
    <row r="191" spans="3:16">
      <c r="C191" s="7"/>
    </row>
    <row r="192" spans="3:16">
      <c r="C192" s="7"/>
    </row>
    <row r="193" spans="3:16">
      <c r="C193" s="7"/>
    </row>
    <row r="194" spans="3:16">
      <c r="C194" s="7"/>
    </row>
    <row r="195" spans="3:16">
      <c r="C195" s="7"/>
    </row>
    <row r="196" spans="3:16">
      <c r="C196" s="7"/>
    </row>
    <row r="197" spans="3:16">
      <c r="C197" s="7"/>
    </row>
    <row r="198" spans="3:16">
      <c r="C198" s="7"/>
    </row>
    <row r="199" spans="3:16">
      <c r="C199" s="7"/>
    </row>
    <row r="200" spans="3:16">
      <c r="C200" s="7"/>
    </row>
    <row r="201" spans="3:16">
      <c r="C201" s="7"/>
      <c r="D201" s="7"/>
      <c r="E201" s="7"/>
      <c r="F201" s="7"/>
      <c r="G201" s="7"/>
      <c r="I201" s="7"/>
      <c r="L201" s="7"/>
      <c r="M201" s="7"/>
      <c r="N201" s="7"/>
      <c r="O201" s="7"/>
      <c r="P201" s="7"/>
    </row>
    <row r="202" spans="3:16">
      <c r="C202" s="7"/>
      <c r="D202" s="7"/>
      <c r="E202" s="7"/>
      <c r="F202" s="7"/>
      <c r="G202" s="7"/>
      <c r="I202" s="7"/>
      <c r="L202" s="7"/>
      <c r="M202" s="7"/>
      <c r="N202" s="7"/>
      <c r="O202" s="7"/>
      <c r="P202" s="7"/>
    </row>
    <row r="203" spans="3:16">
      <c r="C203" s="7"/>
      <c r="D203" s="7"/>
      <c r="E203" s="7"/>
      <c r="F203" s="7"/>
      <c r="G203" s="7"/>
      <c r="I203" s="7"/>
      <c r="L203" s="7"/>
      <c r="M203" s="7"/>
      <c r="N203" s="7"/>
      <c r="O203" s="7"/>
      <c r="P203" s="7"/>
    </row>
    <row r="204" spans="3:16">
      <c r="C204" s="7"/>
      <c r="D204" s="7"/>
      <c r="E204" s="7"/>
      <c r="F204" s="7"/>
      <c r="G204" s="7"/>
      <c r="I204" s="7"/>
      <c r="L204" s="7"/>
      <c r="M204" s="7"/>
      <c r="N204" s="7"/>
      <c r="O204" s="7"/>
      <c r="P204" s="7"/>
    </row>
    <row r="205" spans="3:16">
      <c r="C205" s="7"/>
      <c r="D205" s="7"/>
      <c r="E205" s="7"/>
      <c r="F205" s="7"/>
      <c r="G205" s="7"/>
      <c r="I205" s="7"/>
      <c r="L205" s="7"/>
      <c r="M205" s="7"/>
      <c r="N205" s="7"/>
      <c r="O205" s="7"/>
      <c r="P205" s="7"/>
    </row>
    <row r="206" spans="3:16">
      <c r="C206" s="7"/>
      <c r="D206" s="7"/>
      <c r="E206" s="7"/>
      <c r="F206" s="7"/>
      <c r="G206" s="7"/>
      <c r="I206" s="7"/>
      <c r="L206" s="7"/>
      <c r="M206" s="7"/>
      <c r="N206" s="7"/>
      <c r="O206" s="7"/>
      <c r="P206" s="7"/>
    </row>
    <row r="207" spans="3:16">
      <c r="C207" s="7"/>
      <c r="D207" s="7"/>
      <c r="E207" s="7"/>
      <c r="F207" s="7"/>
      <c r="G207" s="7"/>
      <c r="I207" s="7"/>
      <c r="L207" s="7"/>
      <c r="M207" s="7"/>
      <c r="N207" s="7"/>
      <c r="O207" s="7"/>
      <c r="P207" s="7"/>
    </row>
    <row r="208" spans="3:16">
      <c r="C208" s="7"/>
      <c r="D208" s="7"/>
      <c r="E208" s="7"/>
      <c r="F208" s="7"/>
      <c r="G208" s="7"/>
      <c r="I208" s="7"/>
      <c r="L208" s="7"/>
      <c r="M208" s="7"/>
      <c r="N208" s="7"/>
      <c r="O208" s="7"/>
      <c r="P208" s="7"/>
    </row>
    <row r="209" spans="3:16">
      <c r="C209" s="7"/>
      <c r="D209" s="7"/>
      <c r="E209" s="7"/>
      <c r="F209" s="7"/>
      <c r="G209" s="7"/>
      <c r="I209" s="7"/>
      <c r="L209" s="7"/>
      <c r="M209" s="7"/>
      <c r="N209" s="7"/>
      <c r="O209" s="7"/>
      <c r="P209" s="7"/>
    </row>
    <row r="210" spans="3:16">
      <c r="C210" s="7"/>
      <c r="D210" s="7"/>
      <c r="E210" s="7"/>
      <c r="F210" s="7"/>
      <c r="G210" s="7"/>
      <c r="I210" s="7"/>
      <c r="L210" s="7"/>
      <c r="M210" s="7"/>
      <c r="N210" s="7"/>
      <c r="O210" s="7"/>
      <c r="P210" s="7"/>
    </row>
    <row r="211" spans="3:16">
      <c r="C211" s="7"/>
      <c r="D211" s="7"/>
      <c r="E211" s="7"/>
      <c r="F211" s="7"/>
      <c r="G211" s="7"/>
      <c r="I211" s="7"/>
      <c r="L211" s="7"/>
      <c r="M211" s="7"/>
      <c r="N211" s="7"/>
      <c r="O211" s="7"/>
      <c r="P211" s="7"/>
    </row>
    <row r="212" spans="3:16">
      <c r="C212" s="7"/>
      <c r="D212" s="7"/>
      <c r="E212" s="7"/>
      <c r="F212" s="7"/>
      <c r="G212" s="7"/>
      <c r="I212" s="7"/>
      <c r="L212" s="7"/>
      <c r="M212" s="7"/>
      <c r="N212" s="7"/>
      <c r="O212" s="7"/>
      <c r="P212" s="7"/>
    </row>
    <row r="213" spans="3:16">
      <c r="C213" s="7"/>
      <c r="D213" s="7"/>
      <c r="E213" s="7"/>
      <c r="F213" s="7"/>
      <c r="G213" s="7"/>
      <c r="I213" s="7"/>
      <c r="L213" s="7"/>
      <c r="M213" s="7"/>
      <c r="N213" s="7"/>
      <c r="O213" s="7"/>
      <c r="P213" s="7"/>
    </row>
    <row r="214" spans="3:16">
      <c r="C214" s="7"/>
      <c r="D214" s="7"/>
      <c r="E214" s="7"/>
      <c r="F214" s="7"/>
      <c r="G214" s="7"/>
      <c r="I214" s="7"/>
      <c r="L214" s="7"/>
      <c r="M214" s="7"/>
      <c r="N214" s="7"/>
      <c r="O214" s="7"/>
      <c r="P214" s="7"/>
    </row>
    <row r="215" spans="3:16">
      <c r="C215" s="7"/>
      <c r="D215" s="7"/>
      <c r="E215" s="7"/>
      <c r="F215" s="7"/>
      <c r="G215" s="7"/>
      <c r="I215" s="7"/>
      <c r="L215" s="7"/>
      <c r="M215" s="7"/>
      <c r="N215" s="7"/>
      <c r="O215" s="7"/>
      <c r="P215" s="7"/>
    </row>
    <row r="216" spans="3:16">
      <c r="C216" s="7"/>
      <c r="D216" s="7"/>
      <c r="E216" s="7"/>
      <c r="F216" s="7"/>
      <c r="G216" s="7"/>
      <c r="I216" s="7"/>
      <c r="L216" s="7"/>
      <c r="M216" s="7"/>
      <c r="N216" s="7"/>
      <c r="O216" s="7"/>
      <c r="P216" s="7"/>
    </row>
    <row r="217" spans="3:16">
      <c r="C217" s="7"/>
      <c r="D217" s="7"/>
      <c r="E217" s="7"/>
      <c r="F217" s="7"/>
      <c r="G217" s="7"/>
      <c r="I217" s="7"/>
      <c r="L217" s="7"/>
      <c r="M217" s="7"/>
      <c r="N217" s="7"/>
      <c r="O217" s="7"/>
      <c r="P217" s="7"/>
    </row>
    <row r="218" spans="3:16">
      <c r="C218" s="7"/>
      <c r="D218" s="7"/>
      <c r="E218" s="7"/>
      <c r="F218" s="7"/>
      <c r="G218" s="7"/>
      <c r="I218" s="7"/>
      <c r="L218" s="7"/>
      <c r="M218" s="7"/>
      <c r="N218" s="7"/>
      <c r="O218" s="7"/>
      <c r="P218" s="7"/>
    </row>
    <row r="219" spans="3:16">
      <c r="C219" s="7"/>
      <c r="D219" s="7"/>
      <c r="E219" s="7"/>
      <c r="F219" s="7"/>
      <c r="G219" s="7"/>
      <c r="I219" s="7"/>
      <c r="L219" s="7"/>
      <c r="M219" s="7"/>
      <c r="N219" s="7"/>
      <c r="O219" s="7"/>
      <c r="P219" s="7"/>
    </row>
    <row r="220" spans="3:16">
      <c r="C220" s="7"/>
      <c r="D220" s="7"/>
      <c r="E220" s="7"/>
      <c r="F220" s="7"/>
      <c r="G220" s="7"/>
      <c r="I220" s="7"/>
      <c r="L220" s="7"/>
      <c r="M220" s="7"/>
      <c r="N220" s="7"/>
      <c r="O220" s="7"/>
      <c r="P220" s="7"/>
    </row>
    <row r="221" spans="3:16">
      <c r="C221" s="7"/>
      <c r="D221" s="7"/>
      <c r="E221" s="7"/>
      <c r="F221" s="7"/>
      <c r="G221" s="7"/>
      <c r="I221" s="7"/>
      <c r="L221" s="7"/>
      <c r="M221" s="7"/>
      <c r="N221" s="7"/>
      <c r="O221" s="7"/>
      <c r="P221" s="7"/>
    </row>
    <row r="222" spans="3:16">
      <c r="C222" s="7"/>
      <c r="D222" s="7"/>
      <c r="E222" s="7"/>
      <c r="F222" s="7"/>
      <c r="G222" s="7"/>
      <c r="I222" s="7"/>
      <c r="L222" s="7"/>
      <c r="M222" s="7"/>
      <c r="N222" s="7"/>
      <c r="O222" s="7"/>
      <c r="P222" s="7"/>
    </row>
    <row r="223" spans="3:16">
      <c r="C223" s="7"/>
      <c r="D223" s="7"/>
      <c r="E223" s="7"/>
      <c r="F223" s="7"/>
      <c r="G223" s="7"/>
      <c r="I223" s="7"/>
      <c r="L223" s="7"/>
      <c r="M223" s="7"/>
      <c r="N223" s="7"/>
      <c r="O223" s="7"/>
      <c r="P223" s="7"/>
    </row>
    <row r="224" spans="3:16">
      <c r="C224" s="7"/>
      <c r="D224" s="7"/>
      <c r="E224" s="7"/>
      <c r="F224" s="7"/>
      <c r="G224" s="7"/>
      <c r="I224" s="7"/>
      <c r="L224" s="7"/>
      <c r="M224" s="7"/>
      <c r="N224" s="7"/>
      <c r="O224" s="7"/>
      <c r="P224" s="7"/>
    </row>
    <row r="225" spans="3:16">
      <c r="C225" s="7"/>
      <c r="D225" s="7"/>
      <c r="E225" s="7"/>
      <c r="F225" s="7"/>
      <c r="G225" s="7"/>
      <c r="I225" s="7"/>
      <c r="L225" s="7"/>
      <c r="M225" s="7"/>
      <c r="N225" s="7"/>
      <c r="O225" s="7"/>
      <c r="P225" s="7"/>
    </row>
    <row r="226" spans="3:16">
      <c r="C226" s="7"/>
      <c r="D226" s="7"/>
      <c r="E226" s="7"/>
      <c r="F226" s="7"/>
      <c r="G226" s="7"/>
      <c r="I226" s="7"/>
      <c r="L226" s="7"/>
      <c r="M226" s="7"/>
      <c r="N226" s="7"/>
      <c r="O226" s="7"/>
      <c r="P226" s="7"/>
    </row>
    <row r="227" spans="3:16">
      <c r="C227" s="7"/>
      <c r="D227" s="7"/>
      <c r="E227" s="7"/>
      <c r="F227" s="7"/>
      <c r="G227" s="7"/>
      <c r="I227" s="7"/>
      <c r="L227" s="7"/>
      <c r="M227" s="7"/>
      <c r="N227" s="7"/>
      <c r="O227" s="7"/>
      <c r="P227" s="7"/>
    </row>
    <row r="228" spans="3:16">
      <c r="C228" s="7"/>
      <c r="D228" s="7"/>
      <c r="E228" s="7"/>
      <c r="F228" s="7"/>
      <c r="G228" s="7"/>
      <c r="I228" s="7"/>
      <c r="L228" s="7"/>
      <c r="M228" s="7"/>
      <c r="N228" s="7"/>
      <c r="O228" s="7"/>
      <c r="P228" s="7"/>
    </row>
    <row r="229" spans="3:16">
      <c r="C229" s="7"/>
      <c r="D229" s="7"/>
      <c r="E229" s="7"/>
      <c r="F229" s="7"/>
      <c r="G229" s="7"/>
      <c r="I229" s="7"/>
      <c r="L229" s="7"/>
      <c r="M229" s="7"/>
      <c r="N229" s="7"/>
      <c r="O229" s="7"/>
      <c r="P229" s="7"/>
    </row>
    <row r="230" spans="3:16">
      <c r="C230" s="7"/>
      <c r="D230" s="7"/>
      <c r="E230" s="7"/>
      <c r="F230" s="7"/>
      <c r="G230" s="7"/>
      <c r="I230" s="7"/>
      <c r="L230" s="7"/>
      <c r="M230" s="7"/>
      <c r="N230" s="7"/>
      <c r="O230" s="7"/>
      <c r="P230" s="7"/>
    </row>
    <row r="231" spans="3:16">
      <c r="C231" s="7"/>
      <c r="D231" s="7"/>
      <c r="E231" s="7"/>
      <c r="F231" s="7"/>
      <c r="G231" s="7"/>
      <c r="I231" s="7"/>
      <c r="L231" s="7"/>
      <c r="M231" s="7"/>
      <c r="N231" s="7"/>
      <c r="O231" s="7"/>
      <c r="P231" s="7"/>
    </row>
    <row r="232" spans="3:16">
      <c r="C232" s="7"/>
      <c r="D232" s="7"/>
      <c r="E232" s="7"/>
      <c r="F232" s="7"/>
      <c r="G232" s="7"/>
      <c r="I232" s="7"/>
      <c r="L232" s="7"/>
      <c r="M232" s="7"/>
      <c r="N232" s="7"/>
      <c r="O232" s="7"/>
      <c r="P232" s="7"/>
    </row>
    <row r="233" spans="3:16">
      <c r="C233" s="7"/>
      <c r="D233" s="7"/>
      <c r="E233" s="7"/>
      <c r="F233" s="7"/>
      <c r="G233" s="7"/>
      <c r="I233" s="7"/>
      <c r="L233" s="7"/>
      <c r="M233" s="7"/>
      <c r="N233" s="7"/>
      <c r="O233" s="7"/>
      <c r="P233" s="7"/>
    </row>
    <row r="234" spans="3:16">
      <c r="C234" s="7"/>
      <c r="D234" s="7"/>
      <c r="E234" s="7"/>
      <c r="F234" s="7"/>
      <c r="G234" s="7"/>
      <c r="I234" s="7"/>
      <c r="L234" s="7"/>
      <c r="M234" s="7"/>
      <c r="N234" s="7"/>
      <c r="O234" s="7"/>
      <c r="P234" s="7"/>
    </row>
    <row r="235" spans="3:16">
      <c r="C235" s="7"/>
      <c r="D235" s="7"/>
      <c r="E235" s="7"/>
      <c r="F235" s="7"/>
      <c r="G235" s="7"/>
      <c r="I235" s="7"/>
      <c r="L235" s="7"/>
      <c r="M235" s="7"/>
      <c r="N235" s="7"/>
      <c r="O235" s="7"/>
      <c r="P235" s="7"/>
    </row>
    <row r="236" spans="3:16">
      <c r="C236" s="7"/>
      <c r="D236" s="7"/>
      <c r="E236" s="7"/>
      <c r="F236" s="7"/>
      <c r="G236" s="7"/>
      <c r="I236" s="7"/>
      <c r="L236" s="7"/>
      <c r="M236" s="7"/>
      <c r="N236" s="7"/>
      <c r="O236" s="7"/>
      <c r="P236" s="7"/>
    </row>
    <row r="237" spans="3:16">
      <c r="C237" s="7"/>
      <c r="D237" s="7"/>
      <c r="E237" s="7"/>
      <c r="F237" s="7"/>
      <c r="G237" s="7"/>
      <c r="I237" s="7"/>
      <c r="L237" s="7"/>
      <c r="M237" s="7"/>
      <c r="N237" s="7"/>
      <c r="O237" s="7"/>
      <c r="P237" s="7"/>
    </row>
    <row r="238" spans="3:16">
      <c r="C238" s="7"/>
      <c r="D238" s="7"/>
      <c r="E238" s="7"/>
      <c r="F238" s="7"/>
      <c r="G238" s="7"/>
      <c r="I238" s="7"/>
      <c r="L238" s="7"/>
      <c r="M238" s="7"/>
      <c r="N238" s="7"/>
      <c r="O238" s="7"/>
      <c r="P238" s="7"/>
    </row>
    <row r="239" spans="3:16">
      <c r="C239" s="7"/>
      <c r="D239" s="7"/>
      <c r="E239" s="7"/>
      <c r="F239" s="7"/>
      <c r="G239" s="7"/>
      <c r="I239" s="7"/>
      <c r="L239" s="7"/>
      <c r="M239" s="7"/>
      <c r="N239" s="7"/>
      <c r="O239" s="7"/>
      <c r="P239" s="7"/>
    </row>
    <row r="240" spans="3:16">
      <c r="C240" s="7"/>
      <c r="D240" s="7"/>
      <c r="E240" s="7"/>
      <c r="F240" s="7"/>
      <c r="G240" s="7"/>
      <c r="I240" s="7"/>
      <c r="L240" s="7"/>
      <c r="M240" s="7"/>
      <c r="N240" s="7"/>
      <c r="O240" s="7"/>
      <c r="P240" s="7"/>
    </row>
    <row r="241" spans="3:16">
      <c r="C241" s="7"/>
      <c r="D241" s="7"/>
      <c r="E241" s="7"/>
      <c r="F241" s="7"/>
      <c r="G241" s="7"/>
      <c r="I241" s="7"/>
      <c r="L241" s="7"/>
      <c r="M241" s="7"/>
      <c r="N241" s="7"/>
      <c r="O241" s="7"/>
      <c r="P241" s="7"/>
    </row>
    <row r="242" spans="3:16">
      <c r="C242" s="7"/>
      <c r="D242" s="7"/>
      <c r="E242" s="7"/>
      <c r="F242" s="7"/>
      <c r="G242" s="7"/>
      <c r="I242" s="7"/>
      <c r="L242" s="7"/>
      <c r="M242" s="7"/>
      <c r="N242" s="7"/>
      <c r="O242" s="7"/>
      <c r="P242" s="7"/>
    </row>
    <row r="243" spans="3:16">
      <c r="C243" s="7"/>
      <c r="D243" s="7"/>
      <c r="E243" s="7"/>
      <c r="F243" s="7"/>
      <c r="G243" s="7"/>
      <c r="I243" s="7"/>
      <c r="L243" s="7"/>
      <c r="M243" s="7"/>
      <c r="N243" s="7"/>
      <c r="O243" s="7"/>
      <c r="P243" s="7"/>
    </row>
    <row r="244" spans="3:16">
      <c r="C244" s="7"/>
      <c r="D244" s="7"/>
      <c r="E244" s="7"/>
      <c r="F244" s="7"/>
      <c r="G244" s="7"/>
      <c r="I244" s="7"/>
      <c r="L244" s="7"/>
      <c r="M244" s="7"/>
      <c r="N244" s="7"/>
      <c r="O244" s="7"/>
      <c r="P244" s="7"/>
    </row>
    <row r="245" spans="3:16">
      <c r="C245" s="7"/>
      <c r="D245" s="7"/>
      <c r="E245" s="7"/>
      <c r="F245" s="7"/>
      <c r="G245" s="7"/>
      <c r="I245" s="7"/>
      <c r="L245" s="7"/>
      <c r="M245" s="7"/>
      <c r="N245" s="7"/>
      <c r="O245" s="7"/>
      <c r="P245" s="7"/>
    </row>
    <row r="246" spans="3:16">
      <c r="C246" s="7"/>
      <c r="D246" s="7"/>
      <c r="E246" s="7"/>
      <c r="F246" s="7"/>
      <c r="G246" s="7"/>
      <c r="I246" s="7"/>
      <c r="L246" s="7"/>
      <c r="M246" s="7"/>
      <c r="N246" s="7"/>
      <c r="O246" s="7"/>
      <c r="P246" s="7"/>
    </row>
    <row r="247" spans="3:16">
      <c r="C247" s="7"/>
      <c r="D247" s="7"/>
      <c r="E247" s="7"/>
      <c r="F247" s="7"/>
      <c r="G247" s="7"/>
      <c r="I247" s="7"/>
      <c r="L247" s="7"/>
      <c r="M247" s="7"/>
      <c r="N247" s="7"/>
      <c r="O247" s="7"/>
      <c r="P247" s="7"/>
    </row>
    <row r="248" spans="3:16">
      <c r="C248" s="7"/>
      <c r="D248" s="7"/>
      <c r="E248" s="7"/>
      <c r="F248" s="7"/>
      <c r="G248" s="7"/>
      <c r="I248" s="7"/>
      <c r="L248" s="7"/>
      <c r="M248" s="7"/>
      <c r="N248" s="7"/>
      <c r="O248" s="7"/>
      <c r="P248" s="7"/>
    </row>
    <row r="249" spans="3:16">
      <c r="C249" s="7"/>
      <c r="D249" s="7"/>
      <c r="E249" s="7"/>
      <c r="F249" s="7"/>
      <c r="G249" s="7"/>
      <c r="I249" s="7"/>
      <c r="L249" s="7"/>
      <c r="M249" s="7"/>
      <c r="N249" s="7"/>
      <c r="O249" s="7"/>
      <c r="P249" s="7"/>
    </row>
    <row r="250" spans="3:16">
      <c r="C250" s="7"/>
      <c r="D250" s="7"/>
      <c r="E250" s="7"/>
      <c r="F250" s="7"/>
      <c r="G250" s="7"/>
      <c r="I250" s="7"/>
      <c r="L250" s="7"/>
      <c r="M250" s="7"/>
      <c r="N250" s="7"/>
      <c r="O250" s="7"/>
      <c r="P250" s="7"/>
    </row>
    <row r="251" spans="3:16">
      <c r="C251" s="7"/>
      <c r="D251" s="7"/>
      <c r="E251" s="7"/>
      <c r="F251" s="7"/>
      <c r="G251" s="7"/>
      <c r="I251" s="7"/>
      <c r="L251" s="7"/>
      <c r="M251" s="7"/>
      <c r="N251" s="7"/>
      <c r="O251" s="7"/>
      <c r="P251" s="7"/>
    </row>
    <row r="252" spans="3:16">
      <c r="C252" s="7"/>
      <c r="D252" s="7"/>
      <c r="E252" s="7"/>
      <c r="F252" s="7"/>
      <c r="G252" s="7"/>
      <c r="I252" s="7"/>
      <c r="L252" s="7"/>
      <c r="M252" s="7"/>
      <c r="N252" s="7"/>
      <c r="O252" s="7"/>
      <c r="P252" s="7"/>
    </row>
    <row r="253" spans="3:16">
      <c r="C253" s="7"/>
      <c r="D253" s="7"/>
      <c r="E253" s="7"/>
      <c r="F253" s="7"/>
      <c r="G253" s="7"/>
      <c r="I253" s="7"/>
      <c r="L253" s="7"/>
      <c r="M253" s="7"/>
      <c r="N253" s="7"/>
      <c r="O253" s="7"/>
      <c r="P253" s="7"/>
    </row>
    <row r="254" spans="3:16">
      <c r="C254" s="7"/>
      <c r="D254" s="7"/>
      <c r="E254" s="7"/>
      <c r="F254" s="7"/>
      <c r="G254" s="7"/>
      <c r="I254" s="7"/>
      <c r="L254" s="7"/>
      <c r="M254" s="7"/>
      <c r="N254" s="7"/>
      <c r="O254" s="7"/>
      <c r="P254" s="7"/>
    </row>
    <row r="255" spans="3:16">
      <c r="C255" s="7"/>
      <c r="D255" s="7"/>
      <c r="E255" s="7"/>
      <c r="F255" s="7"/>
      <c r="G255" s="7"/>
      <c r="I255" s="7"/>
      <c r="L255" s="7"/>
      <c r="M255" s="7"/>
      <c r="N255" s="7"/>
      <c r="O255" s="7"/>
      <c r="P255" s="7"/>
    </row>
    <row r="256" spans="3:16">
      <c r="C256" s="7"/>
      <c r="D256" s="7"/>
      <c r="E256" s="7"/>
      <c r="F256" s="7"/>
      <c r="G256" s="7"/>
      <c r="I256" s="7"/>
      <c r="L256" s="7"/>
      <c r="M256" s="7"/>
      <c r="N256" s="7"/>
      <c r="O256" s="7"/>
      <c r="P256" s="7"/>
    </row>
    <row r="257" spans="3:16">
      <c r="C257" s="7"/>
      <c r="D257" s="7"/>
      <c r="E257" s="7"/>
      <c r="F257" s="7"/>
      <c r="G257" s="7"/>
      <c r="I257" s="7"/>
      <c r="L257" s="7"/>
      <c r="M257" s="7"/>
      <c r="N257" s="7"/>
      <c r="O257" s="7"/>
      <c r="P257" s="7"/>
    </row>
    <row r="258" spans="3:16">
      <c r="C258" s="7"/>
      <c r="D258" s="7"/>
      <c r="E258" s="7"/>
      <c r="F258" s="7"/>
      <c r="G258" s="7"/>
      <c r="I258" s="7"/>
      <c r="L258" s="7"/>
      <c r="M258" s="7"/>
      <c r="N258" s="7"/>
      <c r="O258" s="7"/>
      <c r="P258" s="7"/>
    </row>
    <row r="259" spans="3:16">
      <c r="C259" s="7"/>
      <c r="D259" s="7"/>
      <c r="E259" s="7"/>
      <c r="F259" s="7"/>
      <c r="G259" s="7"/>
      <c r="I259" s="7"/>
      <c r="L259" s="7"/>
      <c r="M259" s="7"/>
      <c r="N259" s="7"/>
      <c r="O259" s="7"/>
      <c r="P259" s="7"/>
    </row>
    <row r="260" spans="3:16">
      <c r="C260" s="7"/>
      <c r="D260" s="7"/>
      <c r="E260" s="7"/>
      <c r="F260" s="7"/>
      <c r="G260" s="7"/>
      <c r="I260" s="7"/>
      <c r="L260" s="7"/>
      <c r="M260" s="7"/>
      <c r="N260" s="7"/>
      <c r="O260" s="7"/>
      <c r="P260" s="7"/>
    </row>
    <row r="261" spans="3:16">
      <c r="C261" s="7"/>
      <c r="D261" s="7"/>
      <c r="E261" s="7"/>
      <c r="F261" s="7"/>
      <c r="G261" s="7"/>
      <c r="I261" s="7"/>
      <c r="L261" s="7"/>
      <c r="M261" s="7"/>
      <c r="N261" s="7"/>
      <c r="O261" s="7"/>
      <c r="P261" s="7"/>
    </row>
    <row r="262" spans="3:16">
      <c r="C262" s="7"/>
      <c r="D262" s="7"/>
      <c r="E262" s="7"/>
      <c r="F262" s="7"/>
      <c r="G262" s="7"/>
      <c r="I262" s="7"/>
      <c r="L262" s="7"/>
      <c r="M262" s="7"/>
      <c r="N262" s="7"/>
      <c r="O262" s="7"/>
      <c r="P262" s="7"/>
    </row>
    <row r="263" spans="3:16">
      <c r="C263" s="7"/>
      <c r="D263" s="7"/>
      <c r="E263" s="7"/>
      <c r="F263" s="7"/>
      <c r="G263" s="7"/>
      <c r="I263" s="7"/>
      <c r="L263" s="7"/>
      <c r="M263" s="7"/>
      <c r="N263" s="7"/>
      <c r="O263" s="7"/>
      <c r="P263" s="7"/>
    </row>
    <row r="264" spans="3:16">
      <c r="C264" s="7"/>
      <c r="D264" s="7"/>
      <c r="E264" s="7"/>
      <c r="F264" s="7"/>
      <c r="G264" s="7"/>
      <c r="I264" s="7"/>
      <c r="L264" s="7"/>
      <c r="M264" s="7"/>
      <c r="N264" s="7"/>
      <c r="O264" s="7"/>
      <c r="P264" s="7"/>
    </row>
    <row r="265" spans="3:16">
      <c r="C265" s="7"/>
      <c r="D265" s="7"/>
      <c r="E265" s="7"/>
      <c r="F265" s="7"/>
      <c r="G265" s="7"/>
      <c r="I265" s="7"/>
      <c r="L265" s="7"/>
      <c r="M265" s="7"/>
      <c r="N265" s="7"/>
      <c r="O265" s="7"/>
      <c r="P265" s="7"/>
    </row>
    <row r="266" spans="3:16">
      <c r="C266" s="7"/>
      <c r="D266" s="7"/>
      <c r="E266" s="7"/>
      <c r="F266" s="7"/>
      <c r="G266" s="7"/>
      <c r="I266" s="7"/>
      <c r="L266" s="7"/>
      <c r="M266" s="7"/>
      <c r="N266" s="7"/>
      <c r="O266" s="7"/>
      <c r="P266" s="7"/>
    </row>
    <row r="267" spans="3:16">
      <c r="C267" s="7"/>
      <c r="D267" s="7"/>
      <c r="E267" s="7"/>
      <c r="F267" s="7"/>
      <c r="G267" s="7"/>
      <c r="I267" s="7"/>
      <c r="L267" s="7"/>
      <c r="M267" s="7"/>
      <c r="N267" s="7"/>
      <c r="O267" s="7"/>
      <c r="P267" s="7"/>
    </row>
    <row r="268" spans="3:16">
      <c r="C268" s="7"/>
      <c r="D268" s="7"/>
      <c r="E268" s="7"/>
      <c r="F268" s="7"/>
      <c r="G268" s="7"/>
      <c r="I268" s="7"/>
      <c r="L268" s="7"/>
      <c r="M268" s="7"/>
      <c r="N268" s="7"/>
      <c r="O268" s="7"/>
      <c r="P268" s="7"/>
    </row>
    <row r="269" spans="3:16">
      <c r="C269" s="7"/>
      <c r="D269" s="7"/>
      <c r="E269" s="7"/>
      <c r="F269" s="7"/>
      <c r="G269" s="7"/>
      <c r="I269" s="7"/>
      <c r="L269" s="7"/>
      <c r="M269" s="7"/>
      <c r="N269" s="7"/>
      <c r="O269" s="7"/>
      <c r="P269" s="7"/>
    </row>
    <row r="270" spans="3:16">
      <c r="C270" s="7"/>
      <c r="D270" s="7"/>
      <c r="E270" s="7"/>
      <c r="F270" s="7"/>
      <c r="G270" s="7"/>
      <c r="I270" s="7"/>
      <c r="L270" s="7"/>
      <c r="M270" s="7"/>
      <c r="N270" s="7"/>
      <c r="O270" s="7"/>
      <c r="P270" s="7"/>
    </row>
    <row r="271" spans="3:16">
      <c r="C271" s="7"/>
      <c r="D271" s="7"/>
      <c r="E271" s="7"/>
      <c r="F271" s="7"/>
      <c r="G271" s="7"/>
      <c r="I271" s="7"/>
      <c r="L271" s="7"/>
      <c r="M271" s="7"/>
      <c r="N271" s="7"/>
      <c r="O271" s="7"/>
      <c r="P271" s="7"/>
    </row>
    <row r="272" spans="3:16">
      <c r="C272" s="7"/>
      <c r="D272" s="7"/>
      <c r="E272" s="7"/>
      <c r="F272" s="7"/>
      <c r="G272" s="7"/>
      <c r="I272" s="7"/>
      <c r="L272" s="7"/>
      <c r="M272" s="7"/>
      <c r="N272" s="7"/>
      <c r="O272" s="7"/>
      <c r="P272" s="7"/>
    </row>
    <row r="273" spans="3:16">
      <c r="C273" s="7"/>
      <c r="D273" s="7"/>
      <c r="E273" s="7"/>
      <c r="F273" s="7"/>
      <c r="G273" s="7"/>
      <c r="I273" s="7"/>
      <c r="L273" s="7"/>
      <c r="M273" s="7"/>
      <c r="N273" s="7"/>
      <c r="O273" s="7"/>
      <c r="P273" s="7"/>
    </row>
    <row r="274" spans="3:16">
      <c r="C274" s="7"/>
      <c r="D274" s="7"/>
      <c r="E274" s="7"/>
      <c r="F274" s="7"/>
      <c r="G274" s="7"/>
      <c r="I274" s="7"/>
      <c r="L274" s="7"/>
      <c r="M274" s="7"/>
      <c r="N274" s="7"/>
      <c r="O274" s="7"/>
      <c r="P274" s="7"/>
    </row>
    <row r="275" spans="3:16">
      <c r="C275" s="7"/>
      <c r="D275" s="7"/>
      <c r="E275" s="7"/>
      <c r="F275" s="7"/>
      <c r="G275" s="7"/>
      <c r="I275" s="7"/>
      <c r="L275" s="7"/>
      <c r="M275" s="7"/>
      <c r="N275" s="7"/>
      <c r="O275" s="7"/>
      <c r="P275" s="7"/>
    </row>
    <row r="276" spans="3:16">
      <c r="C276" s="7"/>
      <c r="D276" s="7"/>
      <c r="E276" s="7"/>
      <c r="F276" s="7"/>
      <c r="G276" s="7"/>
      <c r="I276" s="7"/>
      <c r="L276" s="7"/>
      <c r="M276" s="7"/>
      <c r="N276" s="7"/>
      <c r="O276" s="7"/>
      <c r="P276" s="7"/>
    </row>
    <row r="277" spans="3:16">
      <c r="C277" s="7"/>
      <c r="D277" s="7"/>
      <c r="E277" s="7"/>
      <c r="F277" s="7"/>
      <c r="G277" s="7"/>
      <c r="I277" s="7"/>
      <c r="L277" s="7"/>
      <c r="M277" s="7"/>
      <c r="N277" s="7"/>
      <c r="O277" s="7"/>
      <c r="P277" s="7"/>
    </row>
    <row r="278" spans="3:16">
      <c r="C278" s="7"/>
      <c r="D278" s="7"/>
      <c r="E278" s="7"/>
      <c r="F278" s="7"/>
      <c r="G278" s="7"/>
      <c r="I278" s="7"/>
      <c r="L278" s="7"/>
      <c r="M278" s="7"/>
      <c r="N278" s="7"/>
      <c r="O278" s="7"/>
      <c r="P278" s="7"/>
    </row>
    <row r="279" spans="3:16">
      <c r="C279" s="7"/>
      <c r="D279" s="7"/>
      <c r="E279" s="7"/>
      <c r="F279" s="7"/>
      <c r="G279" s="7"/>
      <c r="I279" s="7"/>
      <c r="L279" s="7"/>
      <c r="M279" s="7"/>
      <c r="N279" s="7"/>
      <c r="O279" s="7"/>
      <c r="P279" s="7"/>
    </row>
    <row r="280" spans="3:16">
      <c r="C280" s="7"/>
      <c r="D280" s="7"/>
      <c r="E280" s="7"/>
      <c r="F280" s="7"/>
      <c r="G280" s="7"/>
      <c r="I280" s="7"/>
      <c r="L280" s="7"/>
      <c r="M280" s="7"/>
      <c r="N280" s="7"/>
      <c r="O280" s="7"/>
      <c r="P280" s="7"/>
    </row>
    <row r="281" spans="3:16">
      <c r="C281" s="7"/>
      <c r="D281" s="7"/>
      <c r="E281" s="7"/>
      <c r="F281" s="7"/>
      <c r="G281" s="7"/>
      <c r="I281" s="7"/>
      <c r="L281" s="7"/>
      <c r="M281" s="7"/>
      <c r="N281" s="7"/>
      <c r="O281" s="7"/>
      <c r="P281" s="7"/>
    </row>
    <row r="282" spans="3:16">
      <c r="C282" s="7"/>
      <c r="D282" s="7"/>
      <c r="E282" s="7"/>
      <c r="F282" s="7"/>
      <c r="G282" s="7"/>
      <c r="I282" s="7"/>
      <c r="L282" s="7"/>
      <c r="M282" s="7"/>
      <c r="N282" s="7"/>
      <c r="O282" s="7"/>
      <c r="P282" s="7"/>
    </row>
    <row r="283" spans="3:16">
      <c r="C283" s="7"/>
      <c r="D283" s="7"/>
      <c r="E283" s="7"/>
      <c r="F283" s="7"/>
      <c r="G283" s="7"/>
      <c r="I283" s="7"/>
      <c r="L283" s="7"/>
      <c r="M283" s="7"/>
      <c r="N283" s="7"/>
      <c r="O283" s="7"/>
      <c r="P283" s="7"/>
    </row>
  </sheetData>
  <phoneticPr fontId="4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Администратор</cp:lastModifiedBy>
  <dcterms:created xsi:type="dcterms:W3CDTF">2016-05-07T10:26:20Z</dcterms:created>
  <dcterms:modified xsi:type="dcterms:W3CDTF">2016-07-10T19:02:57Z</dcterms:modified>
</cp:coreProperties>
</file>