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9720" windowHeight="7020" activeTab="0"/>
  </bookViews>
  <sheets>
    <sheet name="Прайс-лист" sheetId="1" r:id="rId1"/>
  </sheets>
  <definedNames>
    <definedName name="_xlnm._FilterDatabase" localSheetId="0" hidden="1">'Прайс-лист'!$A$9:$X$629</definedName>
    <definedName name="_xlnm.Print_Titles" localSheetId="0">'Прайс-лист'!$7:$7</definedName>
  </definedNames>
  <calcPr fullCalcOnLoad="1" refMode="R1C1"/>
</workbook>
</file>

<file path=xl/comments1.xml><?xml version="1.0" encoding="utf-8"?>
<comments xmlns="http://schemas.openxmlformats.org/spreadsheetml/2006/main">
  <authors>
    <author>kobozeva</author>
  </authors>
  <commentList>
    <comment ref="F300" authorId="0">
      <text>
        <r>
          <rPr>
            <b/>
            <sz val="8"/>
            <rFont val="Tahoma"/>
            <family val="2"/>
          </rPr>
          <t>В комплект «Резные подарки»  вошли:
- Резные открытки.  Серия ; Хобби экспресс.
- Резные сувениры.  Серия : Хобби экспресс.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В комплект входят следующие книги:</t>
        </r>
        <r>
          <rPr>
            <sz val="8"/>
            <rFont val="Tahoma"/>
            <family val="2"/>
          </rPr>
          <t xml:space="preserve">
«Снежная принцесса. Книга для раскрашивания»
«Сказочный мир. Книга для раскрашивания»
«Алиса в стране чудес. Книга для раскрашивания»
«Силуэты. Книга для раскрашивания»
</t>
        </r>
      </text>
    </comment>
    <comment ref="F228" authorId="0">
      <text>
        <r>
          <rPr>
            <b/>
            <sz val="8"/>
            <rFont val="Tahoma"/>
            <family val="2"/>
          </rPr>
          <t xml:space="preserve">В комплект входят следующие книги:
</t>
        </r>
        <r>
          <rPr>
            <sz val="8"/>
            <rFont val="Tahoma"/>
            <family val="2"/>
          </rPr>
          <t>«Подарки из конфет. Техника свит-дизайн»
«Подарки своими руками. Винтаж и шебби-шик»
«Подарочные коробочки»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<sst xmlns="http://schemas.openxmlformats.org/spreadsheetml/2006/main" count="6562" uniqueCount="2135">
  <si>
    <t>9785462017858</t>
  </si>
  <si>
    <t>9785462013287</t>
  </si>
  <si>
    <t>9785462016806</t>
  </si>
  <si>
    <t>9785462016660</t>
  </si>
  <si>
    <t>9785462014970</t>
  </si>
  <si>
    <t>9785462017780</t>
  </si>
  <si>
    <t>9785462016585</t>
  </si>
  <si>
    <t>9785462017070</t>
  </si>
  <si>
    <t>9785462018282</t>
  </si>
  <si>
    <t>9785462014543</t>
  </si>
  <si>
    <t>9785462017193</t>
  </si>
  <si>
    <t>9785462017933</t>
  </si>
  <si>
    <t>9785462017940</t>
  </si>
  <si>
    <t>9785462018336</t>
  </si>
  <si>
    <t>9785462014048</t>
  </si>
  <si>
    <t>9785462015137</t>
  </si>
  <si>
    <t>9785947769203</t>
  </si>
  <si>
    <t>9785462015342</t>
  </si>
  <si>
    <t>9785462017094</t>
  </si>
  <si>
    <t>9785462015809</t>
  </si>
  <si>
    <t>9785462015820</t>
  </si>
  <si>
    <t>9785462015816</t>
  </si>
  <si>
    <t>978-5-462-01418-5</t>
  </si>
  <si>
    <t>Объяснительный русский орфографический словарь-справочник</t>
  </si>
  <si>
    <t>9785462015830</t>
  </si>
  <si>
    <t>9785462015847</t>
  </si>
  <si>
    <t>9785462015854</t>
  </si>
  <si>
    <t>9785462016516</t>
  </si>
  <si>
    <t>9785462016462</t>
  </si>
  <si>
    <t>9785462016486</t>
  </si>
  <si>
    <t>9785462016479</t>
  </si>
  <si>
    <t>9785462016431</t>
  </si>
  <si>
    <t>9785462016448</t>
  </si>
  <si>
    <t>9785462016493</t>
  </si>
  <si>
    <t>9785462016455</t>
  </si>
  <si>
    <t>9785462016424</t>
  </si>
  <si>
    <t>9785462016509</t>
  </si>
  <si>
    <t>9785462016530</t>
  </si>
  <si>
    <t>9785462016417</t>
  </si>
  <si>
    <t>9785462017100</t>
  </si>
  <si>
    <t>9785462015861</t>
  </si>
  <si>
    <t>9785947769593</t>
  </si>
  <si>
    <t>9785462016332</t>
  </si>
  <si>
    <t>9785462018428</t>
  </si>
  <si>
    <t>9785462016943</t>
  </si>
  <si>
    <t>9785462015199</t>
  </si>
  <si>
    <t>9785990752771</t>
  </si>
  <si>
    <t>9785462017964</t>
  </si>
  <si>
    <t>9785462017636</t>
  </si>
  <si>
    <t>9785462016325</t>
  </si>
  <si>
    <t>9785462016837</t>
  </si>
  <si>
    <t>9785462016776</t>
  </si>
  <si>
    <t>9785462016783</t>
  </si>
  <si>
    <t>9785462016790</t>
  </si>
  <si>
    <t>9785990719354</t>
  </si>
  <si>
    <t>9785990736764</t>
  </si>
  <si>
    <t>9785990719385</t>
  </si>
  <si>
    <t>9785990752627</t>
  </si>
  <si>
    <t>9785990719309</t>
  </si>
  <si>
    <t>9785990719361</t>
  </si>
  <si>
    <t>9785990719347</t>
  </si>
  <si>
    <t>9785990719316</t>
  </si>
  <si>
    <t>9785990719378</t>
  </si>
  <si>
    <t>9785990719330</t>
  </si>
  <si>
    <t>9785990736788</t>
  </si>
  <si>
    <t>9785990752733</t>
  </si>
  <si>
    <t>9785990752726</t>
  </si>
  <si>
    <t>9785990752719</t>
  </si>
  <si>
    <t>9785990752740</t>
  </si>
  <si>
    <t>9785944641830</t>
  </si>
  <si>
    <t>9785944641915</t>
  </si>
  <si>
    <t>9785944641748</t>
  </si>
  <si>
    <t>9785462012105</t>
  </si>
  <si>
    <t>9785462012396</t>
  </si>
  <si>
    <t>9785462011979</t>
  </si>
  <si>
    <t>9785462011511</t>
  </si>
  <si>
    <t>9785462012266</t>
  </si>
  <si>
    <t>9785462012259</t>
  </si>
  <si>
    <t>Мои 6 соток</t>
  </si>
  <si>
    <t>9785462011252</t>
  </si>
  <si>
    <t>9785462010996</t>
  </si>
  <si>
    <t>9785462018404</t>
  </si>
  <si>
    <t>9785462017148</t>
  </si>
  <si>
    <t>9785462011184</t>
  </si>
  <si>
    <t>9785462002386</t>
  </si>
  <si>
    <t>9785462010880</t>
  </si>
  <si>
    <t>9785462010897</t>
  </si>
  <si>
    <t>9785944641960</t>
  </si>
  <si>
    <t>9785780512219</t>
  </si>
  <si>
    <t>9785462015038</t>
  </si>
  <si>
    <t>9785462013508</t>
  </si>
  <si>
    <t>9785944642028</t>
  </si>
  <si>
    <t>9785462013492</t>
  </si>
  <si>
    <t>9785944642356</t>
  </si>
  <si>
    <t>9785462013188</t>
  </si>
  <si>
    <t>9785462009648</t>
  </si>
  <si>
    <t>9785462013850</t>
  </si>
  <si>
    <t>9785462015151</t>
  </si>
  <si>
    <t>9785462007156</t>
  </si>
  <si>
    <t>9785462011405</t>
  </si>
  <si>
    <t>9785462008900</t>
  </si>
  <si>
    <t>9785462013089</t>
  </si>
  <si>
    <t>9785462010385</t>
  </si>
  <si>
    <t>9785462009747</t>
  </si>
  <si>
    <t>9785462010477</t>
  </si>
  <si>
    <t>9785462012341</t>
  </si>
  <si>
    <t>9785462012150</t>
  </si>
  <si>
    <t>9785462010705</t>
  </si>
  <si>
    <t>9785462009228</t>
  </si>
  <si>
    <t>9785462018022</t>
  </si>
  <si>
    <t>9785462012488</t>
  </si>
  <si>
    <t>Гольберг И.М., Иванов С.В.</t>
  </si>
  <si>
    <t>9785462013263</t>
  </si>
  <si>
    <t>9785462010361</t>
  </si>
  <si>
    <t>Справочники русского языка</t>
  </si>
  <si>
    <t>9785462007668</t>
  </si>
  <si>
    <t>9785462005909</t>
  </si>
  <si>
    <t>9785462012723</t>
  </si>
  <si>
    <t>9785462014345</t>
  </si>
  <si>
    <t>9785462017544</t>
  </si>
  <si>
    <t>9785462007453</t>
  </si>
  <si>
    <t>9785462018411</t>
  </si>
  <si>
    <t>9785462006869</t>
  </si>
  <si>
    <t>9785462016554</t>
  </si>
  <si>
    <t>9785944641540</t>
  </si>
  <si>
    <t>9785462014932</t>
  </si>
  <si>
    <t>9785462010965</t>
  </si>
  <si>
    <t>9785462011832</t>
  </si>
  <si>
    <t>9785462006906</t>
  </si>
  <si>
    <t>9785462006852</t>
  </si>
  <si>
    <t>9785462011061</t>
  </si>
  <si>
    <t>9785462007934</t>
  </si>
  <si>
    <t>9785462017667</t>
  </si>
  <si>
    <t>9785462017568</t>
  </si>
  <si>
    <t>9785462017605</t>
  </si>
  <si>
    <t>9785462017834</t>
  </si>
  <si>
    <t>9785462017865</t>
  </si>
  <si>
    <t>9785462018213</t>
  </si>
  <si>
    <t>9785462016745</t>
  </si>
  <si>
    <t>9785462017384</t>
  </si>
  <si>
    <t>9785462017391</t>
  </si>
  <si>
    <t>9785462018060</t>
  </si>
  <si>
    <t>9785462017551</t>
  </si>
  <si>
    <t>9785462017698</t>
  </si>
  <si>
    <t>9785462017681</t>
  </si>
  <si>
    <t>9785462011993</t>
  </si>
  <si>
    <t>Александр II. Царь-освободитель</t>
  </si>
  <si>
    <t>978-5-462-01246-4</t>
  </si>
  <si>
    <t>Война 1812 года. Первая Отечественная</t>
  </si>
  <si>
    <t>978-5-462-01315-7</t>
  </si>
  <si>
    <t>9785947769562</t>
  </si>
  <si>
    <t>Иван Грозный. Просвещенный тиран</t>
  </si>
  <si>
    <t>978-5-462-01290-7</t>
  </si>
  <si>
    <t>9785947769173</t>
  </si>
  <si>
    <t>9785462018220</t>
  </si>
  <si>
    <t>Суворов. Русский бог войны</t>
  </si>
  <si>
    <t>978-5-94776-899-2</t>
  </si>
  <si>
    <t>9785947769104</t>
  </si>
  <si>
    <t>9785947768886</t>
  </si>
  <si>
    <t>Ярослав Мудрый. Золотой век Древней Руси</t>
  </si>
  <si>
    <t>978-5-462-01433-8</t>
  </si>
  <si>
    <t>Перхавко В.</t>
  </si>
  <si>
    <t>9785462017995</t>
  </si>
  <si>
    <t>9785947769197</t>
  </si>
  <si>
    <t>9785462014734</t>
  </si>
  <si>
    <t>9785462014666</t>
  </si>
  <si>
    <t>9785947769067</t>
  </si>
  <si>
    <t>9785462017643</t>
  </si>
  <si>
    <t>9785462012877</t>
  </si>
  <si>
    <t>9785462016240</t>
  </si>
  <si>
    <t>9785462014390</t>
  </si>
  <si>
    <t>9785462014192</t>
  </si>
  <si>
    <t>9785462014291</t>
  </si>
  <si>
    <t>9785462012884</t>
  </si>
  <si>
    <t>9785462013072</t>
  </si>
  <si>
    <t>9785462013898</t>
  </si>
  <si>
    <t>9785462014024</t>
  </si>
  <si>
    <t>9785462013027</t>
  </si>
  <si>
    <t>9785462011054</t>
  </si>
  <si>
    <t>9785462012419</t>
  </si>
  <si>
    <t>9785462012754</t>
  </si>
  <si>
    <t>9785462012778</t>
  </si>
  <si>
    <t>9785462012112</t>
  </si>
  <si>
    <t>9785462012747</t>
  </si>
  <si>
    <t>9785462012402</t>
  </si>
  <si>
    <t>9785462012730</t>
  </si>
  <si>
    <t>9785462012136</t>
  </si>
  <si>
    <t>9785462012426</t>
  </si>
  <si>
    <t>9785462012648</t>
  </si>
  <si>
    <t>9785462013195</t>
  </si>
  <si>
    <t>9785462013416</t>
  </si>
  <si>
    <t>9785462013126</t>
  </si>
  <si>
    <t>9785462013409</t>
  </si>
  <si>
    <t>9785462013386</t>
  </si>
  <si>
    <t>9785462013270</t>
  </si>
  <si>
    <t>9785462013393</t>
  </si>
  <si>
    <t>9785462013379</t>
  </si>
  <si>
    <t>9785462013119</t>
  </si>
  <si>
    <t>9785462016851</t>
  </si>
  <si>
    <t>9785947767575</t>
  </si>
  <si>
    <t>9785947767018</t>
  </si>
  <si>
    <t>9785947765687</t>
  </si>
  <si>
    <t>9785947766042</t>
  </si>
  <si>
    <t>9785947765397</t>
  </si>
  <si>
    <t>9785947765410</t>
  </si>
  <si>
    <t>9785947765182</t>
  </si>
  <si>
    <t>9785947767629</t>
  </si>
  <si>
    <t>9785947767391</t>
  </si>
  <si>
    <t>9785947767414</t>
  </si>
  <si>
    <t>9785947767179</t>
  </si>
  <si>
    <t>9785947767919</t>
  </si>
  <si>
    <t>9785947764154</t>
  </si>
  <si>
    <t>9785947767063</t>
  </si>
  <si>
    <t>9785947767070</t>
  </si>
  <si>
    <t>9785947767407</t>
  </si>
  <si>
    <t>9785947767506</t>
  </si>
  <si>
    <t>9785947767605</t>
  </si>
  <si>
    <t>9785947767513</t>
  </si>
  <si>
    <t>9785947767230</t>
  </si>
  <si>
    <t>9785947767612</t>
  </si>
  <si>
    <t>9785947767599</t>
  </si>
  <si>
    <t>9785947767681</t>
  </si>
  <si>
    <t>9785947767704</t>
  </si>
  <si>
    <t>9785947767711</t>
  </si>
  <si>
    <t>9785947768190</t>
  </si>
  <si>
    <t>Окружающий мир. 4 класс. Учебник. Часть 2</t>
  </si>
  <si>
    <t>978-5-94776-818-3</t>
  </si>
  <si>
    <t>9785947766653</t>
  </si>
  <si>
    <t>9785947769524</t>
  </si>
  <si>
    <t>9785947766790</t>
  </si>
  <si>
    <t>9785947769531</t>
  </si>
  <si>
    <t>9785947766806</t>
  </si>
  <si>
    <t>978-5-94776-954-8</t>
  </si>
  <si>
    <t>9785947769548</t>
  </si>
  <si>
    <t>Технология. Маленький мастер. 3 класс. Учебник</t>
  </si>
  <si>
    <t>9785947766882</t>
  </si>
  <si>
    <t>9785947769555</t>
  </si>
  <si>
    <t>Чудесные картинки</t>
  </si>
  <si>
    <t>978-5-9907193-9-2</t>
  </si>
  <si>
    <t>9785990719392</t>
  </si>
  <si>
    <t>Фелисити Френч</t>
  </si>
  <si>
    <t>Волшебные раскраски</t>
  </si>
  <si>
    <t>Мир вокруг нас. Цвета, символы, номера. Волшебные раскраски.</t>
  </si>
  <si>
    <t>978-5-9907527-9-5</t>
  </si>
  <si>
    <t>9785990752795</t>
  </si>
  <si>
    <t>Бунина Н.В.</t>
  </si>
  <si>
    <t>Мир динозавров. Цвета, символы, номера. Волшебные раскраски.</t>
  </si>
  <si>
    <t>978-5-9907525-6-6</t>
  </si>
  <si>
    <t>9785990752566</t>
  </si>
  <si>
    <t>Мир сказок. Цвета, символы, номера. Волшебные раскраски.</t>
  </si>
  <si>
    <t>978-5-9907526-0-3</t>
  </si>
  <si>
    <t>9785990752603</t>
  </si>
  <si>
    <t>Мир транспорта. Цвета, символы, номера. Волшебные раскраски.</t>
  </si>
  <si>
    <t>978-5-9907525-7-3</t>
  </si>
  <si>
    <t>9785990752573</t>
  </si>
  <si>
    <t>Древний Египет. Познаю, играя ! История в  наклейках</t>
  </si>
  <si>
    <t>978-5-9907367-4-0</t>
  </si>
  <si>
    <t>9785462017186</t>
  </si>
  <si>
    <t>9785462016752</t>
  </si>
  <si>
    <t>9785462014994</t>
  </si>
  <si>
    <t>978-5-462-01573-1</t>
  </si>
  <si>
    <t>Вязаные закладки. Мастер-класс на дому</t>
  </si>
  <si>
    <t>978-5-462-01348-5</t>
  </si>
  <si>
    <t>978-5-462-00930-3</t>
  </si>
  <si>
    <t>Правила русской орфографии и пунктуации</t>
  </si>
  <si>
    <t>978-5-462-01461-1</t>
  </si>
  <si>
    <t>978-5-94776-916-6</t>
  </si>
  <si>
    <t>Потемкин. Некоронованный монарх</t>
  </si>
  <si>
    <t>978-5-462-01124-5</t>
  </si>
  <si>
    <t>978-5-94776-918-0</t>
  </si>
  <si>
    <t>Святки. Главный зимний праздник</t>
  </si>
  <si>
    <t>978-5-462-01512-0</t>
  </si>
  <si>
    <t>Пасхальные яйца. 20 способов декорирования. Праздничная мастерская</t>
  </si>
  <si>
    <t>978-5-94776-900-5</t>
  </si>
  <si>
    <t>Ломоносов. Самородок русской земли</t>
  </si>
  <si>
    <t>978-5-462-01508-3</t>
  </si>
  <si>
    <t>10 способов окраски пасхальных яиц. Праздничная мастерская</t>
  </si>
  <si>
    <t>978-5-462-00736-1</t>
  </si>
  <si>
    <t>Орфографический словарь русского языка</t>
  </si>
  <si>
    <t>978-5-94776-911-1</t>
  </si>
  <si>
    <t>Сергей Витте. Первый премьер-министр</t>
  </si>
  <si>
    <t>978-5-9907367-2-6</t>
  </si>
  <si>
    <t xml:space="preserve">Джордж Джошуа </t>
  </si>
  <si>
    <t>978-5-9907367-3-3</t>
  </si>
  <si>
    <t>6</t>
  </si>
  <si>
    <t>978-5-9907527-5-7</t>
  </si>
  <si>
    <t>9785990752757</t>
  </si>
  <si>
    <t>Украшения из проволоки</t>
  </si>
  <si>
    <t>9785462015083</t>
  </si>
  <si>
    <t>Иванова И.Р.</t>
  </si>
  <si>
    <t>9785462015106</t>
  </si>
  <si>
    <t>9785462015120</t>
  </si>
  <si>
    <t>Викинги. Познаю, играя ! История в  наклейках</t>
  </si>
  <si>
    <t>978-5-9907367-5-7</t>
  </si>
  <si>
    <t>Динозавры. Познаю, играя ! История в  наклейках</t>
  </si>
  <si>
    <t>Ледниковый период. Познаю, играя ! История в  наклейках</t>
  </si>
  <si>
    <t>Русская тряпичная кукла</t>
  </si>
  <si>
    <t>9785462014659</t>
  </si>
  <si>
    <t>978-5-9907526-4-1</t>
  </si>
  <si>
    <t>9785990752641</t>
  </si>
  <si>
    <t>Древний Рим. Познаю, играя ! История в  наклейках</t>
  </si>
  <si>
    <t>978-5-9907367-0-2</t>
  </si>
  <si>
    <t>Средневековье. Познаю, играя ! История в  наклейках</t>
  </si>
  <si>
    <t>978-5-9907367-1-9</t>
  </si>
  <si>
    <t xml:space="preserve">Книга джунглей. Читай и раскрашивай </t>
  </si>
  <si>
    <t>История в наклейках</t>
  </si>
  <si>
    <t>30</t>
  </si>
  <si>
    <t>АСТ-ПРЕСС</t>
  </si>
  <si>
    <t>Путеводитель по истории</t>
  </si>
  <si>
    <t>Словари XXI века</t>
  </si>
  <si>
    <t>Язык без границ</t>
  </si>
  <si>
    <t>Проект</t>
  </si>
  <si>
    <t>ХОББИТЕКА Детям</t>
  </si>
  <si>
    <t>ХОББИТЕКА</t>
  </si>
  <si>
    <t>978-5-9907525-5-9</t>
  </si>
  <si>
    <t>Коняева М.</t>
  </si>
  <si>
    <t>Шедевры русской живописи. Книга для раскрашивания</t>
  </si>
  <si>
    <t>978-5-9907526-3-4</t>
  </si>
  <si>
    <t>Уайльд С., Френч Ф.</t>
  </si>
  <si>
    <t>Удивительное раскрашивание</t>
  </si>
  <si>
    <t>978-5-9907526-1-0</t>
  </si>
  <si>
    <t>Уайльд Синди</t>
  </si>
  <si>
    <t>Удивительное рисование</t>
  </si>
  <si>
    <t>Точечная роспись</t>
  </si>
  <si>
    <t>9785990752634</t>
  </si>
  <si>
    <t>9785990752610</t>
  </si>
  <si>
    <t>9785990752559</t>
  </si>
  <si>
    <t>978-5-462-01847-3</t>
  </si>
  <si>
    <t>Ты и Я. Субъективные заметки заинтересованного современника</t>
  </si>
  <si>
    <t>Бешенкова Е.В.,Иванова О.Е,Чельцова Л. К.</t>
  </si>
  <si>
    <t>9785462015731</t>
  </si>
  <si>
    <t>9785462014185</t>
  </si>
  <si>
    <t xml:space="preserve">Поверин А.И.                  </t>
  </si>
  <si>
    <t>Гончарное дело: Энциклопедия.Техника.Приёмы.Изделия. Переиздание</t>
  </si>
  <si>
    <t>9785462011245</t>
  </si>
  <si>
    <t>Чудесный огород</t>
  </si>
  <si>
    <t>978-5-9907526-6-5</t>
  </si>
  <si>
    <t>978-5-9907385-6-0</t>
  </si>
  <si>
    <t>Штудинер М.А.</t>
  </si>
  <si>
    <t>Словарь трудностей русского языка для работников СМИ</t>
  </si>
  <si>
    <t>9785990752665</t>
  </si>
  <si>
    <t>9785990738560</t>
  </si>
  <si>
    <t>Подмазо А.А.,Мельникова Л.В.,Никитин К.М.</t>
  </si>
  <si>
    <t>Плунгян В.А.</t>
  </si>
  <si>
    <t>978-5-9907526-8-9</t>
  </si>
  <si>
    <t>Техника Кимекоми. Японский стиль в интерьере. ЗБУ</t>
  </si>
  <si>
    <t>978-5-9907525-3-5</t>
  </si>
  <si>
    <t>9785990752535</t>
  </si>
  <si>
    <t>Ильницкая М.Н.</t>
  </si>
  <si>
    <t>Пиксели. Раскраски</t>
  </si>
  <si>
    <t>Раскраски. Сказки. Пиксели</t>
  </si>
  <si>
    <t>978-5-9908308-4-4</t>
  </si>
  <si>
    <t>9785990830844</t>
  </si>
  <si>
    <t>Раскраски. Стройка. Пиксели</t>
  </si>
  <si>
    <t>978-5-9908308-6-8</t>
  </si>
  <si>
    <t>9785990830868</t>
  </si>
  <si>
    <t>Раскраски. Супергерои. Пиксели</t>
  </si>
  <si>
    <t>978-5-9908308-0-6</t>
  </si>
  <si>
    <t>9785990830806</t>
  </si>
  <si>
    <t>Раскраски. Ферма. Пиксели</t>
  </si>
  <si>
    <t>978-5-9908308-2-0</t>
  </si>
  <si>
    <t>9785990830820</t>
  </si>
  <si>
    <t xml:space="preserve">Лопатин В.В. </t>
  </si>
  <si>
    <t>Орфографический словарь русского языка. 5-11 классы</t>
  </si>
  <si>
    <t>Сазонова И.К.</t>
  </si>
  <si>
    <t>978-5-94776-969-2</t>
  </si>
  <si>
    <t>9785462014611</t>
  </si>
  <si>
    <t>Прикольные шапочки за один вечер</t>
  </si>
  <si>
    <t>Животные. Пиксели. Наклей и раскрась</t>
  </si>
  <si>
    <t>978-5-9908308-1-3</t>
  </si>
  <si>
    <t>Пираты. Пиксели. Наклей и раскрась</t>
  </si>
  <si>
    <t>978-5-9908308-3-7</t>
  </si>
  <si>
    <t>Принцессы. Пиксели. Наклей и раскрась</t>
  </si>
  <si>
    <t>978-5-9908308-5-1</t>
  </si>
  <si>
    <t>Транспорт. Пиксели. Наклей и раскрась</t>
  </si>
  <si>
    <t>978-5-9908308-7-5</t>
  </si>
  <si>
    <t>978-5-462-01849-7</t>
  </si>
  <si>
    <t>Авторские текстильные украшения</t>
  </si>
  <si>
    <t>978-5-9908308-8-2</t>
  </si>
  <si>
    <t>Фенечки. Браслеты дружбы</t>
  </si>
  <si>
    <t>Трайт  А.А.</t>
  </si>
  <si>
    <t>Шапарова Н.С.</t>
  </si>
  <si>
    <t xml:space="preserve">Траннуа П.Ф. </t>
  </si>
  <si>
    <t>978-5-9907526-5-8</t>
  </si>
  <si>
    <t>Проволока. Стильные украшения в технике Wire Wrap</t>
  </si>
  <si>
    <t>Васильева И.</t>
  </si>
  <si>
    <t>Текстильные вещицы в дачном стиле</t>
  </si>
  <si>
    <t>978-5-9907526-9-6</t>
  </si>
  <si>
    <t>Максименко Т.А.</t>
  </si>
  <si>
    <t>Мартов С.Д.</t>
  </si>
  <si>
    <t>Школа мастеров</t>
  </si>
  <si>
    <t>Вечерние посиделки</t>
  </si>
  <si>
    <t xml:space="preserve">Пиксели. Наклей и раскрась                </t>
  </si>
  <si>
    <t>24</t>
  </si>
  <si>
    <t>Савинов А. М.</t>
  </si>
  <si>
    <t>Астафуров В.И.</t>
  </si>
  <si>
    <t>Букчина Б.З., Сазонова И.</t>
  </si>
  <si>
    <t xml:space="preserve">Клепинина З.А.           </t>
  </si>
  <si>
    <t>Карманные самоучители</t>
  </si>
  <si>
    <t>Английский язык. Карманный самоучитель</t>
  </si>
  <si>
    <t>978-5-94776-968-5</t>
  </si>
  <si>
    <t>Крайнова М. С.</t>
  </si>
  <si>
    <t>70х90/32</t>
  </si>
  <si>
    <t>Итальянский язык. Карманный самоучитель</t>
  </si>
  <si>
    <t>978-5-94776-967-8</t>
  </si>
  <si>
    <t>Грушевская Е.Г., Хлебников М. И</t>
  </si>
  <si>
    <t>Немецкий язык. Карманный самоучитель</t>
  </si>
  <si>
    <t>978-5-94776-966-1</t>
  </si>
  <si>
    <t>Найманова Е.А.</t>
  </si>
  <si>
    <t>978-5-9908308-9-9</t>
  </si>
  <si>
    <t>978-5-9908310-3-2</t>
  </si>
  <si>
    <t>978-5-9907527-8-8</t>
  </si>
  <si>
    <t>978-5-9908309-5-0</t>
  </si>
  <si>
    <t>978-5-9908309-9-8</t>
  </si>
  <si>
    <t>Весёлые обучалки</t>
  </si>
  <si>
    <t>Романова Татьяна</t>
  </si>
  <si>
    <t>Играем во времена года</t>
  </si>
  <si>
    <t>Кто сказал «му»?</t>
  </si>
  <si>
    <t>Прикольные выходные</t>
  </si>
  <si>
    <t>Большая азбука-самоучилка</t>
  </si>
  <si>
    <t>Хвостатая развлекалка для малышей</t>
  </si>
  <si>
    <t>Интерактивные книжки для малышей</t>
  </si>
  <si>
    <t>Харенко Геннадий</t>
  </si>
  <si>
    <t>В гостях у котиков</t>
  </si>
  <si>
    <t>В зоопарке</t>
  </si>
  <si>
    <t>Петрова Марта</t>
  </si>
  <si>
    <t>Времена года</t>
  </si>
  <si>
    <t>Морские приключения</t>
  </si>
  <si>
    <t>Тайны подводного мира</t>
  </si>
  <si>
    <t>Учим формы</t>
  </si>
  <si>
    <t>Рисуем без правил</t>
  </si>
  <si>
    <t>Куксар Бернадот</t>
  </si>
  <si>
    <t>Аппликации из чего угодно:от веточки до скрепочки</t>
  </si>
  <si>
    <t>Рисуем всем подряд:от губки до коктейльной трубки</t>
  </si>
  <si>
    <t>Рисуем на чем попало:от газетки до салфетки</t>
  </si>
  <si>
    <t>Рисуем простыми трафаретами:от ладошки до картошки</t>
  </si>
  <si>
    <t>Рисуем узоры чем попало:от игрушки до мел.стружки</t>
  </si>
  <si>
    <t>Рисуем чем попало:от мела до мыла</t>
  </si>
  <si>
    <t>Умные игрушки из мусора</t>
  </si>
  <si>
    <t>Гагарина Галина</t>
  </si>
  <si>
    <t>Игрушки с секретом</t>
  </si>
  <si>
    <t>Игрушки-раскладушки</t>
  </si>
  <si>
    <t>Необычные игрушки из бумаги</t>
  </si>
  <si>
    <t>Подвижные игрушки</t>
  </si>
  <si>
    <t>Домашняя лаборатория</t>
  </si>
  <si>
    <t>Наварро Паола</t>
  </si>
  <si>
    <t>Тайны света.Простые и наглядные опыты</t>
  </si>
  <si>
    <t>Тайны электричества.Простые и  наглядные опыты</t>
  </si>
  <si>
    <t>Тайны жидкости.Простые и наглядные опыты</t>
  </si>
  <si>
    <t>Тайны звука.Простые и наглядные опыты</t>
  </si>
  <si>
    <t>Коваль Т.</t>
  </si>
  <si>
    <t>Моя первая азбука</t>
  </si>
  <si>
    <t xml:space="preserve">9785944642332 </t>
  </si>
  <si>
    <t>Пчёлка</t>
  </si>
  <si>
    <t>ООО "Пчёлка"</t>
  </si>
  <si>
    <t>32</t>
  </si>
  <si>
    <t>36</t>
  </si>
  <si>
    <t>96</t>
  </si>
  <si>
    <t>16</t>
  </si>
  <si>
    <t>978-5-9908309-0-5</t>
  </si>
  <si>
    <t>Я соединяю точки. 4+. Рисуем простые линии. Соединяем точки от 1 до 10</t>
  </si>
  <si>
    <t>978-5-9908309-2-9</t>
  </si>
  <si>
    <t>Я соединяю точки. 5+. Рисуем простые линии. Соединяем точки от 1 до 20</t>
  </si>
  <si>
    <t>978-5-9908309-4-3</t>
  </si>
  <si>
    <t>Я соединяю точки. 6+. Соединяем точки от 1 до 50. Лабиринты. Обучение в игре</t>
  </si>
  <si>
    <t>978-5-9908309-6-7</t>
  </si>
  <si>
    <t>Я соединяю точки.  +7. Лабиринты. Алфавит. Соединяем точки от 1 до 100</t>
  </si>
  <si>
    <t>Академия малыша</t>
  </si>
  <si>
    <t>448</t>
  </si>
  <si>
    <t>7</t>
  </si>
  <si>
    <t>512</t>
  </si>
  <si>
    <t>1 296</t>
  </si>
  <si>
    <r>
      <t xml:space="preserve">Стан-
дарт </t>
    </r>
    <r>
      <rPr>
        <b/>
        <sz val="6"/>
        <rFont val="Arial"/>
        <family val="2"/>
      </rPr>
      <t>упаковки</t>
    </r>
  </si>
  <si>
    <t>Воронин В.Е., Ляшенко Л.М.</t>
  </si>
  <si>
    <t>978-5-462-01850-3</t>
  </si>
  <si>
    <t>Краус Т.</t>
  </si>
  <si>
    <t>70х90/12</t>
  </si>
  <si>
    <t>Упаковано с любовью</t>
  </si>
  <si>
    <t>Разберём и разберёмся</t>
  </si>
  <si>
    <t>978-5-9908850-7-3</t>
  </si>
  <si>
    <t>Фарндон Д.</t>
  </si>
  <si>
    <t xml:space="preserve">7БЦ </t>
  </si>
  <si>
    <t>Как поезда и автомобили устроены</t>
  </si>
  <si>
    <t>978-5-9908850-1-1</t>
  </si>
  <si>
    <t>978-5-9908850-5-9</t>
  </si>
  <si>
    <t>978-5-9908850-3-5</t>
  </si>
  <si>
    <t>Как гигантские машины устроены</t>
  </si>
  <si>
    <t>Как корабли и лодки устроены</t>
  </si>
  <si>
    <t>Как летательные аппараты устроены</t>
  </si>
  <si>
    <t>Темари. Японские шары счастья. ЗБУ</t>
  </si>
  <si>
    <t>978-5-9908310-2-5</t>
  </si>
  <si>
    <t>Кожевникова Д.А.</t>
  </si>
  <si>
    <t>Книга - конструктор</t>
  </si>
  <si>
    <t>978-5-9908309-1-2</t>
  </si>
  <si>
    <t>978-5-9908309-3-6</t>
  </si>
  <si>
    <t>Солнечная система. Книга - конструктор</t>
  </si>
  <si>
    <t>Тело человека.  Книга - конструктор</t>
  </si>
  <si>
    <t>9785462012464</t>
  </si>
  <si>
    <t>9785462013591</t>
  </si>
  <si>
    <t>9785462013560</t>
  </si>
  <si>
    <t>Барклай де Толли. Стратег победы</t>
  </si>
  <si>
    <t>978-5-462-01417-8</t>
  </si>
  <si>
    <t>9785462014178</t>
  </si>
  <si>
    <t>9785947768985</t>
  </si>
  <si>
    <t>Дмитрий Менделеев. Автор великого закона</t>
  </si>
  <si>
    <t>978-5-462-01416-1</t>
  </si>
  <si>
    <t>9785462014161</t>
  </si>
  <si>
    <t>9785462012907</t>
  </si>
  <si>
    <t>9785462012013</t>
  </si>
  <si>
    <t>9785947769005</t>
  </si>
  <si>
    <t>Павел Третьяков. Основатель великой галереи</t>
  </si>
  <si>
    <t>978-5-94776-907-4</t>
  </si>
  <si>
    <t>9785947769074</t>
  </si>
  <si>
    <t>9785947769166</t>
  </si>
  <si>
    <t>9785462014840</t>
  </si>
  <si>
    <t>Рюриковичи. История Великой Руси</t>
  </si>
  <si>
    <t>978-5-462-01200-6</t>
  </si>
  <si>
    <t>9785462012006</t>
  </si>
  <si>
    <t>9785947769180</t>
  </si>
  <si>
    <t>9785947769111</t>
  </si>
  <si>
    <t>9785947768992</t>
  </si>
  <si>
    <t>9785462014338</t>
  </si>
  <si>
    <t>Мельникова Л. В., Подмазо А.А.</t>
  </si>
  <si>
    <t>Дмитриев И.С., Никитин К.М.</t>
  </si>
  <si>
    <t>6 +</t>
  </si>
  <si>
    <t>Новогодний декупаж</t>
  </si>
  <si>
    <t>978-5-9908852-8-8</t>
  </si>
  <si>
    <t>Ашмарина А. А.</t>
  </si>
  <si>
    <t>&lt; &gt;</t>
  </si>
  <si>
    <t>80</t>
  </si>
  <si>
    <t>Романова Т.</t>
  </si>
  <si>
    <t>В деревне. Книжка с многоразовыми наклейками</t>
  </si>
  <si>
    <t>978-5-94464-250-9</t>
  </si>
  <si>
    <t>Марта Петрова</t>
  </si>
  <si>
    <t>Детсад для зверят. Книжка с многоразовыми наклейками</t>
  </si>
  <si>
    <t>978-5-94464-266-0</t>
  </si>
  <si>
    <t>Легенды декупажа</t>
  </si>
  <si>
    <t>978-5-9908850-0-4</t>
  </si>
  <si>
    <t>9785990885004</t>
  </si>
  <si>
    <t>Декупаж в стиле прованс</t>
  </si>
  <si>
    <t>Сухова О.Н.</t>
  </si>
  <si>
    <t>Шагалки-искалки</t>
  </si>
  <si>
    <t>Пройди это насквозь. Большая книга лабиринтов</t>
  </si>
  <si>
    <t>978-5-9908851-1-0</t>
  </si>
  <si>
    <t>9785990885110</t>
  </si>
  <si>
    <t>Тайные лабиринты. Большая книга лабиринтов</t>
  </si>
  <si>
    <t>978-5-9908852-1-9</t>
  </si>
  <si>
    <t>9785990885219</t>
  </si>
  <si>
    <t>Человеческое тело. Большая книга лабиринтов</t>
  </si>
  <si>
    <t>978-5-9908852-3-3</t>
  </si>
  <si>
    <t>9785990885233</t>
  </si>
  <si>
    <t>Я учусь считать</t>
  </si>
  <si>
    <t>978-5-94464-273-8</t>
  </si>
  <si>
    <t>978-5-462-01853-4</t>
  </si>
  <si>
    <t>Словарь языка интернета. ru</t>
  </si>
  <si>
    <t>978-5-9907385-5-3</t>
  </si>
  <si>
    <t>Кравецкий А.Г.</t>
  </si>
  <si>
    <t>Большой словарь церковно-славянского языка нового времени Том 1. А-Б</t>
  </si>
  <si>
    <t>Кронгауз М.А., Пиперски А.Ч., Сомин А.А., Литвин Е.А.,Мерзлякова В.Н., Черненко Ю.А.</t>
  </si>
  <si>
    <t>Бальзо К., Бальзо А.</t>
  </si>
  <si>
    <t>Гастон К., Камара К.</t>
  </si>
  <si>
    <t>978-5-462-01537-3</t>
  </si>
  <si>
    <t>Пасхальные поделки с детьми</t>
  </si>
  <si>
    <t>Максимова А.И</t>
  </si>
  <si>
    <t>Учим цифры. Учим цвета. Вычитание в пределах 20</t>
  </si>
  <si>
    <t>978-5-9908851-0-3</t>
  </si>
  <si>
    <t>Учим цифры. Учим цвета. Сложение в пределах 20</t>
  </si>
  <si>
    <t>978-5-9908850-9-7</t>
  </si>
  <si>
    <t>Учим цифры. Учим цвета. Я считаю до 10</t>
  </si>
  <si>
    <t>978-5-9908850-6-6</t>
  </si>
  <si>
    <t>Учим цифры. Учим цвета. Я считаю до 20</t>
  </si>
  <si>
    <t>978-5-9908850-8-0</t>
  </si>
  <si>
    <t>Интерьерные букеты. Хобби Клуб</t>
  </si>
  <si>
    <t>978-5-9908310-9-4</t>
  </si>
  <si>
    <t>9785990831094</t>
  </si>
  <si>
    <t>Киселева Н.Ю</t>
  </si>
  <si>
    <t>Точка за точкой. Учим алфавит. Русский язык</t>
  </si>
  <si>
    <t>978-5-9908852-6-4</t>
  </si>
  <si>
    <t>9785990885264</t>
  </si>
  <si>
    <t>Точка за точкой. Учимся считать до 10</t>
  </si>
  <si>
    <t>978-5-9908852-0-2</t>
  </si>
  <si>
    <t>9785990885202</t>
  </si>
  <si>
    <t>Точка за точкой. Учимся считать до 50</t>
  </si>
  <si>
    <t>978-5-9908852-4-0</t>
  </si>
  <si>
    <t>9785990885240</t>
  </si>
  <si>
    <t>Точка за точкой. Учимся считать до20</t>
  </si>
  <si>
    <t>978-5-9908852-2-6</t>
  </si>
  <si>
    <t>9785990885226</t>
  </si>
  <si>
    <t>Словарь-тезаурус синонимов русского языка</t>
  </si>
  <si>
    <t>978-5-9909262-0-2</t>
  </si>
  <si>
    <t>Бабенко Л.Г., Казарин Ю.В., Дьячкова Н.А.</t>
  </si>
  <si>
    <t>ООО "ИЗДАТЕЛЬСТВО "СЛОВАРИ XXI ВЕКА"</t>
  </si>
  <si>
    <t>978-5-462-01862-6</t>
  </si>
  <si>
    <t>Большой орфоэпический словарь русского языка</t>
  </si>
  <si>
    <t>Каленчук М.Л.,Касаткин Л.Л.,Касаткина Р.Ф.</t>
  </si>
  <si>
    <t>Большой фразеологический словарь русского языка. Значение. Употребление. Культурный комментарий</t>
  </si>
  <si>
    <t>978-5-9909262-2-6</t>
  </si>
  <si>
    <t>978-5-462-01146-7</t>
  </si>
  <si>
    <t>Лазуткина Е.М.</t>
  </si>
  <si>
    <t>Словарь грамматической сочетаемости слов русского языка</t>
  </si>
  <si>
    <t>352</t>
  </si>
  <si>
    <t>14</t>
  </si>
  <si>
    <t>978-5-462-01852-7</t>
  </si>
  <si>
    <t>1 008</t>
  </si>
  <si>
    <t>3</t>
  </si>
  <si>
    <t xml:space="preserve">Телия В.Н.                    </t>
  </si>
  <si>
    <t>784</t>
  </si>
  <si>
    <t>Текстильные игрушки-зверушки. СБУ</t>
  </si>
  <si>
    <t>978-5-9908850-2-8</t>
  </si>
  <si>
    <t>9785990885028</t>
  </si>
  <si>
    <t>Солнцеворот М.</t>
  </si>
  <si>
    <t>978-5-9908310-5-6</t>
  </si>
  <si>
    <t>9785990831056</t>
  </si>
  <si>
    <t>Словарь новейших иностранных слов</t>
  </si>
  <si>
    <t>978-5-462-01845-9</t>
  </si>
  <si>
    <t>9785462018459</t>
  </si>
  <si>
    <t>Шагалова Е.Н.</t>
  </si>
  <si>
    <t>978-5-94464-278-3</t>
  </si>
  <si>
    <t>978-5-462-01854-1</t>
  </si>
  <si>
    <t>Скворечники и кормушки. Школа мастеров</t>
  </si>
  <si>
    <t>978-5-9907527-6-4</t>
  </si>
  <si>
    <t>Захаров П.</t>
  </si>
  <si>
    <t>Киска идет гулять. Академия малыша</t>
  </si>
  <si>
    <t>978-5-9908852-5-7</t>
  </si>
  <si>
    <t>Киричек Е.А.</t>
  </si>
  <si>
    <t>Мишка чинит диван. Академия малыша</t>
  </si>
  <si>
    <t>978-5-9908852-7-1</t>
  </si>
  <si>
    <t>Слитно? Раздельно? Через дефис?</t>
  </si>
  <si>
    <t>978-5-462-01139-9</t>
  </si>
  <si>
    <t xml:space="preserve">Букчина Б.З.                  </t>
  </si>
  <si>
    <t>978-5-9909408-0-2</t>
  </si>
  <si>
    <t>Вийон Б.</t>
  </si>
  <si>
    <t>Путешествие семьи Кругосветовых. Страны мира</t>
  </si>
  <si>
    <t>978-5-9909408-2-6</t>
  </si>
  <si>
    <t>Путешествие семьи Кругосветовых. Города мира</t>
  </si>
  <si>
    <t>Путешествие семьи Кругосветовых</t>
  </si>
  <si>
    <t>0 +</t>
  </si>
  <si>
    <t>978-5-462-01336-2</t>
  </si>
  <si>
    <t>9785462013362</t>
  </si>
  <si>
    <t>Одежда для чашек</t>
  </si>
  <si>
    <t>978-5-462-01048-4</t>
  </si>
  <si>
    <t>9785462010484</t>
  </si>
  <si>
    <t>978-5-462-01367-6</t>
  </si>
  <si>
    <t>9785462013676</t>
  </si>
  <si>
    <t>Цветы из бумаги</t>
  </si>
  <si>
    <t>978-5-462-01516-8</t>
  </si>
  <si>
    <t>9785462015168</t>
  </si>
  <si>
    <t>Мандалы. Плетение из ниток</t>
  </si>
  <si>
    <t>Светлова М.В.</t>
  </si>
  <si>
    <t>978-5-462-01809-1</t>
  </si>
  <si>
    <t>9785462018091</t>
  </si>
  <si>
    <t>Плетение из радужных резинок. Подарки для мам и пап</t>
  </si>
  <si>
    <t>978-5-462-01656-1</t>
  </si>
  <si>
    <t>9785462016561</t>
  </si>
  <si>
    <t>Витражная роспись. Пятнадцать ярких идей</t>
  </si>
  <si>
    <t>Мисник-Латушко Е.Н.</t>
  </si>
  <si>
    <t>978-5-462-01668-4</t>
  </si>
  <si>
    <t>9785462016684</t>
  </si>
  <si>
    <t>Рисуем на майках и футболках</t>
  </si>
  <si>
    <t>978-5-9908309-7-4</t>
  </si>
  <si>
    <t>9785990830974</t>
  </si>
  <si>
    <t>Ангелы из бисера</t>
  </si>
  <si>
    <t>978-5-462-01800-8</t>
  </si>
  <si>
    <t>9785462018008</t>
  </si>
  <si>
    <t>Звезды и ангелы из бисера</t>
  </si>
  <si>
    <t>978-5-462-01831-2</t>
  </si>
  <si>
    <t>9785462018312</t>
  </si>
  <si>
    <t>Звезды из бисера</t>
  </si>
  <si>
    <t>978-5-462-01827-5</t>
  </si>
  <si>
    <t>9785462018275</t>
  </si>
  <si>
    <t>978-5-9908310-7-0</t>
  </si>
  <si>
    <t>9785990831070</t>
  </si>
  <si>
    <t>Всё на елку</t>
  </si>
  <si>
    <t>978-5-9908850-4-2</t>
  </si>
  <si>
    <t>9785990885042</t>
  </si>
  <si>
    <t>Новогодние украшения из войлока</t>
  </si>
  <si>
    <t>Исаева С.Л.</t>
  </si>
  <si>
    <t>Декупаж. Самая полная энциклопедия</t>
  </si>
  <si>
    <t>Пиксели. Наклей и раскрась</t>
  </si>
  <si>
    <t>9785990830813</t>
  </si>
  <si>
    <t>Мейерюрген Соня</t>
  </si>
  <si>
    <t>Любимые рецепты</t>
  </si>
  <si>
    <t>978-5-462-01133-7</t>
  </si>
  <si>
    <t>9785462011337</t>
  </si>
  <si>
    <t>Домашние заготовки</t>
  </si>
  <si>
    <t>978-5-462-01158-0</t>
  </si>
  <si>
    <t>9785462011580</t>
  </si>
  <si>
    <t>Домашний доктор. Ответы на все вопросы</t>
  </si>
  <si>
    <t>Цветы любви</t>
  </si>
  <si>
    <t>978-5-462-01353-9</t>
  </si>
  <si>
    <t>9785462013539</t>
  </si>
  <si>
    <t>под ред. КасаткинаЛ.Л.</t>
  </si>
  <si>
    <t>Карманные словари</t>
  </si>
  <si>
    <t>Англо-русский и русско-английский словарь</t>
  </si>
  <si>
    <t>978-5-462-01314-0</t>
  </si>
  <si>
    <t>9785462013140</t>
  </si>
  <si>
    <t>Словарь географических названий</t>
  </si>
  <si>
    <t>978-5-462-01409-3</t>
  </si>
  <si>
    <t>9785462014093</t>
  </si>
  <si>
    <t>Суперанская А.В.</t>
  </si>
  <si>
    <t>Словарь личных имён</t>
  </si>
  <si>
    <t>978-5-462-01384-3</t>
  </si>
  <si>
    <t>9785462013843</t>
  </si>
  <si>
    <t>Краткий справочник по современному русскому языку</t>
  </si>
  <si>
    <t>978-5-462-01006-4</t>
  </si>
  <si>
    <t>Практическая стилистика современного русского языка</t>
  </si>
  <si>
    <t>978-5-462-00731-6</t>
  </si>
  <si>
    <t>Франция. Большой лингвострановедческий словарь</t>
  </si>
  <si>
    <t>978-5-462-00894-8</t>
  </si>
  <si>
    <t>9785462008948</t>
  </si>
  <si>
    <t>Веденина Л.Г.</t>
  </si>
  <si>
    <t>География. Атласы</t>
  </si>
  <si>
    <t>Летягин А.А.</t>
  </si>
  <si>
    <t>Атлас. 6 класс. Начальный курс географии</t>
  </si>
  <si>
    <t>Атлас. 7 класс. Материки, океаны, народы и страны</t>
  </si>
  <si>
    <t>Атлас. 8 класс. Физическая география России</t>
  </si>
  <si>
    <t>Атлас. 9 класс. Экономическая и социальная география России</t>
  </si>
  <si>
    <t>Атлас.10 класс. Экономическая и социальная география мира</t>
  </si>
  <si>
    <t>978-5-94776-951-7</t>
  </si>
  <si>
    <t>9785947769517</t>
  </si>
  <si>
    <t>Атлас + к/к. 5 класс. Начальный курс географии</t>
  </si>
  <si>
    <t>978-5-94776-928-9</t>
  </si>
  <si>
    <t>9785947769289</t>
  </si>
  <si>
    <t>Атлас + к/к. 6 класс. Начальный курс географии</t>
  </si>
  <si>
    <t>Душина И.В.,Летягин  А.А.</t>
  </si>
  <si>
    <t>Атлас + к/к. 8 класс. Физическая география России</t>
  </si>
  <si>
    <t>Атлас + к/к. 9 класс. Экономическая и социальная география России</t>
  </si>
  <si>
    <t>География. Контурные карты</t>
  </si>
  <si>
    <t>К/К с задан. 5 класс. Начальный курс географии</t>
  </si>
  <si>
    <t>978-5-94776-903-6</t>
  </si>
  <si>
    <t>9785947769036</t>
  </si>
  <si>
    <t>К/К с задан. 6 класс. Начальный курс географии</t>
  </si>
  <si>
    <t>К/К с задан. 7 класс. Материки, океаны, народы и страны</t>
  </si>
  <si>
    <t>К/К с задан. 8 класс. Физическая география России</t>
  </si>
  <si>
    <t>К/К с задан.10 класс. Экономическая и социальная география мира</t>
  </si>
  <si>
    <t>978-5-94776-880-0</t>
  </si>
  <si>
    <t>9785947768800</t>
  </si>
  <si>
    <t>История. Атласы</t>
  </si>
  <si>
    <t>978-5-94776-925-8</t>
  </si>
  <si>
    <t>9785947769258</t>
  </si>
  <si>
    <t>История России с древнейших времен - начачо ХХI века.10-11 класс:атлас</t>
  </si>
  <si>
    <t>История. Атласы с контурными картами и контрольными заданиями</t>
  </si>
  <si>
    <t>978-5-94776-866-4</t>
  </si>
  <si>
    <t>9785947768664</t>
  </si>
  <si>
    <t>Колпаков С.В. Пономарев М.В. Тырин С.В.</t>
  </si>
  <si>
    <t>978-5-94776-867-1</t>
  </si>
  <si>
    <t>9785947768671</t>
  </si>
  <si>
    <t>История России 16-18 веков. 7 класс. Атлас +к/к + задания</t>
  </si>
  <si>
    <t>Колпаков С.В., Пономарев М.В., Рогожкин В.А.</t>
  </si>
  <si>
    <t>978-5-94776-868-8</t>
  </si>
  <si>
    <t>9785947768688</t>
  </si>
  <si>
    <t>978-5-94776-871-8</t>
  </si>
  <si>
    <t>9785947768718</t>
  </si>
  <si>
    <t>История Средних веков. 6 класс. Атлас +к/к + задания</t>
  </si>
  <si>
    <t>978-5-94776-872-5</t>
  </si>
  <si>
    <t>9785947768725</t>
  </si>
  <si>
    <t>Новая история 16-18 века.Часть 1. 7 класс Атлас +к/к + задания</t>
  </si>
  <si>
    <t>978-5-94776-873-2</t>
  </si>
  <si>
    <t>9785947768732</t>
  </si>
  <si>
    <t>Новая история 19 в.Часть 2. 8 класс. Атлас +к/к + задания</t>
  </si>
  <si>
    <t>978-5-94776-926-5</t>
  </si>
  <si>
    <t>9785947769265</t>
  </si>
  <si>
    <t>История России 20 –начало 21 века. 9 класс. Атл.+ к/к+задания</t>
  </si>
  <si>
    <t>История. Контурные карты</t>
  </si>
  <si>
    <t>978-5-94776-965-4</t>
  </si>
  <si>
    <t>84х108/8</t>
  </si>
  <si>
    <t>978-5-94464-253-0</t>
  </si>
  <si>
    <t>978-5-94464-263-9</t>
  </si>
  <si>
    <t>978-5-94464-254-7</t>
  </si>
  <si>
    <t>978-5-94464-274-5</t>
  </si>
  <si>
    <t>9785944642745</t>
  </si>
  <si>
    <t>978-5-94464-275-2</t>
  </si>
  <si>
    <t>9785944642752</t>
  </si>
  <si>
    <t>978-5-94464-277-6</t>
  </si>
  <si>
    <t>9785944642776</t>
  </si>
  <si>
    <t>978-5-94464-276-9</t>
  </si>
  <si>
    <t>9785944642769</t>
  </si>
  <si>
    <t>978-5-94464-243-1</t>
  </si>
  <si>
    <t>Петрова М.</t>
  </si>
  <si>
    <t>978-5-94464-252-3</t>
  </si>
  <si>
    <t>978-5-94464-242-4</t>
  </si>
  <si>
    <t>978-5-94464-240-0</t>
  </si>
  <si>
    <t>978-5-94464-233-2</t>
  </si>
  <si>
    <t>978-5-94464-241-7</t>
  </si>
  <si>
    <t>978-5-94464-251-6</t>
  </si>
  <si>
    <t>978-5-94464-249-3</t>
  </si>
  <si>
    <t>978-5-94464-246-2</t>
  </si>
  <si>
    <t>978-5-94464-244-8</t>
  </si>
  <si>
    <t>978-5-94464-247-9</t>
  </si>
  <si>
    <t>978-5-94464-248-6</t>
  </si>
  <si>
    <t>978-5-94464-245-5</t>
  </si>
  <si>
    <t>Словарик в наклейках</t>
  </si>
  <si>
    <t>Мой дом. Словарик в наклейках</t>
  </si>
  <si>
    <t>978-5-94464-279-0</t>
  </si>
  <si>
    <t>Наши малыши. Словарик в наклейках</t>
  </si>
  <si>
    <t>978-5-94464-280-6</t>
  </si>
  <si>
    <t>978-5-94464-255-4</t>
  </si>
  <si>
    <t>978-5-94464-256-1</t>
  </si>
  <si>
    <t>978-5-94464-257-8</t>
  </si>
  <si>
    <t>978-5-94464-258-5</t>
  </si>
  <si>
    <r>
      <rPr>
        <b/>
        <sz val="10"/>
        <rFont val="Arial"/>
        <family val="2"/>
      </rPr>
      <t>Моргунова</t>
    </r>
    <r>
      <rPr>
        <sz val="10"/>
        <rFont val="Arial"/>
        <family val="2"/>
      </rPr>
      <t xml:space="preserve"> О. В., Кривощапова Ю. А., Осипова К. В.</t>
    </r>
  </si>
  <si>
    <t>978-5-9909407-8-9</t>
  </si>
  <si>
    <t>Резные открытки . Кругосветка. СБУ</t>
  </si>
  <si>
    <t>978-5-9909408-7-1</t>
  </si>
  <si>
    <t>9785990940871</t>
  </si>
  <si>
    <t>Матон М.</t>
  </si>
  <si>
    <t>60Х100/8</t>
  </si>
  <si>
    <t>Познаю, играя. Волшебный альбом дошкольника. Печатные буквы. Счет до 10 (Киска).</t>
  </si>
  <si>
    <t>978-5-9909407-9-6</t>
  </si>
  <si>
    <t>9785990940796</t>
  </si>
  <si>
    <t>978-5-9909408-9-5</t>
  </si>
  <si>
    <t>9785990940895</t>
  </si>
  <si>
    <t>Познаю, играя. Волшебный альбом дошкольника. Печатные буквы. Счет до 10(Панда).</t>
  </si>
  <si>
    <t>Рисуем диких животных</t>
  </si>
  <si>
    <t>978-5-9909407-4-1</t>
  </si>
  <si>
    <t>9785990940741</t>
  </si>
  <si>
    <t>Бойренмайстер К.</t>
  </si>
  <si>
    <t>Рисуем домашних животных</t>
  </si>
  <si>
    <t>978-5-9909407-6-5</t>
  </si>
  <si>
    <t>9785990940765</t>
  </si>
  <si>
    <t>978-5-9909407-0-3</t>
  </si>
  <si>
    <t>9785990940703</t>
  </si>
  <si>
    <t>Рисуем зоопарк</t>
  </si>
  <si>
    <t>978-5-9909407-2-7</t>
  </si>
  <si>
    <t>9785990940727</t>
  </si>
  <si>
    <t>Мир динозавров</t>
  </si>
  <si>
    <t>978-5-462-01767-4</t>
  </si>
  <si>
    <t>9785462017674</t>
  </si>
  <si>
    <t>История древнего мира. 5 кл. Атл.+к/к+зад.</t>
  </si>
  <si>
    <t>История России 19 века. 8 кл. Атлас +к/к + задания</t>
  </si>
  <si>
    <t>978-5-94776-971-5</t>
  </si>
  <si>
    <t>9785947769715</t>
  </si>
  <si>
    <t>История России с древнейших времен – начало 16 века. 6 класс. Атлас+к/к+задания</t>
  </si>
  <si>
    <t>978-5-94776-957-9</t>
  </si>
  <si>
    <t>9785947769579</t>
  </si>
  <si>
    <t>Новейшая история. 20  век - начало 21 века. 9 класс: атлас+ к/к + задания.</t>
  </si>
  <si>
    <t>К/К с задан. История Древнего мира. 5 класс</t>
  </si>
  <si>
    <t>978-5-94776-944-9</t>
  </si>
  <si>
    <t>9785947769449</t>
  </si>
  <si>
    <t>978-5-94776-940-1</t>
  </si>
  <si>
    <t>9785947769401</t>
  </si>
  <si>
    <t>978-5-94776-938-8</t>
  </si>
  <si>
    <t>9785947769388</t>
  </si>
  <si>
    <t>978-5-94776-936-4</t>
  </si>
  <si>
    <t>9785947769364</t>
  </si>
  <si>
    <t>К/К с задан. История России. XX –начало ХХI века.9 класс</t>
  </si>
  <si>
    <t>978-5-94776-942-5</t>
  </si>
  <si>
    <t>9785947769425</t>
  </si>
  <si>
    <t>978-5-94776-943-2</t>
  </si>
  <si>
    <t>9785947769432</t>
  </si>
  <si>
    <t>К/К с заданиями. 6 класс. История Средних веков</t>
  </si>
  <si>
    <t>978-5-94776-941-8</t>
  </si>
  <si>
    <t>9785947769418</t>
  </si>
  <si>
    <t>978-5-94776-939-5</t>
  </si>
  <si>
    <t>9785947769395</t>
  </si>
  <si>
    <t>978-5-94776-958-6</t>
  </si>
  <si>
    <t>9785947769586</t>
  </si>
  <si>
    <t>К/К с заданиями. 9 класс. Новейшая история 20 - начало 21 века.</t>
  </si>
  <si>
    <t xml:space="preserve">Колпаков С.В.                 </t>
  </si>
  <si>
    <t xml:space="preserve">Колпаков С.В., Пономарев М.В. </t>
  </si>
  <si>
    <t xml:space="preserve">К/К с заданиями. 7 класс. История России 16-18 веков. </t>
  </si>
  <si>
    <t xml:space="preserve">К/К с заданиями. 8 кл.История России 19 века. </t>
  </si>
  <si>
    <t xml:space="preserve">К/К с заданиями.10-11 кл.История России с древнейших времен - начало 21 века </t>
  </si>
  <si>
    <t xml:space="preserve">К/К с заданиями. 6 кл.История России с древнейших времен до начала 16 в. </t>
  </si>
  <si>
    <t xml:space="preserve">К/К с заданиями. 7 класс. Новая история 16-18 веков.Часть 1. </t>
  </si>
  <si>
    <t xml:space="preserve">К/К с заданиями. 8 класс. Новая история 19 века.Часть 2. </t>
  </si>
  <si>
    <t xml:space="preserve">АТЛАСЫ И КОНТУРНЫЕ КАРТЫ </t>
  </si>
  <si>
    <t>ИСТОРИЯ</t>
  </si>
  <si>
    <t>5 класс</t>
  </si>
  <si>
    <t>6 КЛАСС</t>
  </si>
  <si>
    <t>7 КЛАСС</t>
  </si>
  <si>
    <t>8 КЛАСС</t>
  </si>
  <si>
    <t>9 класс</t>
  </si>
  <si>
    <t>10 класс</t>
  </si>
  <si>
    <t>Комплект серии Серебряная библиотека увлечений</t>
  </si>
  <si>
    <t>Атлас + к/к. 7 класс. Материки, океаны, народы и страны</t>
  </si>
  <si>
    <t>Атлас + к/к.10 класс. Экономическая и социальная география мира</t>
  </si>
  <si>
    <t>978-5-94776-935-7</t>
  </si>
  <si>
    <t>9785947769357</t>
  </si>
  <si>
    <t>978-5-462-00966-2</t>
  </si>
  <si>
    <t>9785462009662</t>
  </si>
  <si>
    <t>Модный декупаж</t>
  </si>
  <si>
    <t>Резьба по дереву</t>
  </si>
  <si>
    <t>978-5-462-01126-9</t>
  </si>
  <si>
    <t>9785462011269</t>
  </si>
  <si>
    <t>978-5-9908851-2-7</t>
  </si>
  <si>
    <t>Шьем елочные  игрушки. Фольклорная коллекция</t>
  </si>
  <si>
    <t>9785990830875</t>
  </si>
  <si>
    <t>Тематические подарочные издания</t>
  </si>
  <si>
    <t>Православие. Настольная книга верующего</t>
  </si>
  <si>
    <t>978-5-462-00865-8</t>
  </si>
  <si>
    <t>9785462008658</t>
  </si>
  <si>
    <t>Времена года. Комплект из 4-х подарочных книг в фирменном коробе</t>
  </si>
  <si>
    <t>978-5-462-01354-6</t>
  </si>
  <si>
    <t>9785462013546</t>
  </si>
  <si>
    <t>Атлас. 5 класс. Начальный курс географии</t>
  </si>
  <si>
    <t>978-5-94776-945-6</t>
  </si>
  <si>
    <t>9785947769456</t>
  </si>
  <si>
    <t>К/К с задан. 9 класс. Экономическая и социальная география России</t>
  </si>
  <si>
    <t>978-5-94464-265-3</t>
  </si>
  <si>
    <t xml:space="preserve">Зайцева А.А.             </t>
  </si>
  <si>
    <t xml:space="preserve">Бульба Н.С.              </t>
  </si>
  <si>
    <t xml:space="preserve">Никитина А.Д.            </t>
  </si>
  <si>
    <t xml:space="preserve">Агафонов В.В.            </t>
  </si>
  <si>
    <t xml:space="preserve">Резниченко И.Л.          </t>
  </si>
  <si>
    <t xml:space="preserve">Бельчиков Ю.А.                </t>
  </si>
  <si>
    <t xml:space="preserve">Душина И.В., Летягин А. А.    </t>
  </si>
  <si>
    <t xml:space="preserve">Раковская Э.М.                </t>
  </si>
  <si>
    <t xml:space="preserve">Алексеев А.И., Гаврилов О.В.  </t>
  </si>
  <si>
    <t xml:space="preserve">Кузнецов А.П.                 </t>
  </si>
  <si>
    <t>Рисуем животных России</t>
  </si>
  <si>
    <t>84Х108/17</t>
  </si>
  <si>
    <t>Рождественская коллекция</t>
  </si>
  <si>
    <t>Гонки на мотоциклах. Словарик в наклейках</t>
  </si>
  <si>
    <t>978-5-94464-284-4</t>
  </si>
  <si>
    <t>Домашние питомцы. Словарик в наклейках</t>
  </si>
  <si>
    <t>978-5-94464-282-0</t>
  </si>
  <si>
    <t>978-5-94776-979-1</t>
  </si>
  <si>
    <t>978-5-94776-981-4</t>
  </si>
  <si>
    <t>978-5-94776-987-6</t>
  </si>
  <si>
    <t>978-5-94776-990-6</t>
  </si>
  <si>
    <t>978-5-94776-982-1</t>
  </si>
  <si>
    <t>978-5-94776-988-3</t>
  </si>
  <si>
    <t>978-5-94776-991-3</t>
  </si>
  <si>
    <t>978-5-94776-986-9</t>
  </si>
  <si>
    <t>978-5-94776-983-8</t>
  </si>
  <si>
    <t>978-5-94776-989-0</t>
  </si>
  <si>
    <t>978-5-94776-993-7</t>
  </si>
  <si>
    <t xml:space="preserve">Алексеев А.И.,Гаврилов О.В.   </t>
  </si>
  <si>
    <t>География</t>
  </si>
  <si>
    <t>6 класс</t>
  </si>
  <si>
    <t>7 класс</t>
  </si>
  <si>
    <t>8 класс</t>
  </si>
  <si>
    <t>9785947769906</t>
  </si>
  <si>
    <t>9785947769869</t>
  </si>
  <si>
    <t>9785947769937</t>
  </si>
  <si>
    <t>География. Атласы с контурными картами и контрольными заданиями</t>
  </si>
  <si>
    <t xml:space="preserve">СЕЗОННОЕ ПРЕДЛОЖЕНИЕ </t>
  </si>
  <si>
    <t>смотреть&gt;</t>
  </si>
  <si>
    <t xml:space="preserve">                            "Атласы, контурные карты и комплекты по географии и истории 2017 года выпуска"</t>
  </si>
  <si>
    <t>978-5-94776-994-4</t>
  </si>
  <si>
    <t>70х90/17</t>
  </si>
  <si>
    <t>978-5-7805-1218-9</t>
  </si>
  <si>
    <t>Хобби экспресс</t>
  </si>
  <si>
    <t>Курто М. Р.</t>
  </si>
  <si>
    <t>978-5-9909409-9-4</t>
  </si>
  <si>
    <t>71969</t>
  </si>
  <si>
    <t>Как рисовать мультяшек с характером. Книга-рисовалка</t>
  </si>
  <si>
    <t>978-5-9909409-6-3</t>
  </si>
  <si>
    <t>71971</t>
  </si>
  <si>
    <t>Как рисовать пузанов, кругляков и овальчиков. Книга-рисовалка</t>
  </si>
  <si>
    <t>978-5-9909409-7-0</t>
  </si>
  <si>
    <t>71972</t>
  </si>
  <si>
    <t>Как рисовать прикольные комиксы. Книга-рисовалка</t>
  </si>
  <si>
    <t>978-5-9909409-8-7</t>
  </si>
  <si>
    <t>71973</t>
  </si>
  <si>
    <t>Как рисовать худяков, острокрыльчиков и прямолобиков. Книга-рисовалка</t>
  </si>
  <si>
    <t>978-5-9909407-5-8</t>
  </si>
  <si>
    <t>Тупикова А.О.</t>
  </si>
  <si>
    <t>Принцессы и феи. Цвета, символы, номера. Волшебные раскраски.</t>
  </si>
  <si>
    <t>978-5-9909407-7-2</t>
  </si>
  <si>
    <t>Подводный мир. Цвета, символы, номера. Волшебные раскраски.</t>
  </si>
  <si>
    <t>Рисуем на полях</t>
  </si>
  <si>
    <t>Древние греки. Познаю, играя ! История в  наклейках</t>
  </si>
  <si>
    <t>978-5-9909408-6-4</t>
  </si>
  <si>
    <t>Первооткрыватели. Познаю, играя ! История в  наклейках</t>
  </si>
  <si>
    <t>978-5-9909408-4-0</t>
  </si>
  <si>
    <t>Словарь ударения и произношения слов русского языка 5-9 классы</t>
  </si>
  <si>
    <t>978-5-9909262-1-9</t>
  </si>
  <si>
    <t>Прайс-лист от 07.07.2017</t>
  </si>
  <si>
    <t>978-5-94776-898-5</t>
  </si>
  <si>
    <t>Брагина Н.Г.</t>
  </si>
  <si>
    <t>Сахаров А.Н.</t>
  </si>
  <si>
    <t>978-5-462-01201-3</t>
  </si>
  <si>
    <t>Чернова М.Н.</t>
  </si>
  <si>
    <t>Курукин И.В.</t>
  </si>
  <si>
    <t>978-5-462-01484-0</t>
  </si>
  <si>
    <t xml:space="preserve">Савинова Е.Н.                 </t>
  </si>
  <si>
    <t>Романовы. История великой империи</t>
  </si>
  <si>
    <t>Преснухин М.А.</t>
  </si>
  <si>
    <t>978-5-94776-888-6</t>
  </si>
  <si>
    <t>978-5-94776-910-4</t>
  </si>
  <si>
    <t>Фёдор Ушаков. Непобедимый адмирал</t>
  </si>
  <si>
    <t xml:space="preserve">"СЛОВАРИ XXI ВЕКА"      Совместный проект с Институтом русского языка им. В.В.Виноградова РАН </t>
  </si>
  <si>
    <t>Фундаментальные словари</t>
  </si>
  <si>
    <t>978-5-462-00766-8</t>
  </si>
  <si>
    <t>978-5-462-00590-9</t>
  </si>
  <si>
    <t>Прохоров Ю.Е.</t>
  </si>
  <si>
    <t>978-5-462-01272-3</t>
  </si>
  <si>
    <t>978-5-462-01318-8</t>
  </si>
  <si>
    <t>Академический учебник</t>
  </si>
  <si>
    <t>Под ред. Касаткина Л.Л.</t>
  </si>
  <si>
    <t>Настольные словари русского языка</t>
  </si>
  <si>
    <t>978-5-462-01308-9</t>
  </si>
  <si>
    <t xml:space="preserve">Крысин Л.П.                   </t>
  </si>
  <si>
    <t>Современный словарь иностранных слов</t>
  </si>
  <si>
    <t>978-5-462-00715-6</t>
  </si>
  <si>
    <t xml:space="preserve">Резниченко И.Л.  </t>
  </si>
  <si>
    <t>978-5-462-01140-5</t>
  </si>
  <si>
    <t>Баско Н.В., Андреева И.В.</t>
  </si>
  <si>
    <t>978-5-462-01207-5</t>
  </si>
  <si>
    <t xml:space="preserve">Львов М.Р.                    </t>
  </si>
  <si>
    <t>978-5-462-01047-7</t>
  </si>
  <si>
    <t>Настольные словари школьника. Начальная школа</t>
  </si>
  <si>
    <t>Гуркова И.В.</t>
  </si>
  <si>
    <t>Морфемно-словообразовательный словарь. Как растет слово? 1-4 классы</t>
  </si>
  <si>
    <t>Настольные словари школьника. Основная школа</t>
  </si>
  <si>
    <t>978-5-462-01326-3</t>
  </si>
  <si>
    <t>978-5-462-01234-1</t>
  </si>
  <si>
    <t>Байкова Т.А.</t>
  </si>
  <si>
    <t>7БИЦ</t>
  </si>
  <si>
    <t>978-5-462-01070-5</t>
  </si>
  <si>
    <t>Баско Н.В.</t>
  </si>
  <si>
    <t>Фразеологический словарь.Почему мы так говорим? 1-4 классы</t>
  </si>
  <si>
    <t>978-5-462-01036-1</t>
  </si>
  <si>
    <t>Баско Н.В., Зимин В.И.</t>
  </si>
  <si>
    <t>416</t>
  </si>
  <si>
    <t>Малые настольные словари русского языка</t>
  </si>
  <si>
    <t>978-5-462-00964-8</t>
  </si>
  <si>
    <t>Баранова Л.А.</t>
  </si>
  <si>
    <t>978-5-462-01038-5</t>
  </si>
  <si>
    <t>Словари для интеллектуальных гурманов</t>
  </si>
  <si>
    <t>Рут М.Э.</t>
  </si>
  <si>
    <t>70х100/32</t>
  </si>
  <si>
    <t>САМОУЧИТЕЛИ</t>
  </si>
  <si>
    <t>978-5-462-01434-5</t>
  </si>
  <si>
    <t>Самоучители "Язык без границ"</t>
  </si>
  <si>
    <t>Дечева С.В., Магидова И,М., Тренина Н.Г.</t>
  </si>
  <si>
    <t>978-5-462-00745-3</t>
  </si>
  <si>
    <t>Раевская М.М., Устимова Ж</t>
  </si>
  <si>
    <t>Испанский язык. Самоучитель для начинающих + CD</t>
  </si>
  <si>
    <t>978-5-462-00686-9</t>
  </si>
  <si>
    <t xml:space="preserve">Шевлякова Д.А.           </t>
  </si>
  <si>
    <t>978-5-94464-154-0</t>
  </si>
  <si>
    <t>Акопян А.Е.</t>
  </si>
  <si>
    <t>Агеева З.Б., Казакова Г.А., Кондратенко М.В., Попов М.</t>
  </si>
  <si>
    <t>978-5-462-01655-4</t>
  </si>
  <si>
    <t>Цавкелов А.Г.</t>
  </si>
  <si>
    <t>Китайский язык.Самоучитель для начинающих + CD</t>
  </si>
  <si>
    <t>978-5-462-01096-5</t>
  </si>
  <si>
    <t>Иванов В.Б., Гладкова Е.Л</t>
  </si>
  <si>
    <t>978-5-462-01183-2</t>
  </si>
  <si>
    <t>978-5-462-00690-6</t>
  </si>
  <si>
    <t xml:space="preserve">Кабардин О.Ф.                 </t>
  </si>
  <si>
    <t>Турецкий язык. Самоучитель для начинающих + CD</t>
  </si>
  <si>
    <t>978-5-462-00685-2</t>
  </si>
  <si>
    <t xml:space="preserve">Л. Леблан, В. Панин           </t>
  </si>
  <si>
    <t>Французский язык. Самоучитель для начинающих + CD</t>
  </si>
  <si>
    <t>УЧЕБНАЯ ЛИТЕРАТУРА</t>
  </si>
  <si>
    <t>НАЧАЛЬНОЕ ОБЩЕЕ ОБРАЗОВАНИЕ</t>
  </si>
  <si>
    <t>УМК "Окружающий мир. 1-4 классы" - З.А. Клепинина</t>
  </si>
  <si>
    <t>Клепинина З.А.</t>
  </si>
  <si>
    <t>ФГОС</t>
  </si>
  <si>
    <t>978-5-94776-770-4</t>
  </si>
  <si>
    <t>978-5-94776-771-1</t>
  </si>
  <si>
    <t>978-5-94776-768-1</t>
  </si>
  <si>
    <t>978-5-94776-819-0</t>
  </si>
  <si>
    <t>УМК "Технология. 1-4 классы" - Т. М. Геронимус</t>
  </si>
  <si>
    <t>Геронимус Т.М.</t>
  </si>
  <si>
    <t>ИНТ</t>
  </si>
  <si>
    <t>978-5-94776-665-3</t>
  </si>
  <si>
    <t>978-5-94776-679-0</t>
  </si>
  <si>
    <t>978-5-94776-680-6</t>
  </si>
  <si>
    <t>978-5-94776-688-2</t>
  </si>
  <si>
    <t>ОСНОВНОЕ ОБЩЕЕ ОБРАЗОВАНИЕ</t>
  </si>
  <si>
    <t>Справочники для старшеклассников и поступающих в вузы</t>
  </si>
  <si>
    <t xml:space="preserve">Кацва Л.А.                    </t>
  </si>
  <si>
    <t>978-5-462-01675-2</t>
  </si>
  <si>
    <t xml:space="preserve">Черкасов О.Ю., Якушев А.Г.    </t>
  </si>
  <si>
    <t>978-5-462-01499-4</t>
  </si>
  <si>
    <t>978-5-462-01685-1</t>
  </si>
  <si>
    <t>978-5-94776-760-5</t>
  </si>
  <si>
    <t>УМК "Немецкий язык. С немецким за приключениями. 5-6 классы" Курс немецкого языка</t>
  </si>
  <si>
    <t>Зверлова О.Ю.</t>
  </si>
  <si>
    <t>978-5-94776-750-6</t>
  </si>
  <si>
    <t>978-5-94776-751-3</t>
  </si>
  <si>
    <t xml:space="preserve">Зверлова О.Ю.            </t>
  </si>
  <si>
    <t>978-5-94776-761-2</t>
  </si>
  <si>
    <t>978-5-94776-723-0</t>
  </si>
  <si>
    <t>978-5-94776-759-9</t>
  </si>
  <si>
    <t>978-5-94776-568-7</t>
  </si>
  <si>
    <t>УМК "Немецкий язык. В центре внимания немецкий. 7-9 классы" Курс немецкого языка</t>
  </si>
  <si>
    <t>978-5-94776-757-5</t>
  </si>
  <si>
    <t>978-5-94776-701-8</t>
  </si>
  <si>
    <t>978-5-94776-539-7</t>
  </si>
  <si>
    <t>978-5-94776-518-2</t>
  </si>
  <si>
    <t>978-5-94776-604-2</t>
  </si>
  <si>
    <t>978-5-94776-541-0</t>
  </si>
  <si>
    <t>978-5-94776-717-9</t>
  </si>
  <si>
    <t>978-5-94776-762-9</t>
  </si>
  <si>
    <t>978-5-94776-739-1</t>
  </si>
  <si>
    <t>978-5-94776-741-4</t>
  </si>
  <si>
    <t>СРЕДНЕЕ (ПОЛНОЕ) ОБЩЕЕ ОБРАЗОВАНИЕ</t>
  </si>
  <si>
    <t>978-5-94776-791-9</t>
  </si>
  <si>
    <t>УМК "Немецкий язык. Ключевое слово - немецкий язык. 10-11 классы" Курс немецкого языка</t>
  </si>
  <si>
    <t>978-5-94776-415-6</t>
  </si>
  <si>
    <t>978-5-94776-706-3</t>
  </si>
  <si>
    <t>978-5-94776-707-0</t>
  </si>
  <si>
    <t>978-5-94776-740-7</t>
  </si>
  <si>
    <t>НАУКА И МИР</t>
  </si>
  <si>
    <t>75х90/16</t>
  </si>
  <si>
    <t>978-5-462-01319-5</t>
  </si>
  <si>
    <t>Экстрим</t>
  </si>
  <si>
    <t>Коллери Ш.</t>
  </si>
  <si>
    <t>978-5-462-01320-1</t>
  </si>
  <si>
    <t>Гиффорд К.</t>
  </si>
  <si>
    <t>978-5-462-01341-6</t>
  </si>
  <si>
    <t>Клейбурн А.</t>
  </si>
  <si>
    <t>978-5-462-01312-6</t>
  </si>
  <si>
    <t>Паркер С.</t>
  </si>
  <si>
    <t>978-5-462-01340-9</t>
  </si>
  <si>
    <t>Пайпер Р.</t>
  </si>
  <si>
    <t>978-5-462-01338-6</t>
  </si>
  <si>
    <t>Барнем К.</t>
  </si>
  <si>
    <t>978-5-462-01327-0</t>
  </si>
  <si>
    <t>Мейсон П.</t>
  </si>
  <si>
    <t>978-5-462-01339-3</t>
  </si>
  <si>
    <t>Харрисон П.</t>
  </si>
  <si>
    <t>978-5-462-01337-9</t>
  </si>
  <si>
    <t>978-5-462-01311-9</t>
  </si>
  <si>
    <t>978-5-462-01287-7</t>
  </si>
  <si>
    <t>Идеи для мира</t>
  </si>
  <si>
    <t>Смил В.</t>
  </si>
  <si>
    <t>978-5-462-01439-0</t>
  </si>
  <si>
    <t xml:space="preserve">Лестер Браун </t>
  </si>
  <si>
    <t>978-5-462-01419-2</t>
  </si>
  <si>
    <t>Джексон Т.</t>
  </si>
  <si>
    <t>978-5-462-01429-1</t>
  </si>
  <si>
    <t>Эпштейн М.Н.</t>
  </si>
  <si>
    <t>978-5-462-01288-4</t>
  </si>
  <si>
    <t>Вайцзеккер Э. и др.</t>
  </si>
  <si>
    <t>978-5-462-01307-2</t>
  </si>
  <si>
    <t>Наука и мир</t>
  </si>
  <si>
    <t>978-5-462-01389-8</t>
  </si>
  <si>
    <t>Годик Э.Э</t>
  </si>
  <si>
    <t>978-5-462-01402-4</t>
  </si>
  <si>
    <t>Киселев А.А., Кароль И.Л.</t>
  </si>
  <si>
    <t>978-5-462-01302-7</t>
  </si>
  <si>
    <t>Этинген Л.Е.</t>
  </si>
  <si>
    <t>978-5-462-01105-4</t>
  </si>
  <si>
    <t>В.Б.Спиричев</t>
  </si>
  <si>
    <t>978-5-462-01241-9</t>
  </si>
  <si>
    <t>Наука и мир. Классика</t>
  </si>
  <si>
    <t>Бернгард Гржимек</t>
  </si>
  <si>
    <t>978-5-462-01275-4</t>
  </si>
  <si>
    <t>Конрад Лоренц</t>
  </si>
  <si>
    <t>2012</t>
  </si>
  <si>
    <t>978-5-462-01277-8</t>
  </si>
  <si>
    <t>Тимберген Нико</t>
  </si>
  <si>
    <t>978-5-462-01211-2</t>
  </si>
  <si>
    <t>978-5-462-01274-7</t>
  </si>
  <si>
    <t>978-5-462-01240-2</t>
  </si>
  <si>
    <t>978-5-462-01273-0</t>
  </si>
  <si>
    <t>978-5-462-01213-6</t>
  </si>
  <si>
    <t>978-5-462-01242-6</t>
  </si>
  <si>
    <t>978-5-462-01264-8</t>
  </si>
  <si>
    <t>ПОДАРОЧНЫЕ ИЗДАНИЯ</t>
  </si>
  <si>
    <t>60х100/8</t>
  </si>
  <si>
    <t>7Б</t>
  </si>
  <si>
    <t>978-5-462-00238-6</t>
  </si>
  <si>
    <t>Несерийные  издания</t>
  </si>
  <si>
    <t>Унзельд З. Гёте И.</t>
  </si>
  <si>
    <t>75х90/32</t>
  </si>
  <si>
    <t>978-5-462-01089-7</t>
  </si>
  <si>
    <t>сост. Александров И.</t>
  </si>
  <si>
    <t>60х84/32</t>
  </si>
  <si>
    <t>978-5-462-01088-0</t>
  </si>
  <si>
    <t>Несерийные издания</t>
  </si>
  <si>
    <t>978-5-462-01118-4</t>
  </si>
  <si>
    <t>Лиепа М.</t>
  </si>
  <si>
    <t>ДЕТСКАЯ ЛИТЕРАТУРА</t>
  </si>
  <si>
    <t>70х108/8</t>
  </si>
  <si>
    <t>978-5-462-01210-5</t>
  </si>
  <si>
    <t>Баррон Нестор</t>
  </si>
  <si>
    <t>978-5-462-01239-6</t>
  </si>
  <si>
    <t>Рейнольдс Р.Р</t>
  </si>
  <si>
    <t>978-5-462-01197-9</t>
  </si>
  <si>
    <t>Камбарери К.</t>
  </si>
  <si>
    <t>Домашние любимцы</t>
  </si>
  <si>
    <t>Мэтью Рейнер</t>
  </si>
  <si>
    <t>978-5-94464-183-0</t>
  </si>
  <si>
    <t>978-5-94464-191-5</t>
  </si>
  <si>
    <t>978-5-94464-174-8</t>
  </si>
  <si>
    <t>ПРИКЛАДНАЯ ЛИТЕРАТУРА</t>
  </si>
  <si>
    <t>978-5-462-01151-1</t>
  </si>
  <si>
    <t>Библиотечка родителей</t>
  </si>
  <si>
    <t>Барложецкая Н.Ф.</t>
  </si>
  <si>
    <t>Мое хобби</t>
  </si>
  <si>
    <t>978-5-462-01071-2</t>
  </si>
  <si>
    <t>Минченко Т.А.</t>
  </si>
  <si>
    <t>978-5-462-01193-1</t>
  </si>
  <si>
    <t>Вырезаем из овощей</t>
  </si>
  <si>
    <t xml:space="preserve">Кузнецова М.Е.           </t>
  </si>
  <si>
    <t>978-5-462-01188-7</t>
  </si>
  <si>
    <t>978-5-462-01194-8</t>
  </si>
  <si>
    <t>Кузнецова Маргарита Егоровна</t>
  </si>
  <si>
    <t>978-5-462-01195-5</t>
  </si>
  <si>
    <t>978-5-462-01187-0</t>
  </si>
  <si>
    <t>Наше здоровье</t>
  </si>
  <si>
    <t>978-5-462-01125-2</t>
  </si>
  <si>
    <t xml:space="preserve">Динейка К. </t>
  </si>
  <si>
    <t>978-5-462-01226-6</t>
  </si>
  <si>
    <t>Кулинарное путешествие</t>
  </si>
  <si>
    <t>Янсен Дирк</t>
  </si>
  <si>
    <t>978-5-462-01225-9</t>
  </si>
  <si>
    <t>Ковальский C.</t>
  </si>
  <si>
    <t>Коммерческий отдел</t>
  </si>
  <si>
    <t>105082, г. Москва, Переведеновский пер., д.13 стр.4</t>
  </si>
  <si>
    <t>Тел.: +7(495) 276-01-11</t>
  </si>
  <si>
    <t>Укажите вашу скидку:</t>
  </si>
  <si>
    <t>astpress@astpress.ru</t>
  </si>
  <si>
    <t>Сумма Вашего заказа</t>
  </si>
  <si>
    <t>www.astpress.ru</t>
  </si>
  <si>
    <t>Код</t>
  </si>
  <si>
    <t>ISBN</t>
  </si>
  <si>
    <t>Серия</t>
  </si>
  <si>
    <t>Автор</t>
  </si>
  <si>
    <t>Название книги</t>
  </si>
  <si>
    <t>Обложка</t>
  </si>
  <si>
    <t>Анонс</t>
  </si>
  <si>
    <t>Класс. 436 ФЗ</t>
  </si>
  <si>
    <t>Заказ, Штук</t>
  </si>
  <si>
    <t>Цена</t>
  </si>
  <si>
    <t>Год</t>
  </si>
  <si>
    <t>НДС</t>
  </si>
  <si>
    <t>Формат</t>
  </si>
  <si>
    <t>Кол-во Стр.</t>
  </si>
  <si>
    <t>Пере- плет</t>
  </si>
  <si>
    <t>АНОНС НОВИНОК</t>
  </si>
  <si>
    <t xml:space="preserve"> </t>
  </si>
  <si>
    <t>12+</t>
  </si>
  <si>
    <t>10%</t>
  </si>
  <si>
    <t>7БЦ</t>
  </si>
  <si>
    <t>84х108/16</t>
  </si>
  <si>
    <t>70х100/16</t>
  </si>
  <si>
    <t>ОБЛ</t>
  </si>
  <si>
    <t>ХОББИТЕКА     Наборы для творчества</t>
  </si>
  <si>
    <t>Наборы для творчества. Гирлянда</t>
  </si>
  <si>
    <t>Новинка!</t>
  </si>
  <si>
    <t>6+</t>
  </si>
  <si>
    <t>-</t>
  </si>
  <si>
    <t>978-5-462-01683-7</t>
  </si>
  <si>
    <t xml:space="preserve">Величко Н.К.             </t>
  </si>
  <si>
    <t>165 Х 200</t>
  </si>
  <si>
    <t>978-5-462-01678-3</t>
  </si>
  <si>
    <t>165Х200</t>
  </si>
  <si>
    <t>978-5-462-01677-6</t>
  </si>
  <si>
    <t>978-5-462-01679-0</t>
  </si>
  <si>
    <t>160Х200</t>
  </si>
  <si>
    <t>60х90/16</t>
  </si>
  <si>
    <t>Михайловская Л.С.</t>
  </si>
  <si>
    <t>978-5-462-01646-2</t>
  </si>
  <si>
    <t>Архитектурное оригами</t>
  </si>
  <si>
    <t>Столярова Т.М.</t>
  </si>
  <si>
    <t>Архитектурное оригами. Биг Бен</t>
  </si>
  <si>
    <t>60х90/8</t>
  </si>
  <si>
    <t>978-5-462-01650-9</t>
  </si>
  <si>
    <t>Архитектурное оригами. Тройка</t>
  </si>
  <si>
    <t>978-5-462-01651-6</t>
  </si>
  <si>
    <t>Архитектурное оригами. Ажурный шар</t>
  </si>
  <si>
    <t>978-5-462-01648-6</t>
  </si>
  <si>
    <t>Архитектурное оригами. Букет</t>
  </si>
  <si>
    <t>978-5-462-01644-8</t>
  </si>
  <si>
    <t>Архитектурное оригами. Пагода</t>
  </si>
  <si>
    <t>978-5-462-01649-3</t>
  </si>
  <si>
    <t>Архитектурное оригами. Парк</t>
  </si>
  <si>
    <t>978-5-462-01642-4</t>
  </si>
  <si>
    <t>Архитектурное оригами. Спасская башня</t>
  </si>
  <si>
    <t>978-5-462-01641-7</t>
  </si>
  <si>
    <t>Архитектурное оригами. Эйфелева башня</t>
  </si>
  <si>
    <t>978-5-462-01645-5</t>
  </si>
  <si>
    <t>Архитектурное оригами. Сказочный замок</t>
  </si>
  <si>
    <t>978-5-462-01653-0</t>
  </si>
  <si>
    <t>Архитектурное оригами. Цветок</t>
  </si>
  <si>
    <t>978-5-462-01647-9</t>
  </si>
  <si>
    <t>Архитектурное оригами. Маки</t>
  </si>
  <si>
    <t>978-5-462-01643-1</t>
  </si>
  <si>
    <t>Архитектурное оригами. Небоскреб</t>
  </si>
  <si>
    <t>978-5-462-01581-6</t>
  </si>
  <si>
    <t>Резные сувениры</t>
  </si>
  <si>
    <t>Дадашова З. Р.</t>
  </si>
  <si>
    <t>Резные сувениры. Лебеди. Символ верности</t>
  </si>
  <si>
    <t xml:space="preserve">18% </t>
  </si>
  <si>
    <t>978-5-462-01580-9</t>
  </si>
  <si>
    <t>Резные сувениры. Бабочка. Символ нежности</t>
  </si>
  <si>
    <t>978-5-462-01583-0</t>
  </si>
  <si>
    <t>Резные сувениры. Павлин. Символ совершенства и бессмертия</t>
  </si>
  <si>
    <t>978-5-462-01584-7</t>
  </si>
  <si>
    <t>Резные сувениры. Слоник. Символ надежности</t>
  </si>
  <si>
    <t>978-5-462-01585-4</t>
  </si>
  <si>
    <t>Резные сувениры. Цветок. Символ красоты</t>
  </si>
  <si>
    <t>978-5-462-01582-0</t>
  </si>
  <si>
    <t>Резные сувениры. Голубки. Символ любви</t>
  </si>
  <si>
    <t>978-5-462-01323-2</t>
  </si>
  <si>
    <t>Наборы для детского творчества из гофрокартона. Большие изделия</t>
  </si>
  <si>
    <t>Курочкина Л. В., Щур Т. В., Ургард А. А.</t>
  </si>
  <si>
    <t>60х90/32</t>
  </si>
  <si>
    <t>978-5-462-01322-5</t>
  </si>
  <si>
    <t>978-5-462-01325-6</t>
  </si>
  <si>
    <t>978-5-462-01321-8</t>
  </si>
  <si>
    <t>978-5-462-01301-0</t>
  </si>
  <si>
    <t>978-5-462-01324-9</t>
  </si>
  <si>
    <t>978-5-462-01344-7</t>
  </si>
  <si>
    <t>Наборы для детского творчества из гофрокартона. Маленькие изделия</t>
  </si>
  <si>
    <t>978-5-462-01346-1</t>
  </si>
  <si>
    <t>978-5-462-01343-0</t>
  </si>
  <si>
    <t>978-5-462-01345-4</t>
  </si>
  <si>
    <t>978-5-462-01342-3</t>
  </si>
  <si>
    <t>978-5-462-01347-8</t>
  </si>
  <si>
    <t>ХОББИТЕКА     Книги</t>
  </si>
  <si>
    <t>978-5-462-01406-2</t>
  </si>
  <si>
    <t>Золотая библиотека увлечений</t>
  </si>
  <si>
    <t>Морас И.</t>
  </si>
  <si>
    <t>978-5-462-01491-8</t>
  </si>
  <si>
    <t>Рогачевская Л.</t>
  </si>
  <si>
    <t>Брайан и Ник Вольфе</t>
  </si>
  <si>
    <t>Шинковская К.А.</t>
  </si>
  <si>
    <t>Центр бумажного творчества «Ханди Арт»</t>
  </si>
  <si>
    <t>978-5-462-01496-3</t>
  </si>
  <si>
    <t xml:space="preserve">Чотти Д.  </t>
  </si>
  <si>
    <t>Доп.тираж</t>
  </si>
  <si>
    <t>Фиксированная цена</t>
  </si>
  <si>
    <t>978-5-462-01268-6</t>
  </si>
  <si>
    <t>Кулакова А.В.</t>
  </si>
  <si>
    <t>978-5-462-01485-7</t>
  </si>
  <si>
    <t>Ирина Ротт</t>
  </si>
  <si>
    <t>978-5-94776-896-1</t>
  </si>
  <si>
    <t>978-5-462-01458-1</t>
  </si>
  <si>
    <t>Кудрявцев Е.В.</t>
  </si>
  <si>
    <t>Жукова Н.А.</t>
  </si>
  <si>
    <t>Бестселлер</t>
  </si>
  <si>
    <t>978-5-462-01362-1</t>
  </si>
  <si>
    <t>Кики Картон</t>
  </si>
  <si>
    <t>978-5-462-01518-2</t>
  </si>
  <si>
    <t>Мезенская роспись</t>
  </si>
  <si>
    <t>978-5-462-01464-2</t>
  </si>
  <si>
    <t>Пахомов С.В.</t>
  </si>
  <si>
    <t>978-5-462-01091-0</t>
  </si>
  <si>
    <t>М.В.Бохан</t>
  </si>
  <si>
    <t>978-5-462-01109-2</t>
  </si>
  <si>
    <t>Макарова Н.И., Елизарова Ю.А.</t>
  </si>
  <si>
    <t>978-5-462-01407-9</t>
  </si>
  <si>
    <t xml:space="preserve">Мруз Е.В           </t>
  </si>
  <si>
    <t>Иванова Ю. В.</t>
  </si>
  <si>
    <t>978-5-462-01536-6</t>
  </si>
  <si>
    <t xml:space="preserve">Кокарева И.А.            </t>
  </si>
  <si>
    <t>84Х108/16</t>
  </si>
  <si>
    <t>978-5-462-01495-6</t>
  </si>
  <si>
    <t>Кузьмичева Т.А.</t>
  </si>
  <si>
    <t>978-5-462-01296-9</t>
  </si>
  <si>
    <t>Аннета Валюс</t>
  </si>
  <si>
    <t>978-5-462-01520-5</t>
  </si>
  <si>
    <t>Сорокина Т.А.</t>
  </si>
  <si>
    <t>Воробьева Н.Г.</t>
  </si>
  <si>
    <t>978-5-462-01535-9</t>
  </si>
  <si>
    <t>Пухол-Ксикой Р., Касалс Х. Х.</t>
  </si>
  <si>
    <t>978-5-462-01364-5</t>
  </si>
  <si>
    <t xml:space="preserve">Буза В.П.,  Буза С.В., Терлецкая Д.В          </t>
  </si>
  <si>
    <t>978-5-462-01279-2</t>
  </si>
  <si>
    <t>Вершинина И.О.</t>
  </si>
  <si>
    <t>978-5-94464-166-3</t>
  </si>
  <si>
    <t>Ди ван Никерк</t>
  </si>
  <si>
    <t>978-5-462-01490-1</t>
  </si>
  <si>
    <t xml:space="preserve">Федосеев С.Д.                   </t>
  </si>
  <si>
    <t>978-5-462-01206-8</t>
  </si>
  <si>
    <t>Емельянова Олеся</t>
  </si>
  <si>
    <t>978-5-462-01517-5</t>
  </si>
  <si>
    <t>Козырь В.А.</t>
  </si>
  <si>
    <t>978-5-462-00973-0</t>
  </si>
  <si>
    <t>Уталишвили Н.А.</t>
  </si>
  <si>
    <t>978-5-462-01403-1</t>
  </si>
  <si>
    <t>Франк Э., Дэй-Уайльд М</t>
  </si>
  <si>
    <t>Школа творчества</t>
  </si>
  <si>
    <t>978-5-462-01236-5</t>
  </si>
  <si>
    <t>Георгиев А.</t>
  </si>
  <si>
    <t>70х90/16</t>
  </si>
  <si>
    <t xml:space="preserve">Сборник                       </t>
  </si>
  <si>
    <t>Тараненко А.</t>
  </si>
  <si>
    <t>978-5-462-01586-1</t>
  </si>
  <si>
    <t>Серебряная библиотека увлечений</t>
  </si>
  <si>
    <t>Жмаева О.Б.</t>
  </si>
  <si>
    <t>Весёлые моталки</t>
  </si>
  <si>
    <t>978-5-462-01519-9</t>
  </si>
  <si>
    <t>Маленькие куколки. Модели из разных материалов</t>
  </si>
  <si>
    <t>978-5-462-01632-5</t>
  </si>
  <si>
    <t>Антюфеева М.В</t>
  </si>
  <si>
    <t>Фигурки из фетра и молний</t>
  </si>
  <si>
    <t>Мастер-класс на дому</t>
  </si>
  <si>
    <t>978-5-462-01271-6</t>
  </si>
  <si>
    <t>978-5-462-01018-7</t>
  </si>
  <si>
    <t>978-5-462-01034-7</t>
  </si>
  <si>
    <t>Джоунс Фиона</t>
  </si>
  <si>
    <t>978-5-462-01445-1</t>
  </si>
  <si>
    <t xml:space="preserve">Шинковская К.А.          </t>
  </si>
  <si>
    <t>978-5-462-01161-0</t>
  </si>
  <si>
    <t>Галанова Т.В.</t>
  </si>
  <si>
    <t>978-5-462-01131-3</t>
  </si>
  <si>
    <t>Джуди Гейл Робертс</t>
  </si>
  <si>
    <t>978-5-462-01428-4</t>
  </si>
  <si>
    <t>Корнилова В.В., Смирнова О.В.</t>
  </si>
  <si>
    <t>978-5-462-01430-7</t>
  </si>
  <si>
    <t>978-5-462-01130-6</t>
  </si>
  <si>
    <t>Александрова М.Г.</t>
  </si>
  <si>
    <t>978-5-462-01281-5</t>
  </si>
  <si>
    <t>Хобби Экспресс</t>
  </si>
  <si>
    <t>978-5-462-01533-5</t>
  </si>
  <si>
    <t>Белькова Т.И., Иванова И.Р.</t>
  </si>
  <si>
    <t>978-5-462-01328-7</t>
  </si>
  <si>
    <t>Хуг В.</t>
  </si>
  <si>
    <t>978-5-462-01680-6</t>
  </si>
  <si>
    <t>978-5-462-01666-0</t>
  </si>
  <si>
    <t>Дегтярева О.В.</t>
  </si>
  <si>
    <t>Игрушки из папье-маше</t>
  </si>
  <si>
    <t>978-5-462-01497-0</t>
  </si>
  <si>
    <t>Подгорная В.А.</t>
  </si>
  <si>
    <t>978-5-462-01707-0</t>
  </si>
  <si>
    <t>Дерябина Н.И.</t>
  </si>
  <si>
    <t>978-5-462-01454-3</t>
  </si>
  <si>
    <t>978-5-462-01465-9</t>
  </si>
  <si>
    <t>Забелина С.В.</t>
  </si>
  <si>
    <t>Прихватки-зверятки за один час</t>
  </si>
  <si>
    <t>978-5-462-01513-7</t>
  </si>
  <si>
    <t>978-5-94776-920-3</t>
  </si>
  <si>
    <t>Грузинцева О.П</t>
  </si>
  <si>
    <t>978-5-462-01534-2</t>
  </si>
  <si>
    <t>Лаптева В.А.</t>
  </si>
  <si>
    <t>978-5-462-01709-4</t>
  </si>
  <si>
    <t>Донская А.И.</t>
  </si>
  <si>
    <t>978-5-462-01297-6</t>
  </si>
  <si>
    <t>Хобби Клуб</t>
  </si>
  <si>
    <t>978-5-462-01371-3</t>
  </si>
  <si>
    <t>978-5-462-01175-7</t>
  </si>
  <si>
    <t>Булгакова С.Ю.</t>
  </si>
  <si>
    <t>978-5-462-01282-2</t>
  </si>
  <si>
    <t xml:space="preserve">Юсель С.                 </t>
  </si>
  <si>
    <t>978-5-462-01701-8</t>
  </si>
  <si>
    <t>978-5-462-01247-1</t>
  </si>
  <si>
    <t xml:space="preserve">Корнилова В.В.           </t>
  </si>
  <si>
    <t>Форманова К.А.</t>
  </si>
  <si>
    <t>978-5-462-01686-8</t>
  </si>
  <si>
    <t>Сборник</t>
  </si>
  <si>
    <t>978-5-462-01386-7</t>
  </si>
  <si>
    <t>978-5-462-01299-0</t>
  </si>
  <si>
    <t>978-5-462-01177-1</t>
  </si>
  <si>
    <t>978-5-462-01182-5</t>
  </si>
  <si>
    <t>978-5-462-01180-1</t>
  </si>
  <si>
    <t>Азбука моделирования</t>
  </si>
  <si>
    <t>978-5-462-01488-8</t>
  </si>
  <si>
    <t>978-5-462-01507-6</t>
  </si>
  <si>
    <t>Пимушкин С.И.</t>
  </si>
  <si>
    <t>978-5-462-01492-5</t>
  </si>
  <si>
    <t>978-5-462-01502-1</t>
  </si>
  <si>
    <t>978-5-462-01487-1</t>
  </si>
  <si>
    <t xml:space="preserve">Болков А.В. </t>
  </si>
  <si>
    <t>978-5-462-01438-3</t>
  </si>
  <si>
    <t>Веселый мастер-класс</t>
  </si>
  <si>
    <t>Гречешнюк О.В.</t>
  </si>
  <si>
    <t>978-5-462-01255-6</t>
  </si>
  <si>
    <t>Петрова О.</t>
  </si>
  <si>
    <t>978-5-462-01256-3</t>
  </si>
  <si>
    <t>978-5-462-01259-4</t>
  </si>
  <si>
    <t>978-5-462-01251-8</t>
  </si>
  <si>
    <t>978-5-462-01257-0</t>
  </si>
  <si>
    <t>978-5-462-01254-9</t>
  </si>
  <si>
    <t>978-5-462-01437-6</t>
  </si>
  <si>
    <t>978-5-462-01510-6</t>
  </si>
  <si>
    <t>Праздничная мастерская</t>
  </si>
  <si>
    <t>Полякова О.В.</t>
  </si>
  <si>
    <t>ИСТОРИЧЕСКИЙ ПРОЕКТ</t>
  </si>
  <si>
    <t>84х108/32</t>
  </si>
  <si>
    <t>978-5-462-01473-4</t>
  </si>
  <si>
    <t>Иванов Н.С., Черкасов П.П.. Исеров А.А.</t>
  </si>
  <si>
    <t>978-5-462-01466-6</t>
  </si>
  <si>
    <t>Мордвинцев В.Ф., Ларин Е.А.</t>
  </si>
  <si>
    <t>Пираты и мореплаватели</t>
  </si>
  <si>
    <t>978-5-94776-906-7</t>
  </si>
  <si>
    <t>Таньшина Н.П.</t>
  </si>
  <si>
    <t>Талейран. Гений дипломатии</t>
  </si>
  <si>
    <t>978-5-462-01199-3</t>
  </si>
  <si>
    <t>Мельникова Л. В. , Хорватова Е.В.</t>
  </si>
  <si>
    <t>978-5-462-01356-0</t>
  </si>
  <si>
    <t>Алексей Михайлович. Тишайший царь с железной хваткой</t>
  </si>
  <si>
    <t>978-5-462-01694-3</t>
  </si>
  <si>
    <t>Старчеус Е. А.</t>
  </si>
  <si>
    <t>Рейтинг</t>
  </si>
  <si>
    <t>978-5-462-01494-9</t>
  </si>
  <si>
    <t>Открытки своими руками</t>
  </si>
  <si>
    <t>Пиндер П., Гринвуд Д., Крейн Д.</t>
  </si>
  <si>
    <t>978-5-462-01509-0</t>
  </si>
  <si>
    <t>Белькова Т.И.</t>
  </si>
  <si>
    <t>978-5-462-01511-3</t>
  </si>
  <si>
    <t>Наши праздники</t>
  </si>
  <si>
    <t>978-5-462-01099-6</t>
  </si>
  <si>
    <t>Пасха и Великий пост</t>
  </si>
  <si>
    <t>Костин А.Ю. сост.</t>
  </si>
  <si>
    <t>84х102/32</t>
  </si>
  <si>
    <t>Александр Невский. Защитник Русской земли</t>
  </si>
  <si>
    <t>978-5-462-01359-1</t>
  </si>
  <si>
    <t>Русский народный календарь. Этнолингвистический словарь</t>
  </si>
  <si>
    <t>978-5-462-01385-0</t>
  </si>
  <si>
    <t>70×100/16</t>
  </si>
  <si>
    <t>978-5-462-01404-8</t>
  </si>
  <si>
    <t>Резные открытки</t>
  </si>
  <si>
    <t>70х100/8</t>
  </si>
  <si>
    <t>Русский орфографический словарь: около 200 000 слов</t>
  </si>
  <si>
    <t>Биология. Справочник для школьников и поступающих в вузы</t>
  </si>
  <si>
    <t>Малиновцева Т.</t>
  </si>
  <si>
    <t>978-5-94776-917-3</t>
  </si>
  <si>
    <t>Винтажный шик. Творим для дома и души</t>
  </si>
  <si>
    <t>978-5-7805-1221-9</t>
  </si>
  <si>
    <t>ОВСЯННИКОВ Ю.</t>
  </si>
  <si>
    <t>ОБл</t>
  </si>
  <si>
    <t>Обл</t>
  </si>
  <si>
    <t>978-5-462-01658-5</t>
  </si>
  <si>
    <t>978-5-462-01725-4</t>
  </si>
  <si>
    <t xml:space="preserve">Джонс Сьюзи </t>
  </si>
  <si>
    <t>978-5-462-01447-5</t>
  </si>
  <si>
    <t>Полимерная глина. Техника. Приемы. Изделия</t>
  </si>
  <si>
    <t xml:space="preserve">Гребенникова Е.А.    </t>
  </si>
  <si>
    <t>Гре Ольга</t>
  </si>
  <si>
    <t>978-5-462-01730-8</t>
  </si>
  <si>
    <t>Брумер Мелани</t>
  </si>
  <si>
    <t>978-5-462-01657-8</t>
  </si>
  <si>
    <t>Проснякова Т.Н.</t>
  </si>
  <si>
    <t>978-5-462-01719-3</t>
  </si>
  <si>
    <t>Окрашивание ткани. Техника шибори</t>
  </si>
  <si>
    <t>978-5-462-01633-2</t>
  </si>
  <si>
    <t>Игрушки из носков. Супермодели за полчаса</t>
  </si>
  <si>
    <t>Пискунова А.Ю.</t>
  </si>
  <si>
    <t>Португальский язык. Самоучитель для начинающих + CD</t>
  </si>
  <si>
    <t>Язык хинди. Самоучитель для начинающих + CD</t>
  </si>
  <si>
    <t>978-5-462-00793-4</t>
  </si>
  <si>
    <t>Детский мастер-класс</t>
  </si>
  <si>
    <t>978-5-462-01674-5</t>
  </si>
  <si>
    <t>978-5-462-01738-4</t>
  </si>
  <si>
    <t>978-5-462-01739-1</t>
  </si>
  <si>
    <t>ХОББИТЕКА ДЕТЯМ</t>
  </si>
  <si>
    <t>Словарь современной русской фразеологии</t>
  </si>
  <si>
    <t>978-5-462-01515-1</t>
  </si>
  <si>
    <t>Жуков А.В., Жукова М.Е</t>
  </si>
  <si>
    <t>Две войны - одна победа</t>
  </si>
  <si>
    <t>978-5-462-01624-0</t>
  </si>
  <si>
    <t>Смирнов В.П.</t>
  </si>
  <si>
    <t>Детская библиотека увлечений</t>
  </si>
  <si>
    <t>978-5-462-01756-8</t>
  </si>
  <si>
    <t>Паутнер Норберт</t>
  </si>
  <si>
    <t>0+</t>
  </si>
  <si>
    <t>978-5-462-01106-1</t>
  </si>
  <si>
    <t>Шведский язык. Самоучитель для начинающих + CD</t>
  </si>
  <si>
    <t>978-5-94776-919-7</t>
  </si>
  <si>
    <t xml:space="preserve">Виноградов В.Н.               </t>
  </si>
  <si>
    <t>Отто фон Бисмарк. Объединение Германии железом и кровью</t>
  </si>
  <si>
    <t>978-5-462-01710-0</t>
  </si>
  <si>
    <t>Морозова Г.С.</t>
  </si>
  <si>
    <t>Красюкова А.Ю.</t>
  </si>
  <si>
    <t>Доп.тираж. Новая обложка</t>
  </si>
  <si>
    <t>978-5-462-01759-9</t>
  </si>
  <si>
    <t>978-5-462-01760-5</t>
  </si>
  <si>
    <t>Детский хобби-клуб</t>
  </si>
  <si>
    <t>978-5-462-01755-1</t>
  </si>
  <si>
    <t xml:space="preserve">84х108/16 </t>
  </si>
  <si>
    <t>Забавные фигурки. Модульное оригами</t>
  </si>
  <si>
    <t>978-5-462-01752-0</t>
  </si>
  <si>
    <t>Восточный квиллинг. Техника. Приемы. Изделия</t>
  </si>
  <si>
    <t>978-5-462-01753-7</t>
  </si>
  <si>
    <t xml:space="preserve">«Ханди Арт» Центр бумажного творчества </t>
  </si>
  <si>
    <t>978-5-462-01754-4</t>
  </si>
  <si>
    <t>Савельева Г.Н.</t>
  </si>
  <si>
    <t>Хохлова Е.Н.,П.-Г. Бьерен</t>
  </si>
  <si>
    <t xml:space="preserve">Ульциферов О.Г.               </t>
  </si>
  <si>
    <t xml:space="preserve">Белякова Е.И.                 </t>
  </si>
  <si>
    <t>Штрих-код</t>
  </si>
  <si>
    <t>Вес, грамм</t>
  </si>
  <si>
    <t>Английский  язык. Самоучитель для начинающих + CD</t>
  </si>
  <si>
    <t>Окрашивание ткани. Техника тай-дай.</t>
  </si>
  <si>
    <t>БижуТария. Украшения из пластика</t>
  </si>
  <si>
    <t>Кляксы. Рисуем  пальчиками и ладошками</t>
  </si>
  <si>
    <t>Пластилиновая Африка и все, все, все... Дикие животные</t>
  </si>
  <si>
    <t>Зоопарк из газетных трубочек.</t>
  </si>
  <si>
    <t>Вертушки. 14 улетных моделей.</t>
  </si>
  <si>
    <t>Поделки из крышек. Оживи сказку!</t>
  </si>
  <si>
    <t>Забавные животные из крышек.</t>
  </si>
  <si>
    <t>Гирлянда «Борецкий колокольчик»</t>
  </si>
  <si>
    <t>Гирлянда «Ростовский колокольчик»</t>
  </si>
  <si>
    <t>Гирлянда «Пермогорский колокольчик»</t>
  </si>
  <si>
    <t>Гирлянда «Северодвинский колокольчик»</t>
  </si>
  <si>
    <t>Бычок и коровка</t>
  </si>
  <si>
    <t>Два тигренка</t>
  </si>
  <si>
    <t>Дед Мороз, Снегурочка и ёлочка. Набор для детского творчества</t>
  </si>
  <si>
    <t>Заяц и Зайчиха</t>
  </si>
  <si>
    <t>Петушок, Курочка, два цыпленка</t>
  </si>
  <si>
    <t>Слоненок и Крокодил</t>
  </si>
  <si>
    <t>Насекомые</t>
  </si>
  <si>
    <t>Птицы</t>
  </si>
  <si>
    <t>Домашние животные</t>
  </si>
  <si>
    <t>Подводный мир</t>
  </si>
  <si>
    <t>Африканские животные</t>
  </si>
  <si>
    <t>Цветы, фрукты, ягоды</t>
  </si>
  <si>
    <t>Абажуры из бумаги</t>
  </si>
  <si>
    <t>Ажурный квиллинг. Уникальная авторская техника</t>
  </si>
  <si>
    <t>Войлок. Все способы валяния</t>
  </si>
  <si>
    <t>Вышивка шелковыми лентами. Техника. Приемы. Изделия</t>
  </si>
  <si>
    <t>Забавные магниты</t>
  </si>
  <si>
    <t>Забавные шапочки для взрослых и детей.Двадцать вязанных моделей</t>
  </si>
  <si>
    <t>Зловещий аквагрим. 25 мастер-классов</t>
  </si>
  <si>
    <t>Игрушки из картона</t>
  </si>
  <si>
    <t>Имитируем поверхности. Самая полная энциклопедия декоративных техник и материалов</t>
  </si>
  <si>
    <t>Мебель из картона. Техника изготовления</t>
  </si>
  <si>
    <t>Модели из макарон. Техника. Приемы. Изделия</t>
  </si>
  <si>
    <t>Необычный гобелен. Сумки, пояса, игрушки</t>
  </si>
  <si>
    <t>Одежда для собак + выкройки</t>
  </si>
  <si>
    <t>Плетение из бисера и бусин</t>
  </si>
  <si>
    <t>Плоское валяние</t>
  </si>
  <si>
    <t>Проволока. Техника wire wrapping</t>
  </si>
  <si>
    <t>Сутажная вышивка</t>
  </si>
  <si>
    <t>Техника пейп-арт</t>
  </si>
  <si>
    <t>Трафаретная роспись. Все техники и приемы</t>
  </si>
  <si>
    <t>Травянчики</t>
  </si>
  <si>
    <t>Украшаем валенки. 25 способов оригинальной отделки</t>
  </si>
  <si>
    <t>Феи и эльфы. Объемная вышивка. Техника. Приемы. Изделия</t>
  </si>
  <si>
    <t>Фигурки из пробок</t>
  </si>
  <si>
    <t>Фольга. Ажурное плетение</t>
  </si>
  <si>
    <t>Цветы из войлока</t>
  </si>
  <si>
    <t>Эксклюзивный гобелен. Техника. Приемы. Изделия</t>
  </si>
  <si>
    <t>Экспресс-декор. 50 техник по созданию фактур и окрашиванию за четыре шага</t>
  </si>
  <si>
    <t>Модели из палочек от мороженого</t>
  </si>
  <si>
    <t>"Ловцы снов" своими руками</t>
  </si>
  <si>
    <t>Подарки из конфет. Техника свит-дизайн</t>
  </si>
  <si>
    <t>Вышивка крестом. 50 оригинальных идей</t>
  </si>
  <si>
    <t>Вышивка. Пять популярных техник</t>
  </si>
  <si>
    <t>Декоративная бумага. 25 оригинальных изделий</t>
  </si>
  <si>
    <t>Игрушки из войлока</t>
  </si>
  <si>
    <t>Игрушки из помпонов</t>
  </si>
  <si>
    <t>Интарсия</t>
  </si>
  <si>
    <t>Мыло ручной работы</t>
  </si>
  <si>
    <t>Развивающие игрушки</t>
  </si>
  <si>
    <t>Ракушки</t>
  </si>
  <si>
    <t>Сумки шьем сами</t>
  </si>
  <si>
    <t>Точечная роспись. Курс для начинающих. Мастер-класс на дому</t>
  </si>
  <si>
    <t>Быстрый квиллинг</t>
  </si>
  <si>
    <t>Встречаем пасху</t>
  </si>
  <si>
    <t>Вяжем шапочки</t>
  </si>
  <si>
    <t>Дорогая классика своими руками.</t>
  </si>
  <si>
    <t>Игрушки-дергунчики</t>
  </si>
  <si>
    <t>Новогодние игрушки из папье-маше</t>
  </si>
  <si>
    <t>Маленькие куколки за полчаса</t>
  </si>
  <si>
    <t>Объемный квиллинг</t>
  </si>
  <si>
    <t>Фигурки из фетра</t>
  </si>
  <si>
    <t>Цветочные шары</t>
  </si>
  <si>
    <t>Шары в технике артишок</t>
  </si>
  <si>
    <t>Букеты из живых цветов</t>
  </si>
  <si>
    <t>Мебель своими руками</t>
  </si>
  <si>
    <t>Модная вышивка</t>
  </si>
  <si>
    <t>Обратный декупаж</t>
  </si>
  <si>
    <t>Пейп-арт</t>
  </si>
  <si>
    <t>Подарочное мыло</t>
  </si>
  <si>
    <t>Текстильное оформление интерьера</t>
  </si>
  <si>
    <t>Трафаретная печать по ткани</t>
  </si>
  <si>
    <t>Украшения из природных материалов</t>
  </si>
  <si>
    <t>Шторы и подушки</t>
  </si>
  <si>
    <t>Японская вышивка</t>
  </si>
  <si>
    <t>Звездолеты. 5 моделей из бумаги</t>
  </si>
  <si>
    <t>Игрушки из крышек</t>
  </si>
  <si>
    <t>Роботы из крышек</t>
  </si>
  <si>
    <t>Роботы из спичечных коробков</t>
  </si>
  <si>
    <t>Самолеты. 5 моделей из подручных материалов</t>
  </si>
  <si>
    <t>Аппликация из кругов</t>
  </si>
  <si>
    <t>Делаем весёлые открытки</t>
  </si>
  <si>
    <t>Картины из природных материалов</t>
  </si>
  <si>
    <t>Мастерим из ниток и веревочек</t>
  </si>
  <si>
    <t>Мои первые поделки</t>
  </si>
  <si>
    <t>Поделки из бумажных шариков</t>
  </si>
  <si>
    <t>Разноцветные нитки</t>
  </si>
  <si>
    <t>Фигурки из бумаги</t>
  </si>
  <si>
    <t>Пасхальное печенье</t>
  </si>
  <si>
    <t>Пасхальные подарки</t>
  </si>
  <si>
    <t>Пасхальные угощения</t>
  </si>
  <si>
    <t>Отцы-основатели. Рождение США</t>
  </si>
  <si>
    <t>Александр I. Император Европы</t>
  </si>
  <si>
    <t>Владимир Даль. Автор самого популярного словаря</t>
  </si>
  <si>
    <t>Кутузов. Спаситель России</t>
  </si>
  <si>
    <t>Петр  Румянцев. Отец русских полководцев</t>
  </si>
  <si>
    <t>Фёдор Шаляпин. Русский гений оперы</t>
  </si>
  <si>
    <t>Грамматический словарь русского языка</t>
  </si>
  <si>
    <t>Россия. Большой лингвострановедческий словарь</t>
  </si>
  <si>
    <t>Русская диалектология</t>
  </si>
  <si>
    <t>Словарь ударений русского языка</t>
  </si>
  <si>
    <t>Словарь устаревшей лексики к произведениям русской классики</t>
  </si>
  <si>
    <t>Толковый словарь антонимов русского языка</t>
  </si>
  <si>
    <t>Словарь православной лексики в русской литературе 5-11 классы</t>
  </si>
  <si>
    <t>Словарь ударений. Как правильно произносить слова? 1-4 классы</t>
  </si>
  <si>
    <t>Фразеологический словарь русского языка 5-11 классы</t>
  </si>
  <si>
    <t>Словарь аббревиатур иноязычного происхождения</t>
  </si>
  <si>
    <t>Словарь астронимов. Звёздное небо по-русски</t>
  </si>
  <si>
    <t>English. A Practical Course. Практический курс английского языка</t>
  </si>
  <si>
    <t>Итальянский язык. Самоучитель для начинающих + CD</t>
  </si>
  <si>
    <t>Классический сирийский язык</t>
  </si>
  <si>
    <t>Немецкий язык. Самоучитель для начинающих + CD</t>
  </si>
  <si>
    <t>Персидский язык. Самоучитель для начинающих + CD</t>
  </si>
  <si>
    <t>Окружающий мир. 3 класс. Учебник. Часть 1</t>
  </si>
  <si>
    <t>Окружающий мир. 3 класс. Учебник. Часть 2</t>
  </si>
  <si>
    <t>Окружающий мир. 2 класс. Учебник. Часть 1</t>
  </si>
  <si>
    <t>Окружающий мир. 4 класс. Учебник. Часть 1</t>
  </si>
  <si>
    <t>Технология. Я все умею делать сам. 2 класс. Рабочая тетрадь</t>
  </si>
  <si>
    <t>Технология. Я все умею делать сам. 3 класс. Рабочая тетрадь</t>
  </si>
  <si>
    <t>История Отечества. Справочник для школьников и поступающих в вузы</t>
  </si>
  <si>
    <t>Математика. Справочник для старшеклассников и поступающих в вузы</t>
  </si>
  <si>
    <t>Физика. Справочник для школьников и поступающих в вузы</t>
  </si>
  <si>
    <t>Химия. Справочник для школьников и поступающих в вузы</t>
  </si>
  <si>
    <t>В центре внимания - Немецкий язык 1. 7 класс. Учебник</t>
  </si>
  <si>
    <t>В центре внимания - Немецкий язык 1. 7 класс. Рабочая тетрадь</t>
  </si>
  <si>
    <t>В центре внимания - Немецкий язык 1. 7 класс. Сборник проверочных заданий</t>
  </si>
  <si>
    <t>В центре внимания - Немецкий язык 2. 8 класс. Рабочая тетрадь</t>
  </si>
  <si>
    <t>В центре внимания - Немецкий язык 2. 8 класс. Учебник</t>
  </si>
  <si>
    <t>В центре внимания - Немецкий язык 2. 8 класс. Книга для учителя</t>
  </si>
  <si>
    <t>В центре внимания - Немецкий язык 2. 8 класс. Сборник проверочных заданий</t>
  </si>
  <si>
    <t>В центре внимания - Немецкий язык 3. 9 класс. Учебник</t>
  </si>
  <si>
    <t>В центре внимания - Немецкий язык 3. 9 класс. Книга для учителя</t>
  </si>
  <si>
    <t>В центре внимания - Немецкий язык 3. 9 класс. Рабочая тетрадь</t>
  </si>
  <si>
    <t>В центре внимания - Немецкий язык 3. 9 класс. Сборник проверочных работ</t>
  </si>
  <si>
    <t>Ключевое слово - немецкий язык. Компакт. 10-11 классы. CD диск</t>
  </si>
  <si>
    <t>Ключевое слово - немецкий язык. Компакт. 10-11 классы. Книга для учителя</t>
  </si>
  <si>
    <t>Ключевое слово - немецкий язык. Компакт. 10-11 классы. Рабочая тетрадь А</t>
  </si>
  <si>
    <t>Ключевое слово - немецкий язык. Компакт. 10-11 классы. Рабочая тетрадь В</t>
  </si>
  <si>
    <t>Ключевое слово - немецкий язык. Компакт. 10-11 классы. Учебник</t>
  </si>
  <si>
    <t>Бросая вызов притяжению. Экстремальные виды спорта</t>
  </si>
  <si>
    <t>В погоне за штормом. Смертельные игры с самыми сильными бурями мира</t>
  </si>
  <si>
    <t>Вулканы. Рядом со смертельной опасностью</t>
  </si>
  <si>
    <t>Звуки. От самых тихих до самых громких</t>
  </si>
  <si>
    <t>Зона смерти. Как выжить  на высоте 8000 метров</t>
  </si>
  <si>
    <t>Молнии. Огонь, пронзающий небо</t>
  </si>
  <si>
    <t>На гребне волны. Серфинг и наука о волнах</t>
  </si>
  <si>
    <t>Опасные трюки. С риском для жизни</t>
  </si>
  <si>
    <t>Полярная ночь. Жизнь в кромешной темноте</t>
  </si>
  <si>
    <t>Умеющие выживать там, где выжить труднее всего</t>
  </si>
  <si>
    <t>Глобальные катастрофы и тренды</t>
  </si>
  <si>
    <t>Мир на грани. Как предотвратить экологический и экономический коллапс</t>
  </si>
  <si>
    <t>Процветание без роста</t>
  </si>
  <si>
    <t>Религия после атеизма. Новые возможности теологии</t>
  </si>
  <si>
    <t>Фактор 5. Формула устойчивого роста</t>
  </si>
  <si>
    <t>Энергетика: Мифы и реальность</t>
  </si>
  <si>
    <t>Загадки экстрасенсов: Что открыли физики</t>
  </si>
  <si>
    <t>Парадоксы климата</t>
  </si>
  <si>
    <t>Чем мужчина отличается от женщины</t>
  </si>
  <si>
    <t>Что могут витамины? Парадоксы правильного питания</t>
  </si>
  <si>
    <t>Австралийские этюды. О животных и людях пятого континента</t>
  </si>
  <si>
    <t>Год серого гуся</t>
  </si>
  <si>
    <t>Мир серебристой чайки</t>
  </si>
  <si>
    <t>Мы вовсе не такие</t>
  </si>
  <si>
    <t>Мы жили среди бауле</t>
  </si>
  <si>
    <t>Наши братья меньшие</t>
  </si>
  <si>
    <t>Осы, птицы, люди</t>
  </si>
  <si>
    <t>От кобры до медведя гризли</t>
  </si>
  <si>
    <t>Поведение животных</t>
  </si>
  <si>
    <t>Серенгети не должен умереть</t>
  </si>
  <si>
    <t>Гете и Гинкго / Гете. Западно-восточный диван (прост. оформ.)</t>
  </si>
  <si>
    <t>Мужчины о себе. Женщины о себе. Афоризмы (золотой обрез)</t>
  </si>
  <si>
    <t>Мужчины о себе. Женщины о себе. Афоризмы (в футляре)</t>
  </si>
  <si>
    <t>Русские ювелирные украшения XVI-XX века (в коже с золотом)</t>
  </si>
  <si>
    <t>Марис Лиепа. Я хочу танцевать сто лет</t>
  </si>
  <si>
    <t>Вампиры</t>
  </si>
  <si>
    <t>Ведьмы</t>
  </si>
  <si>
    <t>Единороги</t>
  </si>
  <si>
    <t>Крыса</t>
  </si>
  <si>
    <t>Морская свинка</t>
  </si>
  <si>
    <t>Собака</t>
  </si>
  <si>
    <t>Советы опытной няни</t>
  </si>
  <si>
    <t>Сам себе модельер</t>
  </si>
  <si>
    <t>Махровые цветы</t>
  </si>
  <si>
    <t>Полевые цветы</t>
  </si>
  <si>
    <t>Садовые цветы</t>
  </si>
  <si>
    <t>Цветущие ветки</t>
  </si>
  <si>
    <t>Экзотические цветы</t>
  </si>
  <si>
    <t>Оздоровительная система Каролиса Динейки</t>
  </si>
  <si>
    <t>Бельгия и Голландия. 75 лучших рецептов</t>
  </si>
  <si>
    <t>Польша и Чехия. 75 лучших рецептов</t>
  </si>
  <si>
    <t>Немецкий язык. С немецким за приключениями 2. 6 класс: сборник проверочных заданий</t>
  </si>
  <si>
    <t>С немецким за приключениями 2. 6 класс: учебник</t>
  </si>
  <si>
    <t>С немецким за  приключением 2. Рабочая тетрадь к  учебнику немецкого  языка для 6 класса</t>
  </si>
  <si>
    <t>Немецкий язык. С немецким за приключениями  1. 5 класс:Учебник</t>
  </si>
  <si>
    <t>Немецкий язык. С немецким за приключениями 1. 5 класс: рабочая тетрадь</t>
  </si>
  <si>
    <t>Свечи своими руками</t>
  </si>
  <si>
    <t>С немецким за приключениями 1. Сборник проверочных заданий к учебнику немецкого языкадля 5 класса</t>
  </si>
  <si>
    <t>Почему языки такие разные</t>
  </si>
  <si>
    <t>Технология. Я все умею делать сам. 1 класс. Рабочая тетрадь</t>
  </si>
  <si>
    <t>Технология. Маленький мастер. 1 класс. Учебник</t>
  </si>
  <si>
    <t>Технология. Маленький мастер. 2 класс. Учебник</t>
  </si>
  <si>
    <t>Технология. Маленький мастер. 4 класс. Учебник</t>
  </si>
  <si>
    <t>978-5-94776-952-4</t>
  </si>
  <si>
    <t>978-5-94776-953-1</t>
  </si>
  <si>
    <t>978-5-94776-955-5</t>
  </si>
  <si>
    <t>978-5-462-01783-4</t>
  </si>
  <si>
    <t>Плетение из резиночек</t>
  </si>
  <si>
    <t xml:space="preserve">Радужные браслеты из резинок </t>
  </si>
  <si>
    <t>978-5-462-01786-5</t>
  </si>
  <si>
    <t xml:space="preserve">Радужный зоопарк </t>
  </si>
  <si>
    <t>978-5-462-01793-3</t>
  </si>
  <si>
    <t>Плетение из радужных резинок. Браслеты</t>
  </si>
  <si>
    <t>978-5-462-01794-0</t>
  </si>
  <si>
    <t>Ожидаем</t>
  </si>
  <si>
    <t>978-5-462-01766-7</t>
  </si>
  <si>
    <t>Кем ты хочешь стать? Рисуем профессии</t>
  </si>
  <si>
    <t>Лошади и пони</t>
  </si>
  <si>
    <t>В рыцарском замке</t>
  </si>
  <si>
    <t>Плакат-игра</t>
  </si>
  <si>
    <t>978-5-462-01768-1</t>
  </si>
  <si>
    <t>978-5-462-01769-8</t>
  </si>
  <si>
    <t>ООО "АСТ-ПРЕСС КНИГА"</t>
  </si>
  <si>
    <t>ООО "АСТ-ПРЕСС ШКОЛА"</t>
  </si>
  <si>
    <t>ООО "Издательский Дом "АСТ-Пресс"</t>
  </si>
  <si>
    <t>978-5-462-01424-6</t>
  </si>
  <si>
    <t>Деревья из бисера</t>
  </si>
  <si>
    <t>Лоскутное шитье. Мастер-класс на дому</t>
  </si>
  <si>
    <t>978-5-462-01446-8</t>
  </si>
  <si>
    <t>978-5-94464-196-0</t>
  </si>
  <si>
    <t>Повесть о Петре и Февронии</t>
  </si>
  <si>
    <t>Иеромонах Еразм</t>
  </si>
  <si>
    <t>Шедевры поэзии и живописи</t>
  </si>
  <si>
    <t>Вода как женщина. Шедевры поэзии и живописи</t>
  </si>
  <si>
    <t>978-5-462-01503-8</t>
  </si>
  <si>
    <t>Грёзы лета. Шедевры поэзии и живописи</t>
  </si>
  <si>
    <t>978-5-462-01350-8</t>
  </si>
  <si>
    <t>Звезды в снегу</t>
  </si>
  <si>
    <t>978-5-94464-202-8</t>
  </si>
  <si>
    <t>Любви кудесница, Весна</t>
  </si>
  <si>
    <t>978-5-462-01349-2</t>
  </si>
  <si>
    <t>Богданова Т.Л., Солодова Е.А.</t>
  </si>
  <si>
    <t xml:space="preserve">Банакина Л.В.            </t>
  </si>
  <si>
    <t>Курто Мария Роза</t>
  </si>
  <si>
    <t>8+16</t>
  </si>
  <si>
    <t>Боровская Е. Н.</t>
  </si>
  <si>
    <t>Любимой женщине. Комплект из 2-х подарочных книг в бандерольке. (Цветы любви+Вода как женщина)</t>
  </si>
  <si>
    <t>978-5-94464-235-6</t>
  </si>
  <si>
    <t>75x90/32</t>
  </si>
  <si>
    <t>Словарь-тезаурус русских пословиц, поговорок и метких выражений</t>
  </si>
  <si>
    <t>978-5-462-00890-0</t>
  </si>
  <si>
    <t>Словарь иносказаний Пушкина</t>
  </si>
  <si>
    <t>978-5-462-00974-7</t>
  </si>
  <si>
    <t>978-5-462-01764-3</t>
  </si>
  <si>
    <t>Французская революция. Мадам Гильотина и ее дети</t>
  </si>
  <si>
    <t>Словарь модных слов. Языковая картина современности</t>
  </si>
  <si>
    <t>Хоппинг Люси</t>
  </si>
  <si>
    <t>978-5-94776-959-3</t>
  </si>
  <si>
    <t>Заколки из репсовых лент</t>
  </si>
  <si>
    <t>Сандрикова М.В.</t>
  </si>
  <si>
    <t>Комплект «Резные подарки»</t>
  </si>
  <si>
    <t>978-5-462-01778-0</t>
  </si>
  <si>
    <t xml:space="preserve">Зимин В.И.                    </t>
  </si>
  <si>
    <t>Плетение из радужных резинок. Брелоки, фенечки, заколки. Хобби- экспресс</t>
  </si>
  <si>
    <t>Горячева И.А.</t>
  </si>
  <si>
    <t>978-5-462-01785-8</t>
  </si>
  <si>
    <t>Плетение из газет</t>
  </si>
  <si>
    <t>Букеты из конфет</t>
  </si>
  <si>
    <t>Вяжем цветы</t>
  </si>
  <si>
    <t>Вяжем грелки для яиц. Мода вкрутую</t>
  </si>
  <si>
    <t>Топиарии. Деревья счастья</t>
  </si>
  <si>
    <t>Елизавета Петровна. Блистательная императрица</t>
  </si>
  <si>
    <t>978-5-94776-956-2</t>
  </si>
  <si>
    <t>Путеводитель по итории России</t>
  </si>
  <si>
    <t>978-5-462-01763-6</t>
  </si>
  <si>
    <t>Роспись одежды</t>
  </si>
  <si>
    <t>Жанна д'Арк. Подлинная история Орлеанской девы</t>
  </si>
  <si>
    <t>978-5-462-01799-5</t>
  </si>
  <si>
    <t xml:space="preserve">Гулидова О.В.            </t>
  </si>
  <si>
    <t>Технология.  Я все умею делать сам. 4 класс. Рабочая тетрадь</t>
  </si>
  <si>
    <t>Русская роспись</t>
  </si>
  <si>
    <t>978-5-462-01796-4</t>
  </si>
  <si>
    <t>Подарочные коробочки</t>
  </si>
  <si>
    <t>Чепикова И.Ю.</t>
  </si>
  <si>
    <t>Учимся рисовать шаг за шагом</t>
  </si>
  <si>
    <t>978-5-462-01821-3</t>
  </si>
  <si>
    <t>Аппликации из кружочков. 50 головокружительных идей. ДМК</t>
  </si>
  <si>
    <t>Бурлака Е.А.</t>
  </si>
  <si>
    <t>Пэчворк без иглы</t>
  </si>
  <si>
    <t>978-5-462-01806-0</t>
  </si>
  <si>
    <t>Аппликации из листьев</t>
  </si>
  <si>
    <t>Сергей Есенин. Голос русской души</t>
  </si>
  <si>
    <t>978-5-462-01822-0</t>
  </si>
  <si>
    <t>Степанова М. А.</t>
  </si>
  <si>
    <t>978-5-462-01718-6</t>
  </si>
  <si>
    <t>978-5-9907193-1-6</t>
  </si>
  <si>
    <t>Скандинавские узоры. Книга - антистресс</t>
  </si>
  <si>
    <t>978-5-9907193-0-9</t>
  </si>
  <si>
    <t>978-5-9907193-3-0</t>
  </si>
  <si>
    <t>Японские мотивы. Книга - антистресс</t>
  </si>
  <si>
    <t>Сэм Ломан и Shutterstock</t>
  </si>
  <si>
    <t>Фелисити Френч, Джеймс Ньюман Грей, Розалинд Монкс, Салли Морэ, Джули Ингэм</t>
  </si>
  <si>
    <t>Арт-терапия. Раскраски-антистресс</t>
  </si>
  <si>
    <t>ООО "Хоббитека"</t>
  </si>
  <si>
    <t>Новиков Вл.</t>
  </si>
  <si>
    <t>978-5-9907193-7-8</t>
  </si>
  <si>
    <t>978-5-9907193-4-7</t>
  </si>
  <si>
    <t>978-5-9907193-5-4</t>
  </si>
  <si>
    <t>978-5-9907193-6-1</t>
  </si>
  <si>
    <t>Кронхеймер Эн</t>
  </si>
  <si>
    <t>Клойн Рэйчел</t>
  </si>
  <si>
    <t>Мерит Ричард</t>
  </si>
  <si>
    <t>Снежная принцесса. Книга для раскрашивания</t>
  </si>
  <si>
    <t>Сказочный мир. Книга для раскрашивания</t>
  </si>
  <si>
    <t>Алиса в стране чудес. Книга для раскрашивания</t>
  </si>
  <si>
    <t>Силуэты. Книга для раскрашивания</t>
  </si>
  <si>
    <t>Кимекоми. Удивительные шары из ткани. Хобби Клуб</t>
  </si>
  <si>
    <t>978-5-462-01829-9</t>
  </si>
  <si>
    <t>Авгурченко И.В.</t>
  </si>
  <si>
    <t>978-5-462-01828-2</t>
  </si>
  <si>
    <t>Новогодние украшения. Интерьерные венки</t>
  </si>
  <si>
    <t>Захарова О.А.</t>
  </si>
  <si>
    <t>978-5-462-01833-6</t>
  </si>
  <si>
    <t>Плетение из радужных резинок. Модные штучки</t>
  </si>
  <si>
    <t>Орфоэпический словарь русского языка. 9 - 11 классы</t>
  </si>
  <si>
    <t>978-5-462-01802-2</t>
  </si>
  <si>
    <t>Скачедубова Е.С.</t>
  </si>
  <si>
    <t>978-5-9907193-8-5</t>
  </si>
  <si>
    <t>Карты. Книга для раскрашивания</t>
  </si>
  <si>
    <t>Хьюз Натали</t>
  </si>
  <si>
    <t>Большой универсальный словарь русского языка</t>
  </si>
  <si>
    <t>978-5-9907385-0-8</t>
  </si>
  <si>
    <t>9785990738508</t>
  </si>
  <si>
    <t>Морковкин В.В.,Богачева Г.Ф.,Луцкая Н.М.</t>
  </si>
  <si>
    <t>Раевская М.М., Устимова Ж.Б.</t>
  </si>
  <si>
    <t>ООО "Русистика"</t>
  </si>
  <si>
    <t>ООО "АСТ-ПРЕСС СКД"</t>
  </si>
  <si>
    <t>ООО "Словари XXI века"</t>
  </si>
  <si>
    <t>Издатель</t>
  </si>
  <si>
    <t>Волшебные узоры. Книга для раскрашивания</t>
  </si>
  <si>
    <t>978-5-9907367-6-4</t>
  </si>
  <si>
    <t>Вебстер Джоанна</t>
  </si>
  <si>
    <t>Снежинки из офисных стикеров. 3D стик-арт</t>
  </si>
  <si>
    <t>978-5-9907367-8-8</t>
  </si>
  <si>
    <t xml:space="preserve">Зализняк А.А.                 </t>
  </si>
  <si>
    <t xml:space="preserve">Сомов В.П.               </t>
  </si>
  <si>
    <t>978-5-9907385-1-5</t>
  </si>
  <si>
    <t xml:space="preserve">Проснякова Т.Н.          </t>
  </si>
  <si>
    <t>3D. Стик-арт</t>
  </si>
  <si>
    <t>978-5-9907525-0-4</t>
  </si>
  <si>
    <t>9785990752504</t>
  </si>
  <si>
    <t>Вязаная одежда для малышей</t>
  </si>
  <si>
    <t>Демина М.А.</t>
  </si>
  <si>
    <t>Этимологический словарь. Античные корни в русском языке</t>
  </si>
  <si>
    <t>978-5-462-01742-1</t>
  </si>
  <si>
    <t>Ильяхов А.Г.</t>
  </si>
  <si>
    <t>8</t>
  </si>
  <si>
    <t>Испанский язык. Самоучитель продвинутого уровня + CD</t>
  </si>
  <si>
    <t>264</t>
  </si>
  <si>
    <t>Физика. Новый тематический справочник для старшеклассников и поступающих в вузы</t>
  </si>
  <si>
    <t>978-5-462-01813-8</t>
  </si>
  <si>
    <t>9785462018138</t>
  </si>
  <si>
    <t>Одинцова Н.И., Старцева Е.В., Прояненкова Л.А.</t>
  </si>
  <si>
    <t>Карташов С.Н, Коничева А.П, Радугина О.Г,Свердлова</t>
  </si>
  <si>
    <t>978-5-9907367-9-5</t>
  </si>
  <si>
    <t>9785990736795</t>
  </si>
  <si>
    <t>Браслеты из кожи в стиле "Регализ"</t>
  </si>
  <si>
    <t>Никифорова Х.Р</t>
  </si>
  <si>
    <t>978-5-9907525-9-7</t>
  </si>
  <si>
    <t>9785990752597</t>
  </si>
  <si>
    <t>Волосова Е.Е.</t>
  </si>
  <si>
    <t>Детские куклы и обереги</t>
  </si>
  <si>
    <t>978-5-9907367-7-1</t>
  </si>
  <si>
    <t>9785990736771</t>
  </si>
  <si>
    <t>Волкова Я.В.</t>
  </si>
  <si>
    <t>Иванова О.Е.,Лопатин В.В,Нечаева И.В,Чельцова Л</t>
  </si>
  <si>
    <t>В деревне. Книга - игра</t>
  </si>
  <si>
    <t>978-5-462-01825-1</t>
  </si>
  <si>
    <t>9785462018251</t>
  </si>
  <si>
    <t>Ханс-Иоахим Бланк</t>
  </si>
  <si>
    <t>Дворец принцессы. Книга - игра</t>
  </si>
  <si>
    <t>978-5-462-01819-0</t>
  </si>
  <si>
    <t>9785462018190</t>
  </si>
  <si>
    <t>Домик  пони. Книга - игра</t>
  </si>
  <si>
    <t>978-5-462-01818-3</t>
  </si>
  <si>
    <t>Зоопарк. Книга - игра</t>
  </si>
  <si>
    <t>978-5-462-01812-1</t>
  </si>
  <si>
    <t>9785462018121</t>
  </si>
  <si>
    <t>Пираты. Книга - игра</t>
  </si>
  <si>
    <t>978-5-462-01817-6</t>
  </si>
  <si>
    <t>9785462018176</t>
  </si>
  <si>
    <t>Рыцарский замок. Книга - игра</t>
  </si>
  <si>
    <t>978-5-462-01824-4</t>
  </si>
  <si>
    <t>9785462018244</t>
  </si>
  <si>
    <t>Книга-игра</t>
  </si>
  <si>
    <t>Подарки своими руками. Винтаж и шебби-шик</t>
  </si>
  <si>
    <t xml:space="preserve"> ФГОС</t>
  </si>
  <si>
    <t>Магический мир</t>
  </si>
  <si>
    <t>Рисуем в стиле русский лубок</t>
  </si>
  <si>
    <t>978-5-9907525-4-2</t>
  </si>
  <si>
    <t>9785990752542</t>
  </si>
  <si>
    <t>Вот так!</t>
  </si>
  <si>
    <t xml:space="preserve">Величко Н.К.   </t>
  </si>
  <si>
    <t>Путеводитель по истории мира</t>
  </si>
  <si>
    <t>978-5-462-01841-1</t>
  </si>
  <si>
    <t>978-5-9907527-4-0</t>
  </si>
  <si>
    <t xml:space="preserve">Портер А., Ван Дам А., Четри К., Картер К., Дэвис </t>
  </si>
  <si>
    <t>Спокойной ночи. Мини-книга антистресс</t>
  </si>
  <si>
    <t>978-5-9907527-1-9</t>
  </si>
  <si>
    <t>Северная красота. Мини-книга антистресс</t>
  </si>
  <si>
    <t>978-5-9907527-3-3</t>
  </si>
  <si>
    <t>Френч Ф., Н. Грей, Р. Монкс, С. Морэ, Д. Ингэм</t>
  </si>
  <si>
    <t>Ветка сакуры. Мини-книга антистресс</t>
  </si>
  <si>
    <t>978-5-9907527-2-6</t>
  </si>
  <si>
    <t>Портер А.,Ван Дам А., Уайлд С.</t>
  </si>
  <si>
    <t>Влюбленные сердца. Мини-книга антистресс</t>
  </si>
  <si>
    <t>978-5-462-01436-9</t>
  </si>
  <si>
    <t>Суперподелки из бумаги</t>
  </si>
  <si>
    <t>Комплект "Готовимся к праздникам: подарки для наших любимых"</t>
  </si>
  <si>
    <t>978-5-462-01842-8</t>
  </si>
  <si>
    <t>Малиновцева Т.,Волосова Е.Е.,Чепикова И.Ю.</t>
  </si>
  <si>
    <t>978-5-9907527-7-1</t>
  </si>
  <si>
    <t>978-5-9907526-2-7</t>
  </si>
  <si>
    <t>Кронхеймер Эн,Клойн Рэйчел, Мерит Ричард</t>
  </si>
  <si>
    <t>Выдающиеся мастера</t>
  </si>
  <si>
    <t>Андрей Миронов глазами друзей (юбилейное издание)</t>
  </si>
  <si>
    <t>978-5-462-01840-4</t>
  </si>
  <si>
    <t>Моя профессия - Дон Кихот (юбилейное издание)</t>
  </si>
  <si>
    <t>978-5-462-01714-8</t>
  </si>
  <si>
    <t>Универсальный словарь. Как писать и говорить правильно? 1-4 классы</t>
  </si>
  <si>
    <t>978-5-462-01215-0</t>
  </si>
  <si>
    <t>Зотова С.В.</t>
  </si>
  <si>
    <t>Морфемно-словообразовательный словарь русского языка 5-11 классы</t>
  </si>
  <si>
    <t>978-5-462-00922-8</t>
  </si>
  <si>
    <t>Зайкова Е.С., Попова Т.В.</t>
  </si>
  <si>
    <t>Словарь грамматических трудностей русского языка 5-11 классы</t>
  </si>
  <si>
    <t>978-5-462-01248-8</t>
  </si>
  <si>
    <t>Этимологический словарь русского языка 7-11 классы</t>
  </si>
  <si>
    <t>978-5-462-01015-6</t>
  </si>
  <si>
    <t>Березович Е.Л., Галинова Н.В.</t>
  </si>
  <si>
    <t>7Биц</t>
  </si>
  <si>
    <t>На сон грядущий. Раскрашиваем и отдыхаем. Книга - антистресс</t>
  </si>
  <si>
    <t xml:space="preserve">Зельдин В.                    </t>
  </si>
  <si>
    <t xml:space="preserve">60х90/16 </t>
  </si>
  <si>
    <t xml:space="preserve">Поюровский Б.М.              </t>
  </si>
  <si>
    <t>Комплект " Раскрась сказку: добавь цвета любимым героям"</t>
  </si>
  <si>
    <t>Комплект. Арт-терапия. Раскраски-антистресс</t>
  </si>
  <si>
    <t>9785462014918</t>
  </si>
  <si>
    <t>Грузинцева О.П.</t>
  </si>
  <si>
    <t>9785462017520</t>
  </si>
  <si>
    <t>9785462012686</t>
  </si>
  <si>
    <t>9785462017537</t>
  </si>
  <si>
    <t>9785462014857</t>
  </si>
  <si>
    <t>9785947768961</t>
  </si>
  <si>
    <t>9785462014581</t>
  </si>
  <si>
    <t>9785462013621</t>
  </si>
  <si>
    <t>9785462015182</t>
  </si>
  <si>
    <t>9785462014642</t>
  </si>
  <si>
    <t>9785462010910</t>
  </si>
  <si>
    <t>9785462011092</t>
  </si>
  <si>
    <t>9785462017308</t>
  </si>
  <si>
    <t>9785462014079</t>
  </si>
  <si>
    <t>9785462015366</t>
  </si>
  <si>
    <t>9785462014475</t>
  </si>
  <si>
    <t>9785462014956</t>
  </si>
  <si>
    <t>9785462012969</t>
  </si>
  <si>
    <t>9785462015205</t>
  </si>
  <si>
    <t>9785462013645</t>
  </si>
  <si>
    <t>9785462015359</t>
  </si>
  <si>
    <t>9785462012792</t>
  </si>
  <si>
    <t>9785944641663</t>
  </si>
  <si>
    <t>9785462014901</t>
  </si>
  <si>
    <t>9785462012068</t>
  </si>
  <si>
    <t>9785462015175</t>
  </si>
  <si>
    <t>9785462009730</t>
  </si>
  <si>
    <t>9785462014031</t>
  </si>
  <si>
    <t>9785462012716</t>
  </si>
  <si>
    <t>9785462010187</t>
  </si>
  <si>
    <t>9785462010347</t>
  </si>
  <si>
    <t>9785462014246</t>
  </si>
  <si>
    <t>9785462014451</t>
  </si>
  <si>
    <t>9785462011610</t>
  </si>
  <si>
    <t>9785462011313</t>
  </si>
  <si>
    <t>9785462014468</t>
  </si>
  <si>
    <t>9785462014284</t>
  </si>
  <si>
    <t>9785462014949</t>
  </si>
  <si>
    <t>9785462014307</t>
  </si>
  <si>
    <t>9785462011306</t>
  </si>
  <si>
    <t>9785462012815</t>
  </si>
  <si>
    <t>9785462016578</t>
  </si>
  <si>
    <t>9785462012976</t>
  </si>
  <si>
    <t>9785462018299</t>
  </si>
  <si>
    <t>9785462013713</t>
  </si>
  <si>
    <t>9785462011757</t>
  </si>
  <si>
    <t>9785462012822</t>
  </si>
  <si>
    <t>9785462017018</t>
  </si>
  <si>
    <t>9785462012471</t>
  </si>
  <si>
    <t>9785462016868</t>
  </si>
  <si>
    <t>9785462013867</t>
  </si>
  <si>
    <t>9785462012990</t>
  </si>
  <si>
    <t>9785462011771</t>
  </si>
  <si>
    <t>9785462011825</t>
  </si>
  <si>
    <t>9785462011801</t>
  </si>
  <si>
    <t>9785462011931</t>
  </si>
  <si>
    <t>64</t>
  </si>
  <si>
    <t>9785462011887</t>
  </si>
  <si>
    <t>9785462011948</t>
  </si>
  <si>
    <t>9785462011955</t>
  </si>
  <si>
    <t>9785462011870</t>
  </si>
  <si>
    <t>9785462012365</t>
  </si>
  <si>
    <t>9785462014383</t>
  </si>
  <si>
    <t>9785462012556</t>
  </si>
  <si>
    <t>9785462012563</t>
  </si>
  <si>
    <t>978-5-462-01258-7</t>
  </si>
  <si>
    <t>9785462012587</t>
  </si>
  <si>
    <t>Конструируем из бумаги</t>
  </si>
  <si>
    <t>9785462012594</t>
  </si>
  <si>
    <t>978-5-462-01415-4</t>
  </si>
  <si>
    <t>9785462014154</t>
  </si>
  <si>
    <t>Мой домик из пластилина</t>
  </si>
  <si>
    <t>9785462012518</t>
  </si>
  <si>
    <t>978-5-462-01412-3</t>
  </si>
  <si>
    <t>9785462014123</t>
  </si>
  <si>
    <t>Пластилиновые человечки</t>
  </si>
  <si>
    <t>9785462012570</t>
  </si>
  <si>
    <t>9785462012549</t>
  </si>
  <si>
    <t>9785462014369</t>
  </si>
  <si>
    <t>9785462014376</t>
  </si>
  <si>
    <t>9785462013232</t>
  </si>
  <si>
    <t>9785462013225</t>
  </si>
  <si>
    <t>9785462013256</t>
  </si>
  <si>
    <t>9785462013218</t>
  </si>
  <si>
    <t>9785462013010</t>
  </si>
  <si>
    <t>9785462013249</t>
  </si>
  <si>
    <t>9785462013423</t>
  </si>
  <si>
    <t>9785462013430</t>
  </si>
  <si>
    <t>9785462013447</t>
  </si>
  <si>
    <t>9785462013454</t>
  </si>
  <si>
    <t>9785462013461</t>
  </si>
  <si>
    <t>9785462013478</t>
  </si>
  <si>
    <t>9785462015090</t>
  </si>
  <si>
    <t>9785462015113</t>
  </si>
  <si>
    <t>9785462014888</t>
  </si>
  <si>
    <t>9785462015076</t>
  </si>
  <si>
    <t>9785462015021</t>
  </si>
  <si>
    <t>9785462014871</t>
  </si>
  <si>
    <t>9785462010712</t>
  </si>
  <si>
    <t>9785462017599</t>
  </si>
  <si>
    <t>9785462015335</t>
  </si>
  <si>
    <t>9785462017254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</si>
</sst>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БЦ&quot;"/>
    <numFmt numFmtId="173" formatCode="0.0"/>
    <numFmt numFmtId="174" formatCode="#,##0_р_."/>
    <numFmt numFmtId="175" formatCode="0&quot;БЦ&quot;"/>
    <numFmt numFmtId="176" formatCode="0&quot;БИЦ&quot;"/>
    <numFmt numFmtId="177" formatCode="0&quot;Б&quot;"/>
    <numFmt numFmtId="178" formatCode="0.000"/>
    <numFmt numFmtId="179" formatCode="0&quot; +&quot;"/>
    <numFmt numFmtId="180" formatCode="#,##0.0;[Red]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&quot; БИЦ&quot;"/>
    <numFmt numFmtId="187" formatCode="#,##0.0"/>
    <numFmt numFmtId="188" formatCode="000"/>
    <numFmt numFmtId="189" formatCode="0000"/>
    <numFmt numFmtId="190" formatCode="00000"/>
    <numFmt numFmtId="191" formatCode="0000000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8"/>
      <color indexed="8"/>
      <name val="Arial"/>
      <family val="2"/>
    </font>
    <font>
      <b/>
      <sz val="12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7"/>
      <name val="Arial"/>
      <family val="2"/>
    </font>
    <font>
      <sz val="9"/>
      <name val="Arial"/>
      <family val="2"/>
    </font>
    <font>
      <b/>
      <u val="single"/>
      <sz val="10"/>
      <color indexed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b/>
      <sz val="10"/>
      <color indexed="30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9"/>
      <color indexed="30"/>
      <name val="Arial"/>
      <family val="2"/>
    </font>
    <font>
      <b/>
      <i/>
      <u val="single"/>
      <sz val="10"/>
      <color indexed="55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30"/>
      <name val="Britannic Bold"/>
      <family val="2"/>
    </font>
    <font>
      <b/>
      <u val="single"/>
      <sz val="11"/>
      <name val="Arial"/>
      <family val="2"/>
    </font>
    <font>
      <sz val="9"/>
      <color indexed="30"/>
      <name val="Britannic Bold"/>
      <family val="2"/>
    </font>
    <font>
      <u val="single"/>
      <sz val="9"/>
      <color indexed="12"/>
      <name val="Arial Cyr"/>
      <family val="0"/>
    </font>
    <font>
      <b/>
      <sz val="18"/>
      <name val="Arial"/>
      <family val="2"/>
    </font>
    <font>
      <b/>
      <sz val="9"/>
      <color indexed="30"/>
      <name val="Britannic Bold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9"/>
      <color indexed="8"/>
      <name val="Arial"/>
      <family val="2"/>
    </font>
    <font>
      <b/>
      <sz val="12"/>
      <color indexed="3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hair"/>
      <right/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thin"/>
      <top>
        <color indexed="63"/>
      </top>
      <bottom/>
    </border>
    <border>
      <left style="medium"/>
      <right/>
      <top style="hair"/>
      <bottom style="hair"/>
    </border>
    <border>
      <left/>
      <right style="thin"/>
      <top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/>
      <right style="medium"/>
      <top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4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2" borderId="0" applyNumberFormat="0" applyBorder="0" applyAlignment="0" applyProtection="0"/>
    <xf numFmtId="0" fontId="43" fillId="8" borderId="0" applyNumberFormat="0" applyBorder="0" applyAlignment="0" applyProtection="0"/>
    <xf numFmtId="0" fontId="44" fillId="3" borderId="1" applyNumberFormat="0" applyAlignment="0" applyProtection="0"/>
    <xf numFmtId="0" fontId="45" fillId="5" borderId="2" applyNumberFormat="0" applyAlignment="0" applyProtection="0"/>
    <xf numFmtId="0" fontId="46" fillId="5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50" fillId="11" borderId="7" applyNumberFormat="0" applyAlignment="0" applyProtection="0"/>
    <xf numFmtId="0" fontId="51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left"/>
      <protection/>
    </xf>
    <xf numFmtId="0" fontId="7" fillId="0" borderId="0">
      <alignment horizontal="left"/>
      <protection/>
    </xf>
    <xf numFmtId="0" fontId="7" fillId="0" borderId="0">
      <alignment horizontal="left"/>
      <protection/>
    </xf>
    <xf numFmtId="0" fontId="7" fillId="0" borderId="0">
      <alignment horizontal="left"/>
      <protection/>
    </xf>
    <xf numFmtId="0" fontId="53" fillId="0" borderId="0" applyNumberFormat="0" applyFill="0" applyBorder="0" applyAlignment="0" applyProtection="0"/>
    <xf numFmtId="0" fontId="54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1809">
    <xf numFmtId="0" fontId="0" fillId="0" borderId="0" xfId="0" applyAlignment="1">
      <alignment/>
    </xf>
    <xf numFmtId="1" fontId="4" fillId="0" borderId="0" xfId="0" applyNumberFormat="1" applyFont="1" applyAlignment="1">
      <alignment horizontal="left" vertical="top"/>
    </xf>
    <xf numFmtId="1" fontId="5" fillId="0" borderId="0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/>
    </xf>
    <xf numFmtId="0" fontId="2" fillId="5" borderId="10" xfId="0" applyFont="1" applyFill="1" applyBorder="1" applyAlignment="1">
      <alignment horizontal="left" vertical="top"/>
    </xf>
    <xf numFmtId="0" fontId="15" fillId="0" borderId="10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17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18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/>
    </xf>
    <xf numFmtId="0" fontId="16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18" fillId="0" borderId="16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1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top"/>
    </xf>
    <xf numFmtId="0" fontId="2" fillId="5" borderId="15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5" borderId="10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18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/>
    </xf>
    <xf numFmtId="0" fontId="18" fillId="0" borderId="13" xfId="0" applyFont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8" fillId="5" borderId="10" xfId="0" applyFont="1" applyFill="1" applyBorder="1" applyAlignment="1">
      <alignment horizontal="center" vertical="top"/>
    </xf>
    <xf numFmtId="0" fontId="20" fillId="0" borderId="10" xfId="0" applyNumberFormat="1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6" fillId="0" borderId="1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0" fontId="3" fillId="6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vertical="top" wrapText="1"/>
    </xf>
    <xf numFmtId="0" fontId="3" fillId="6" borderId="0" xfId="0" applyFont="1" applyFill="1" applyBorder="1" applyAlignment="1">
      <alignment horizontal="center" vertical="top"/>
    </xf>
    <xf numFmtId="1" fontId="12" fillId="6" borderId="0" xfId="0" applyNumberFormat="1" applyFont="1" applyFill="1" applyBorder="1" applyAlignment="1">
      <alignment horizontal="right" vertical="top"/>
    </xf>
    <xf numFmtId="0" fontId="12" fillId="6" borderId="0" xfId="0" applyFont="1" applyFill="1" applyBorder="1" applyAlignment="1">
      <alignment horizontal="right" vertical="top"/>
    </xf>
    <xf numFmtId="0" fontId="12" fillId="6" borderId="18" xfId="0" applyFont="1" applyFill="1" applyBorder="1" applyAlignment="1">
      <alignment horizontal="right" vertical="top"/>
    </xf>
    <xf numFmtId="0" fontId="3" fillId="6" borderId="19" xfId="0" applyFont="1" applyFill="1" applyBorder="1" applyAlignment="1">
      <alignment horizontal="left" vertical="top"/>
    </xf>
    <xf numFmtId="0" fontId="3" fillId="6" borderId="19" xfId="0" applyFont="1" applyFill="1" applyBorder="1" applyAlignment="1">
      <alignment vertical="top" wrapText="1"/>
    </xf>
    <xf numFmtId="0" fontId="3" fillId="6" borderId="19" xfId="0" applyFont="1" applyFill="1" applyBorder="1" applyAlignment="1">
      <alignment horizontal="center" vertical="top"/>
    </xf>
    <xf numFmtId="1" fontId="12" fillId="6" borderId="19" xfId="0" applyNumberFormat="1" applyFont="1" applyFill="1" applyBorder="1" applyAlignment="1">
      <alignment horizontal="right" vertical="top"/>
    </xf>
    <xf numFmtId="0" fontId="12" fillId="6" borderId="19" xfId="0" applyFont="1" applyFill="1" applyBorder="1" applyAlignment="1">
      <alignment horizontal="right" vertical="top"/>
    </xf>
    <xf numFmtId="0" fontId="3" fillId="6" borderId="20" xfId="0" applyFont="1" applyFill="1" applyBorder="1" applyAlignment="1">
      <alignment vertical="top" wrapText="1"/>
    </xf>
    <xf numFmtId="0" fontId="3" fillId="6" borderId="20" xfId="0" applyFont="1" applyFill="1" applyBorder="1" applyAlignment="1">
      <alignment horizontal="center" vertical="top"/>
    </xf>
    <xf numFmtId="0" fontId="3" fillId="6" borderId="20" xfId="0" applyFont="1" applyFill="1" applyBorder="1" applyAlignment="1">
      <alignment horizontal="left" vertical="top"/>
    </xf>
    <xf numFmtId="1" fontId="12" fillId="6" borderId="20" xfId="0" applyNumberFormat="1" applyFont="1" applyFill="1" applyBorder="1" applyAlignment="1">
      <alignment horizontal="right" vertical="top"/>
    </xf>
    <xf numFmtId="0" fontId="12" fillId="6" borderId="20" xfId="0" applyFont="1" applyFill="1" applyBorder="1" applyAlignment="1">
      <alignment horizontal="right" vertical="top"/>
    </xf>
    <xf numFmtId="0" fontId="12" fillId="6" borderId="21" xfId="0" applyFont="1" applyFill="1" applyBorder="1" applyAlignment="1">
      <alignment horizontal="right" vertical="top"/>
    </xf>
    <xf numFmtId="1" fontId="0" fillId="0" borderId="13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/>
    </xf>
    <xf numFmtId="0" fontId="18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1" fontId="0" fillId="0" borderId="0" xfId="0" applyNumberFormat="1" applyFont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1" fontId="0" fillId="0" borderId="24" xfId="0" applyNumberFormat="1" applyFont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16" fillId="6" borderId="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2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18" fillId="5" borderId="26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left" vertical="top"/>
    </xf>
    <xf numFmtId="0" fontId="15" fillId="0" borderId="10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1" fontId="0" fillId="0" borderId="24" xfId="0" applyNumberFormat="1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12" fillId="6" borderId="27" xfId="0" applyFont="1" applyFill="1" applyBorder="1" applyAlignment="1">
      <alignment horizontal="left" vertical="top"/>
    </xf>
    <xf numFmtId="0" fontId="3" fillId="6" borderId="27" xfId="0" applyFont="1" applyFill="1" applyBorder="1" applyAlignment="1">
      <alignment vertical="top" wrapText="1"/>
    </xf>
    <xf numFmtId="0" fontId="3" fillId="6" borderId="27" xfId="0" applyFont="1" applyFill="1" applyBorder="1" applyAlignment="1">
      <alignment horizontal="center" vertical="top"/>
    </xf>
    <xf numFmtId="0" fontId="3" fillId="6" borderId="27" xfId="0" applyFont="1" applyFill="1" applyBorder="1" applyAlignment="1">
      <alignment horizontal="left" vertical="top"/>
    </xf>
    <xf numFmtId="1" fontId="12" fillId="6" borderId="27" xfId="0" applyNumberFormat="1" applyFont="1" applyFill="1" applyBorder="1" applyAlignment="1">
      <alignment horizontal="right" vertical="top"/>
    </xf>
    <xf numFmtId="0" fontId="12" fillId="6" borderId="27" xfId="0" applyFont="1" applyFill="1" applyBorder="1" applyAlignment="1">
      <alignment horizontal="right" vertical="top"/>
    </xf>
    <xf numFmtId="0" fontId="12" fillId="6" borderId="28" xfId="0" applyFont="1" applyFill="1" applyBorder="1" applyAlignment="1">
      <alignment horizontal="right" vertical="top"/>
    </xf>
    <xf numFmtId="0" fontId="22" fillId="0" borderId="10" xfId="0" applyFont="1" applyBorder="1" applyAlignment="1">
      <alignment horizontal="left"/>
    </xf>
    <xf numFmtId="181" fontId="12" fillId="6" borderId="28" xfId="0" applyNumberFormat="1" applyFont="1" applyFill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18" fillId="0" borderId="14" xfId="0" applyNumberFormat="1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0" fillId="5" borderId="13" xfId="0" applyFont="1" applyFill="1" applyBorder="1" applyAlignment="1">
      <alignment horizontal="left" vertical="top"/>
    </xf>
    <xf numFmtId="0" fontId="0" fillId="5" borderId="10" xfId="0" applyFont="1" applyFill="1" applyBorder="1" applyAlignment="1">
      <alignment horizontal="left" vertical="top"/>
    </xf>
    <xf numFmtId="0" fontId="0" fillId="5" borderId="12" xfId="0" applyFont="1" applyFill="1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18" fillId="0" borderId="11" xfId="0" applyFont="1" applyBorder="1" applyAlignment="1">
      <alignment horizontal="center" vertical="top"/>
    </xf>
    <xf numFmtId="0" fontId="15" fillId="0" borderId="14" xfId="0" applyNumberFormat="1" applyFont="1" applyBorder="1" applyAlignment="1">
      <alignment horizontal="center" vertical="top"/>
    </xf>
    <xf numFmtId="0" fontId="2" fillId="0" borderId="29" xfId="0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vertical="top" wrapText="1"/>
    </xf>
    <xf numFmtId="0" fontId="15" fillId="0" borderId="14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0" fontId="0" fillId="0" borderId="26" xfId="0" applyNumberFormat="1" applyFont="1" applyFill="1" applyBorder="1" applyAlignment="1">
      <alignment horizontal="right" vertical="top"/>
    </xf>
    <xf numFmtId="172" fontId="0" fillId="0" borderId="16" xfId="0" applyNumberFormat="1" applyFont="1" applyFill="1" applyBorder="1" applyAlignment="1">
      <alignment horizontal="right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16" xfId="0" applyNumberFormat="1" applyFont="1" applyFill="1" applyBorder="1" applyAlignment="1">
      <alignment horizontal="right" vertical="top"/>
    </xf>
    <xf numFmtId="0" fontId="0" fillId="0" borderId="30" xfId="0" applyNumberFormat="1" applyFont="1" applyBorder="1" applyAlignment="1">
      <alignment horizontal="right" vertical="top"/>
    </xf>
    <xf numFmtId="0" fontId="0" fillId="0" borderId="31" xfId="0" applyFont="1" applyBorder="1" applyAlignment="1">
      <alignment horizontal="right" vertical="top"/>
    </xf>
    <xf numFmtId="0" fontId="0" fillId="0" borderId="12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175" fontId="0" fillId="0" borderId="16" xfId="0" applyNumberFormat="1" applyFont="1" applyBorder="1" applyAlignment="1">
      <alignment horizontal="right" vertical="top"/>
    </xf>
    <xf numFmtId="0" fontId="15" fillId="0" borderId="13" xfId="0" applyNumberFormat="1" applyFont="1" applyBorder="1" applyAlignment="1">
      <alignment horizontal="center" vertical="top"/>
    </xf>
    <xf numFmtId="0" fontId="0" fillId="0" borderId="32" xfId="0" applyFont="1" applyFill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181" fontId="5" fillId="0" borderId="33" xfId="0" applyNumberFormat="1" applyFont="1" applyBorder="1" applyAlignment="1">
      <alignment horizontal="center" vertical="top" wrapText="1"/>
    </xf>
    <xf numFmtId="1" fontId="0" fillId="0" borderId="13" xfId="80" applyNumberFormat="1" applyFont="1" applyFill="1" applyBorder="1" applyAlignment="1">
      <alignment horizontal="right" vertical="top"/>
      <protection/>
    </xf>
    <xf numFmtId="1" fontId="0" fillId="0" borderId="13" xfId="0" applyNumberFormat="1" applyFont="1" applyBorder="1" applyAlignment="1">
      <alignment horizontal="right" vertical="top"/>
    </xf>
    <xf numFmtId="1" fontId="0" fillId="0" borderId="10" xfId="80" applyNumberFormat="1" applyFont="1" applyFill="1" applyBorder="1" applyAlignment="1">
      <alignment horizontal="right" vertical="top"/>
      <protection/>
    </xf>
    <xf numFmtId="1" fontId="0" fillId="0" borderId="10" xfId="0" applyNumberFormat="1" applyFont="1" applyBorder="1" applyAlignment="1">
      <alignment horizontal="right" vertical="top"/>
    </xf>
    <xf numFmtId="1" fontId="0" fillId="0" borderId="12" xfId="0" applyNumberFormat="1" applyFont="1" applyBorder="1" applyAlignment="1">
      <alignment horizontal="right" vertical="top"/>
    </xf>
    <xf numFmtId="0" fontId="15" fillId="0" borderId="13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/>
    </xf>
    <xf numFmtId="0" fontId="22" fillId="0" borderId="10" xfId="80" applyFont="1" applyBorder="1" applyAlignment="1">
      <alignment horizontal="left" vertical="top"/>
      <protection/>
    </xf>
    <xf numFmtId="0" fontId="0" fillId="0" borderId="10" xfId="80" applyFont="1" applyBorder="1" applyAlignment="1">
      <alignment horizontal="right" vertical="top"/>
      <protection/>
    </xf>
    <xf numFmtId="9" fontId="8" fillId="16" borderId="34" xfId="88" applyFont="1" applyFill="1" applyBorder="1" applyAlignment="1">
      <alignment vertical="top" wrapText="1"/>
    </xf>
    <xf numFmtId="0" fontId="13" fillId="6" borderId="27" xfId="0" applyFont="1" applyFill="1" applyBorder="1" applyAlignment="1">
      <alignment horizontal="left" vertical="center"/>
    </xf>
    <xf numFmtId="0" fontId="0" fillId="5" borderId="13" xfId="0" applyNumberFormat="1" applyFont="1" applyFill="1" applyBorder="1" applyAlignment="1">
      <alignment vertical="top" wrapText="1"/>
    </xf>
    <xf numFmtId="0" fontId="0" fillId="5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1" fontId="0" fillId="0" borderId="13" xfId="0" applyNumberFormat="1" applyFont="1" applyBorder="1" applyAlignment="1">
      <alignment vertical="top" wrapText="1"/>
    </xf>
    <xf numFmtId="0" fontId="14" fillId="5" borderId="23" xfId="83" applyFont="1" applyFill="1" applyBorder="1" applyAlignment="1">
      <alignment horizontal="left" vertical="top"/>
      <protection/>
    </xf>
    <xf numFmtId="1" fontId="0" fillId="0" borderId="11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top"/>
    </xf>
    <xf numFmtId="0" fontId="58" fillId="0" borderId="12" xfId="0" applyFont="1" applyFill="1" applyBorder="1" applyAlignment="1">
      <alignment horizontal="center" vertical="top"/>
    </xf>
    <xf numFmtId="0" fontId="58" fillId="0" borderId="10" xfId="0" applyNumberFormat="1" applyFont="1" applyFill="1" applyBorder="1" applyAlignment="1">
      <alignment horizontal="center" vertical="top" wrapText="1"/>
    </xf>
    <xf numFmtId="0" fontId="58" fillId="0" borderId="16" xfId="0" applyFont="1" applyFill="1" applyBorder="1" applyAlignment="1">
      <alignment horizontal="center" vertical="top"/>
    </xf>
    <xf numFmtId="0" fontId="58" fillId="0" borderId="13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/>
    </xf>
    <xf numFmtId="0" fontId="58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15" fillId="5" borderId="13" xfId="0" applyNumberFormat="1" applyFont="1" applyFill="1" applyBorder="1" applyAlignment="1">
      <alignment horizontal="center" vertical="top" wrapText="1"/>
    </xf>
    <xf numFmtId="0" fontId="15" fillId="5" borderId="10" xfId="0" applyNumberFormat="1" applyFont="1" applyFill="1" applyBorder="1" applyAlignment="1">
      <alignment horizontal="center" vertical="top" wrapText="1"/>
    </xf>
    <xf numFmtId="1" fontId="5" fillId="0" borderId="3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vertical="top"/>
    </xf>
    <xf numFmtId="0" fontId="16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/>
    </xf>
    <xf numFmtId="4" fontId="3" fillId="6" borderId="27" xfId="0" applyNumberFormat="1" applyFont="1" applyFill="1" applyBorder="1" applyAlignment="1">
      <alignment horizontal="right" vertical="top"/>
    </xf>
    <xf numFmtId="4" fontId="3" fillId="2" borderId="10" xfId="0" applyNumberFormat="1" applyFont="1" applyFill="1" applyBorder="1" applyAlignment="1">
      <alignment horizontal="right" vertical="top"/>
    </xf>
    <xf numFmtId="4" fontId="3" fillId="5" borderId="13" xfId="0" applyNumberFormat="1" applyFont="1" applyFill="1" applyBorder="1" applyAlignment="1">
      <alignment horizontal="right" vertical="top"/>
    </xf>
    <xf numFmtId="4" fontId="3" fillId="5" borderId="10" xfId="0" applyNumberFormat="1" applyFont="1" applyFill="1" applyBorder="1" applyAlignment="1">
      <alignment horizontal="right" vertical="top"/>
    </xf>
    <xf numFmtId="4" fontId="3" fillId="5" borderId="12" xfId="0" applyNumberFormat="1" applyFont="1" applyFill="1" applyBorder="1" applyAlignment="1">
      <alignment horizontal="right" vertical="top"/>
    </xf>
    <xf numFmtId="4" fontId="3" fillId="6" borderId="0" xfId="0" applyNumberFormat="1" applyFont="1" applyFill="1" applyBorder="1" applyAlignment="1">
      <alignment horizontal="right" vertical="top"/>
    </xf>
    <xf numFmtId="4" fontId="3" fillId="5" borderId="14" xfId="0" applyNumberFormat="1" applyFont="1" applyFill="1" applyBorder="1" applyAlignment="1">
      <alignment horizontal="right" vertical="top"/>
    </xf>
    <xf numFmtId="4" fontId="3" fillId="5" borderId="11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22" xfId="0" applyNumberFormat="1" applyFont="1" applyFill="1" applyBorder="1" applyAlignment="1">
      <alignment horizontal="right" vertical="top"/>
    </xf>
    <xf numFmtId="4" fontId="3" fillId="0" borderId="25" xfId="0" applyNumberFormat="1" applyFont="1" applyFill="1" applyBorder="1" applyAlignment="1">
      <alignment horizontal="right" vertical="top"/>
    </xf>
    <xf numFmtId="4" fontId="3" fillId="0" borderId="35" xfId="0" applyNumberFormat="1" applyFont="1" applyFill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3" fillId="6" borderId="19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4" fontId="3" fillId="6" borderId="20" xfId="0" applyNumberFormat="1" applyFont="1" applyFill="1" applyBorder="1" applyAlignment="1">
      <alignment horizontal="right" vertical="top"/>
    </xf>
    <xf numFmtId="4" fontId="3" fillId="0" borderId="22" xfId="0" applyNumberFormat="1" applyFont="1" applyBorder="1" applyAlignment="1">
      <alignment horizontal="right" vertical="top"/>
    </xf>
    <xf numFmtId="0" fontId="15" fillId="5" borderId="12" xfId="0" applyNumberFormat="1" applyFont="1" applyFill="1" applyBorder="1" applyAlignment="1">
      <alignment horizontal="center" vertical="top" wrapText="1"/>
    </xf>
    <xf numFmtId="0" fontId="15" fillId="5" borderId="14" xfId="0" applyNumberFormat="1" applyFont="1" applyFill="1" applyBorder="1" applyAlignment="1">
      <alignment horizontal="center" vertical="top" wrapText="1"/>
    </xf>
    <xf numFmtId="3" fontId="15" fillId="5" borderId="13" xfId="0" applyNumberFormat="1" applyFont="1" applyFill="1" applyBorder="1" applyAlignment="1">
      <alignment horizontal="center" vertical="top"/>
    </xf>
    <xf numFmtId="3" fontId="15" fillId="5" borderId="10" xfId="0" applyNumberFormat="1" applyFont="1" applyFill="1" applyBorder="1" applyAlignment="1">
      <alignment horizontal="center" vertical="top"/>
    </xf>
    <xf numFmtId="3" fontId="15" fillId="5" borderId="12" xfId="0" applyNumberFormat="1" applyFont="1" applyFill="1" applyBorder="1" applyAlignment="1">
      <alignment horizontal="center" vertical="top"/>
    </xf>
    <xf numFmtId="0" fontId="58" fillId="0" borderId="10" xfId="0" applyNumberFormat="1" applyFont="1" applyBorder="1" applyAlignment="1">
      <alignment horizontal="center" vertical="top" wrapText="1"/>
    </xf>
    <xf numFmtId="0" fontId="15" fillId="0" borderId="10" xfId="71" applyNumberFormat="1" applyFont="1" applyBorder="1" applyAlignment="1">
      <alignment horizontal="center" vertical="top"/>
      <protection/>
    </xf>
    <xf numFmtId="0" fontId="15" fillId="0" borderId="10" xfId="0" applyNumberFormat="1" applyFont="1" applyFill="1" applyBorder="1" applyAlignment="1">
      <alignment horizontal="center" vertical="top" wrapText="1"/>
    </xf>
    <xf numFmtId="0" fontId="15" fillId="0" borderId="12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79" fontId="0" fillId="0" borderId="12" xfId="0" applyNumberFormat="1" applyFont="1" applyBorder="1" applyAlignment="1">
      <alignment horizontal="left" vertical="top" wrapText="1"/>
    </xf>
    <xf numFmtId="176" fontId="0" fillId="0" borderId="10" xfId="0" applyNumberFormat="1" applyFont="1" applyBorder="1" applyAlignment="1">
      <alignment horizontal="right" vertical="top"/>
    </xf>
    <xf numFmtId="0" fontId="18" fillId="5" borderId="16" xfId="0" applyFont="1" applyFill="1" applyBorder="1" applyAlignment="1">
      <alignment horizontal="center" vertical="top"/>
    </xf>
    <xf numFmtId="0" fontId="59" fillId="0" borderId="11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left" vertical="top"/>
    </xf>
    <xf numFmtId="0" fontId="15" fillId="0" borderId="1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23" xfId="0" applyNumberFormat="1" applyFont="1" applyFill="1" applyBorder="1" applyAlignment="1">
      <alignment horizontal="left" vertical="top"/>
    </xf>
    <xf numFmtId="0" fontId="15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top"/>
    </xf>
    <xf numFmtId="0" fontId="15" fillId="0" borderId="14" xfId="0" applyFont="1" applyFill="1" applyBorder="1" applyAlignment="1">
      <alignment horizontal="center" vertical="top"/>
    </xf>
    <xf numFmtId="0" fontId="0" fillId="0" borderId="12" xfId="0" applyNumberFormat="1" applyFont="1" applyBorder="1" applyAlignment="1">
      <alignment horizontal="right" vertical="top"/>
    </xf>
    <xf numFmtId="4" fontId="3" fillId="0" borderId="35" xfId="0" applyNumberFormat="1" applyFont="1" applyBorder="1" applyAlignment="1">
      <alignment horizontal="right" vertical="top"/>
    </xf>
    <xf numFmtId="0" fontId="15" fillId="0" borderId="11" xfId="0" applyNumberFormat="1" applyFont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vertical="top" wrapText="1"/>
    </xf>
    <xf numFmtId="1" fontId="0" fillId="0" borderId="22" xfId="0" applyNumberFormat="1" applyFont="1" applyFill="1" applyBorder="1" applyAlignment="1">
      <alignment vertical="top" wrapText="1"/>
    </xf>
    <xf numFmtId="0" fontId="18" fillId="0" borderId="22" xfId="0" applyNumberFormat="1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right" vertical="top"/>
    </xf>
    <xf numFmtId="0" fontId="58" fillId="0" borderId="11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5" fillId="2" borderId="10" xfId="71" applyNumberFormat="1" applyFont="1" applyFill="1" applyBorder="1" applyAlignment="1">
      <alignment horizontal="center" vertical="top"/>
      <protection/>
    </xf>
    <xf numFmtId="1" fontId="0" fillId="2" borderId="10" xfId="0" applyNumberFormat="1" applyFont="1" applyFill="1" applyBorder="1" applyAlignment="1">
      <alignment horizontal="right" vertical="top"/>
    </xf>
    <xf numFmtId="1" fontId="0" fillId="0" borderId="14" xfId="0" applyNumberFormat="1" applyFont="1" applyBorder="1" applyAlignment="1">
      <alignment horizontal="right" vertical="top"/>
    </xf>
    <xf numFmtId="1" fontId="0" fillId="0" borderId="11" xfId="0" applyNumberFormat="1" applyFont="1" applyBorder="1" applyAlignment="1">
      <alignment horizontal="right" vertical="top"/>
    </xf>
    <xf numFmtId="1" fontId="0" fillId="0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left" vertical="top"/>
    </xf>
    <xf numFmtId="1" fontId="0" fillId="0" borderId="17" xfId="0" applyNumberFormat="1" applyFont="1" applyBorder="1" applyAlignment="1">
      <alignment horizontal="right" vertical="top"/>
    </xf>
    <xf numFmtId="0" fontId="15" fillId="0" borderId="13" xfId="0" applyNumberFormat="1" applyFont="1" applyFill="1" applyBorder="1" applyAlignment="1">
      <alignment horizontal="center" vertical="top" wrapText="1"/>
    </xf>
    <xf numFmtId="1" fontId="0" fillId="0" borderId="35" xfId="0" applyNumberFormat="1" applyFont="1" applyBorder="1" applyAlignment="1">
      <alignment horizontal="right" vertical="top"/>
    </xf>
    <xf numFmtId="0" fontId="0" fillId="0" borderId="10" xfId="82" applyFont="1" applyBorder="1" applyAlignment="1">
      <alignment horizontal="left" vertical="top"/>
      <protection/>
    </xf>
    <xf numFmtId="0" fontId="0" fillId="0" borderId="15" xfId="0" applyNumberFormat="1" applyFont="1" applyBorder="1" applyAlignment="1">
      <alignment horizontal="right" vertical="top"/>
    </xf>
    <xf numFmtId="0" fontId="0" fillId="0" borderId="10" xfId="82" applyFont="1" applyBorder="1" applyAlignment="1">
      <alignment horizontal="right" vertical="top"/>
      <protection/>
    </xf>
    <xf numFmtId="0" fontId="0" fillId="0" borderId="10" xfId="0" applyFont="1" applyBorder="1" applyAlignment="1">
      <alignment horizontal="right" vertical="top"/>
    </xf>
    <xf numFmtId="0" fontId="0" fillId="5" borderId="14" xfId="0" applyNumberFormat="1" applyFont="1" applyFill="1" applyBorder="1" applyAlignment="1">
      <alignment vertical="top" wrapText="1"/>
    </xf>
    <xf numFmtId="0" fontId="0" fillId="0" borderId="17" xfId="0" applyFont="1" applyBorder="1" applyAlignment="1">
      <alignment horizontal="right" vertical="top"/>
    </xf>
    <xf numFmtId="181" fontId="14" fillId="0" borderId="36" xfId="0" applyNumberFormat="1" applyFont="1" applyFill="1" applyBorder="1" applyAlignment="1">
      <alignment horizontal="right" vertical="top"/>
    </xf>
    <xf numFmtId="181" fontId="14" fillId="0" borderId="32" xfId="0" applyNumberFormat="1" applyFont="1" applyFill="1" applyBorder="1" applyAlignment="1">
      <alignment horizontal="right" vertical="top"/>
    </xf>
    <xf numFmtId="181" fontId="14" fillId="0" borderId="37" xfId="0" applyNumberFormat="1" applyFont="1" applyFill="1" applyBorder="1" applyAlignment="1">
      <alignment horizontal="right" vertical="top"/>
    </xf>
    <xf numFmtId="0" fontId="0" fillId="2" borderId="10" xfId="82" applyFont="1" applyFill="1" applyBorder="1" applyAlignment="1">
      <alignment horizontal="right" vertical="top"/>
      <protection/>
    </xf>
    <xf numFmtId="0" fontId="0" fillId="2" borderId="10" xfId="0" applyFont="1" applyFill="1" applyBorder="1" applyAlignment="1">
      <alignment horizontal="right" vertical="top"/>
    </xf>
    <xf numFmtId="0" fontId="15" fillId="0" borderId="10" xfId="71" applyNumberFormat="1" applyFont="1" applyFill="1" applyBorder="1" applyAlignment="1">
      <alignment horizontal="center" vertical="top"/>
      <protection/>
    </xf>
    <xf numFmtId="0" fontId="15" fillId="0" borderId="13" xfId="71" applyNumberFormat="1" applyFont="1" applyFill="1" applyBorder="1" applyAlignment="1">
      <alignment horizontal="center" vertical="top"/>
      <protection/>
    </xf>
    <xf numFmtId="0" fontId="15" fillId="0" borderId="12" xfId="71" applyNumberFormat="1" applyFont="1" applyFill="1" applyBorder="1" applyAlignment="1">
      <alignment horizontal="center" vertical="top"/>
      <protection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vertical="top" wrapText="1"/>
    </xf>
    <xf numFmtId="0" fontId="58" fillId="0" borderId="12" xfId="0" applyNumberFormat="1" applyFont="1" applyBorder="1" applyAlignment="1">
      <alignment horizontal="center" vertical="top" wrapText="1"/>
    </xf>
    <xf numFmtId="181" fontId="0" fillId="0" borderId="32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 vertical="top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38" xfId="0" applyNumberFormat="1" applyFont="1" applyBorder="1" applyAlignment="1">
      <alignment horizontal="left" vertical="top" wrapText="1"/>
    </xf>
    <xf numFmtId="0" fontId="12" fillId="6" borderId="24" xfId="0" applyFont="1" applyFill="1" applyBorder="1" applyAlignment="1">
      <alignment horizontal="left" vertical="top"/>
    </xf>
    <xf numFmtId="0" fontId="12" fillId="6" borderId="39" xfId="0" applyFont="1" applyFill="1" applyBorder="1" applyAlignment="1">
      <alignment horizontal="left" vertical="top"/>
    </xf>
    <xf numFmtId="0" fontId="12" fillId="6" borderId="40" xfId="0" applyFont="1" applyFill="1" applyBorder="1" applyAlignment="1">
      <alignment horizontal="left" vertical="top"/>
    </xf>
    <xf numFmtId="0" fontId="0" fillId="0" borderId="41" xfId="0" applyFont="1" applyBorder="1" applyAlignment="1">
      <alignment horizontal="left" vertical="top"/>
    </xf>
    <xf numFmtId="0" fontId="12" fillId="6" borderId="42" xfId="0" applyFont="1" applyFill="1" applyBorder="1" applyAlignment="1">
      <alignment horizontal="left" vertical="top"/>
    </xf>
    <xf numFmtId="181" fontId="12" fillId="6" borderId="43" xfId="0" applyNumberFormat="1" applyFont="1" applyFill="1" applyBorder="1" applyAlignment="1">
      <alignment horizontal="right" vertical="top"/>
    </xf>
    <xf numFmtId="181" fontId="14" fillId="0" borderId="44" xfId="0" applyNumberFormat="1" applyFont="1" applyFill="1" applyBorder="1" applyAlignment="1">
      <alignment horizontal="right" vertical="top"/>
    </xf>
    <xf numFmtId="181" fontId="0" fillId="0" borderId="36" xfId="0" applyNumberFormat="1" applyFont="1" applyBorder="1" applyAlignment="1">
      <alignment horizontal="right" vertical="top"/>
    </xf>
    <xf numFmtId="181" fontId="0" fillId="0" borderId="45" xfId="0" applyNumberFormat="1" applyFont="1" applyBorder="1" applyAlignment="1">
      <alignment horizontal="right" vertical="top"/>
    </xf>
    <xf numFmtId="181" fontId="0" fillId="0" borderId="32" xfId="0" applyNumberFormat="1" applyFont="1" applyBorder="1" applyAlignment="1">
      <alignment horizontal="right" vertical="top"/>
    </xf>
    <xf numFmtId="181" fontId="0" fillId="0" borderId="44" xfId="0" applyNumberFormat="1" applyFont="1" applyBorder="1" applyAlignment="1">
      <alignment horizontal="right" vertical="top"/>
    </xf>
    <xf numFmtId="181" fontId="0" fillId="0" borderId="36" xfId="0" applyNumberFormat="1" applyFont="1" applyFill="1" applyBorder="1" applyAlignment="1">
      <alignment horizontal="right" vertical="top"/>
    </xf>
    <xf numFmtId="181" fontId="12" fillId="6" borderId="33" xfId="0" applyNumberFormat="1" applyFont="1" applyFill="1" applyBorder="1" applyAlignment="1">
      <alignment horizontal="right" vertical="top"/>
    </xf>
    <xf numFmtId="181" fontId="12" fillId="6" borderId="46" xfId="0" applyNumberFormat="1" applyFont="1" applyFill="1" applyBorder="1" applyAlignment="1">
      <alignment horizontal="right" vertical="top"/>
    </xf>
    <xf numFmtId="181" fontId="12" fillId="6" borderId="34" xfId="0" applyNumberFormat="1" applyFont="1" applyFill="1" applyBorder="1" applyAlignment="1">
      <alignment horizontal="right" vertical="top"/>
    </xf>
    <xf numFmtId="181" fontId="0" fillId="0" borderId="34" xfId="0" applyNumberFormat="1" applyFont="1" applyBorder="1" applyAlignment="1">
      <alignment horizontal="right" vertical="top"/>
    </xf>
    <xf numFmtId="0" fontId="0" fillId="0" borderId="26" xfId="0" applyFont="1" applyBorder="1" applyAlignment="1">
      <alignment horizontal="right" vertical="top"/>
    </xf>
    <xf numFmtId="0" fontId="0" fillId="5" borderId="12" xfId="0" applyNumberFormat="1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72" fontId="0" fillId="0" borderId="12" xfId="0" applyNumberFormat="1" applyFont="1" applyBorder="1" applyAlignment="1">
      <alignment horizontal="right" vertical="top" wrapText="1"/>
    </xf>
    <xf numFmtId="172" fontId="0" fillId="0" borderId="10" xfId="0" applyNumberFormat="1" applyFont="1" applyBorder="1" applyAlignment="1">
      <alignment horizontal="right" vertical="top"/>
    </xf>
    <xf numFmtId="172" fontId="0" fillId="0" borderId="12" xfId="0" applyNumberFormat="1" applyFont="1" applyBorder="1" applyAlignment="1">
      <alignment horizontal="right" vertical="top"/>
    </xf>
    <xf numFmtId="0" fontId="0" fillId="0" borderId="26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30" xfId="0" applyNumberFormat="1" applyFont="1" applyFill="1" applyBorder="1" applyAlignment="1">
      <alignment horizontal="right" vertical="top"/>
    </xf>
    <xf numFmtId="0" fontId="0" fillId="0" borderId="16" xfId="0" applyFont="1" applyBorder="1" applyAlignment="1">
      <alignment horizontal="right" vertical="top"/>
    </xf>
    <xf numFmtId="9" fontId="0" fillId="2" borderId="10" xfId="0" applyNumberFormat="1" applyFont="1" applyFill="1" applyBorder="1" applyAlignment="1">
      <alignment horizontal="right" vertical="top"/>
    </xf>
    <xf numFmtId="1" fontId="0" fillId="0" borderId="26" xfId="0" applyNumberFormat="1" applyFont="1" applyFill="1" applyBorder="1" applyAlignment="1">
      <alignment horizontal="right" vertical="top"/>
    </xf>
    <xf numFmtId="1" fontId="0" fillId="0" borderId="16" xfId="0" applyNumberFormat="1" applyFont="1" applyFill="1" applyBorder="1" applyAlignment="1">
      <alignment horizontal="right" vertical="top"/>
    </xf>
    <xf numFmtId="1" fontId="0" fillId="0" borderId="16" xfId="0" applyNumberFormat="1" applyFont="1" applyBorder="1" applyAlignment="1">
      <alignment horizontal="right" vertical="top"/>
    </xf>
    <xf numFmtId="1" fontId="0" fillId="0" borderId="26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right" vertical="top"/>
    </xf>
    <xf numFmtId="1" fontId="0" fillId="0" borderId="15" xfId="0" applyNumberFormat="1" applyFont="1" applyBorder="1" applyAlignment="1">
      <alignment horizontal="right" vertical="top"/>
    </xf>
    <xf numFmtId="1" fontId="0" fillId="0" borderId="31" xfId="0" applyNumberFormat="1" applyFont="1" applyBorder="1" applyAlignment="1">
      <alignment horizontal="right" vertical="top"/>
    </xf>
    <xf numFmtId="1" fontId="0" fillId="5" borderId="13" xfId="0" applyNumberFormat="1" applyFont="1" applyFill="1" applyBorder="1" applyAlignment="1">
      <alignment horizontal="right" vertical="top"/>
    </xf>
    <xf numFmtId="1" fontId="0" fillId="5" borderId="10" xfId="0" applyNumberFormat="1" applyFont="1" applyFill="1" applyBorder="1" applyAlignment="1">
      <alignment horizontal="right" vertical="top"/>
    </xf>
    <xf numFmtId="1" fontId="0" fillId="5" borderId="12" xfId="0" applyNumberFormat="1" applyFont="1" applyFill="1" applyBorder="1" applyAlignment="1">
      <alignment horizontal="right" vertical="top"/>
    </xf>
    <xf numFmtId="1" fontId="0" fillId="0" borderId="13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right" vertical="top"/>
    </xf>
    <xf numFmtId="1" fontId="0" fillId="0" borderId="22" xfId="0" applyNumberFormat="1" applyFont="1" applyBorder="1" applyAlignment="1">
      <alignment horizontal="right" vertical="top"/>
    </xf>
    <xf numFmtId="1" fontId="0" fillId="0" borderId="22" xfId="0" applyNumberFormat="1" applyFont="1" applyFill="1" applyBorder="1" applyAlignment="1">
      <alignment horizontal="right" vertical="top"/>
    </xf>
    <xf numFmtId="1" fontId="0" fillId="5" borderId="10" xfId="80" applyNumberFormat="1" applyFont="1" applyFill="1" applyBorder="1" applyAlignment="1">
      <alignment horizontal="right" vertical="top"/>
      <protection/>
    </xf>
    <xf numFmtId="1" fontId="0" fillId="5" borderId="12" xfId="80" applyNumberFormat="1" applyFont="1" applyFill="1" applyBorder="1" applyAlignment="1">
      <alignment horizontal="right" vertical="top"/>
      <protection/>
    </xf>
    <xf numFmtId="1" fontId="0" fillId="5" borderId="25" xfId="80" applyNumberFormat="1" applyFont="1" applyFill="1" applyBorder="1" applyAlignment="1">
      <alignment horizontal="right" vertical="top"/>
      <protection/>
    </xf>
    <xf numFmtId="1" fontId="0" fillId="5" borderId="13" xfId="80" applyNumberFormat="1" applyFont="1" applyFill="1" applyBorder="1" applyAlignment="1">
      <alignment horizontal="right" vertical="top"/>
      <protection/>
    </xf>
    <xf numFmtId="1" fontId="0" fillId="0" borderId="12" xfId="0" applyNumberFormat="1" applyFont="1" applyFill="1" applyBorder="1" applyAlignment="1">
      <alignment horizontal="right" vertical="top"/>
    </xf>
    <xf numFmtId="1" fontId="0" fillId="5" borderId="14" xfId="80" applyNumberFormat="1" applyFont="1" applyFill="1" applyBorder="1" applyAlignment="1">
      <alignment horizontal="right" vertical="top"/>
      <protection/>
    </xf>
    <xf numFmtId="1" fontId="7" fillId="5" borderId="10" xfId="80" applyNumberFormat="1" applyFont="1" applyFill="1" applyBorder="1" applyAlignment="1">
      <alignment horizontal="right" vertical="top"/>
      <protection/>
    </xf>
    <xf numFmtId="1" fontId="0" fillId="0" borderId="25" xfId="0" applyNumberFormat="1" applyFont="1" applyBorder="1" applyAlignment="1">
      <alignment horizontal="right" vertical="top"/>
    </xf>
    <xf numFmtId="1" fontId="0" fillId="5" borderId="11" xfId="80" applyNumberFormat="1" applyFont="1" applyFill="1" applyBorder="1" applyAlignment="1">
      <alignment horizontal="right" vertical="top"/>
      <protection/>
    </xf>
    <xf numFmtId="1" fontId="0" fillId="0" borderId="14" xfId="0" applyNumberFormat="1" applyFont="1" applyFill="1" applyBorder="1" applyAlignment="1">
      <alignment horizontal="right" vertical="top"/>
    </xf>
    <xf numFmtId="1" fontId="0" fillId="0" borderId="12" xfId="0" applyNumberFormat="1" applyFont="1" applyBorder="1" applyAlignment="1">
      <alignment horizontal="right" vertical="top" wrapText="1"/>
    </xf>
    <xf numFmtId="0" fontId="58" fillId="0" borderId="47" xfId="0" applyFont="1" applyFill="1" applyBorder="1" applyAlignment="1">
      <alignment horizontal="center" vertical="top"/>
    </xf>
    <xf numFmtId="0" fontId="15" fillId="5" borderId="10" xfId="0" applyNumberFormat="1" applyFont="1" applyFill="1" applyBorder="1" applyAlignment="1">
      <alignment horizontal="center" vertical="top" wrapText="1"/>
    </xf>
    <xf numFmtId="0" fontId="0" fillId="0" borderId="22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80" applyFont="1" applyBorder="1" applyAlignment="1">
      <alignment horizontal="left" vertical="top"/>
      <protection/>
    </xf>
    <xf numFmtId="0" fontId="0" fillId="0" borderId="12" xfId="80" applyFont="1" applyBorder="1" applyAlignment="1">
      <alignment horizontal="right" vertical="top"/>
      <protection/>
    </xf>
    <xf numFmtId="1" fontId="0" fillId="0" borderId="11" xfId="0" applyNumberFormat="1" applyFont="1" applyBorder="1" applyAlignment="1">
      <alignment horizontal="right" vertical="top" wrapText="1"/>
    </xf>
    <xf numFmtId="0" fontId="0" fillId="0" borderId="37" xfId="80" applyFont="1" applyBorder="1" applyAlignment="1">
      <alignment horizontal="left" vertical="top" wrapText="1"/>
      <protection/>
    </xf>
    <xf numFmtId="0" fontId="0" fillId="0" borderId="16" xfId="80" applyFont="1" applyBorder="1" applyAlignment="1">
      <alignment horizontal="right" vertical="top"/>
      <protection/>
    </xf>
    <xf numFmtId="0" fontId="15" fillId="0" borderId="11" xfId="0" applyNumberFormat="1" applyFont="1" applyFill="1" applyBorder="1" applyAlignment="1">
      <alignment horizontal="center" vertical="top" wrapText="1"/>
    </xf>
    <xf numFmtId="0" fontId="0" fillId="0" borderId="48" xfId="0" applyNumberFormat="1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0" fontId="0" fillId="0" borderId="32" xfId="0" applyNumberFormat="1" applyFont="1" applyBorder="1" applyAlignment="1">
      <alignment horizontal="left" vertical="top" wrapText="1"/>
    </xf>
    <xf numFmtId="0" fontId="0" fillId="0" borderId="37" xfId="0" applyNumberFormat="1" applyFont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1" fontId="0" fillId="0" borderId="25" xfId="0" applyNumberFormat="1" applyFont="1" applyBorder="1" applyAlignment="1">
      <alignment horizontal="right" vertical="top" wrapText="1"/>
    </xf>
    <xf numFmtId="0" fontId="0" fillId="0" borderId="11" xfId="82" applyFont="1" applyBorder="1" applyAlignment="1">
      <alignment horizontal="right" vertical="top"/>
      <protection/>
    </xf>
    <xf numFmtId="0" fontId="2" fillId="0" borderId="14" xfId="0" applyFont="1" applyBorder="1" applyAlignment="1">
      <alignment horizontal="left" vertical="top"/>
    </xf>
    <xf numFmtId="186" fontId="0" fillId="0" borderId="14" xfId="0" applyNumberFormat="1" applyFont="1" applyBorder="1" applyAlignment="1">
      <alignment horizontal="right" vertical="top"/>
    </xf>
    <xf numFmtId="0" fontId="0" fillId="0" borderId="44" xfId="0" applyFont="1" applyBorder="1" applyAlignment="1">
      <alignment horizontal="left" vertical="top"/>
    </xf>
    <xf numFmtId="0" fontId="0" fillId="0" borderId="45" xfId="0" applyNumberFormat="1" applyFont="1" applyBorder="1" applyAlignment="1">
      <alignment horizontal="left" vertical="top" wrapText="1"/>
    </xf>
    <xf numFmtId="1" fontId="0" fillId="0" borderId="17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top"/>
    </xf>
    <xf numFmtId="1" fontId="0" fillId="0" borderId="12" xfId="80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horizontal="right" vertical="top"/>
    </xf>
    <xf numFmtId="0" fontId="5" fillId="0" borderId="33" xfId="0" applyFont="1" applyBorder="1" applyAlignment="1">
      <alignment horizontal="right" vertical="top" wrapText="1"/>
    </xf>
    <xf numFmtId="1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181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1" fontId="0" fillId="0" borderId="0" xfId="0" applyNumberFormat="1" applyFont="1" applyAlignment="1">
      <alignment horizontal="right" vertical="top"/>
    </xf>
    <xf numFmtId="0" fontId="28" fillId="0" borderId="0" xfId="0" applyFont="1" applyAlignment="1">
      <alignment vertical="top"/>
    </xf>
    <xf numFmtId="0" fontId="29" fillId="16" borderId="0" xfId="0" applyFont="1" applyFill="1" applyBorder="1" applyAlignment="1">
      <alignment horizontal="right" vertical="top"/>
    </xf>
    <xf numFmtId="0" fontId="29" fillId="4" borderId="0" xfId="0" applyFont="1" applyFill="1" applyBorder="1" applyAlignment="1">
      <alignment horizontal="right" vertical="top"/>
    </xf>
    <xf numFmtId="174" fontId="8" fillId="4" borderId="34" xfId="0" applyNumberFormat="1" applyFont="1" applyFill="1" applyBorder="1" applyAlignment="1">
      <alignment vertical="top"/>
    </xf>
    <xf numFmtId="0" fontId="28" fillId="0" borderId="28" xfId="0" applyFont="1" applyBorder="1" applyAlignment="1">
      <alignment horizontal="left" vertical="top"/>
    </xf>
    <xf numFmtId="0" fontId="26" fillId="6" borderId="27" xfId="0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right" vertical="top"/>
    </xf>
    <xf numFmtId="0" fontId="31" fillId="2" borderId="10" xfId="42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Border="1" applyAlignment="1">
      <alignment vertical="top" wrapText="1"/>
    </xf>
    <xf numFmtId="9" fontId="0" fillId="5" borderId="14" xfId="0" applyNumberFormat="1" applyFont="1" applyFill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179" fontId="0" fillId="0" borderId="10" xfId="0" applyNumberFormat="1" applyFont="1" applyBorder="1" applyAlignment="1">
      <alignment horizontal="left" vertical="top" wrapText="1"/>
    </xf>
    <xf numFmtId="9" fontId="0" fillId="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/>
    </xf>
    <xf numFmtId="0" fontId="0" fillId="5" borderId="23" xfId="0" applyNumberFormat="1" applyFont="1" applyFill="1" applyBorder="1" applyAlignment="1">
      <alignment horizontal="left" vertical="top"/>
    </xf>
    <xf numFmtId="1" fontId="0" fillId="0" borderId="16" xfId="0" applyNumberFormat="1" applyFont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9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/>
    </xf>
    <xf numFmtId="9" fontId="0" fillId="5" borderId="12" xfId="0" applyNumberFormat="1" applyFont="1" applyFill="1" applyBorder="1" applyAlignment="1">
      <alignment horizontal="right" vertical="top"/>
    </xf>
    <xf numFmtId="0" fontId="0" fillId="5" borderId="38" xfId="0" applyNumberFormat="1" applyFont="1" applyFill="1" applyBorder="1" applyAlignment="1">
      <alignment horizontal="left" vertical="top"/>
    </xf>
    <xf numFmtId="0" fontId="0" fillId="0" borderId="41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center" vertical="center"/>
    </xf>
    <xf numFmtId="9" fontId="0" fillId="0" borderId="13" xfId="0" applyNumberFormat="1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right" vertical="top"/>
    </xf>
    <xf numFmtId="0" fontId="0" fillId="0" borderId="36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right" vertical="top"/>
    </xf>
    <xf numFmtId="0" fontId="0" fillId="0" borderId="48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1" fontId="0" fillId="0" borderId="16" xfId="0" applyNumberFormat="1" applyFont="1" applyFill="1" applyBorder="1" applyAlignment="1" quotePrefix="1">
      <alignment horizontal="right" vertical="top"/>
    </xf>
    <xf numFmtId="0" fontId="0" fillId="0" borderId="49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/>
    </xf>
    <xf numFmtId="49" fontId="0" fillId="0" borderId="26" xfId="0" applyNumberFormat="1" applyFont="1" applyFill="1" applyBorder="1" applyAlignment="1">
      <alignment horizontal="right" vertical="top"/>
    </xf>
    <xf numFmtId="49" fontId="0" fillId="0" borderId="16" xfId="0" applyNumberFormat="1" applyFont="1" applyFill="1" applyBorder="1" applyAlignment="1">
      <alignment horizontal="right" vertical="top"/>
    </xf>
    <xf numFmtId="0" fontId="0" fillId="0" borderId="38" xfId="0" applyFont="1" applyFill="1" applyBorder="1" applyAlignment="1">
      <alignment horizontal="left" vertical="top"/>
    </xf>
    <xf numFmtId="49" fontId="0" fillId="0" borderId="30" xfId="0" applyNumberFormat="1" applyFont="1" applyFill="1" applyBorder="1" applyAlignment="1">
      <alignment horizontal="right" vertical="top"/>
    </xf>
    <xf numFmtId="0" fontId="0" fillId="0" borderId="24" xfId="0" applyFont="1" applyFill="1" applyBorder="1" applyAlignment="1">
      <alignment horizontal="left" vertical="top"/>
    </xf>
    <xf numFmtId="0" fontId="28" fillId="6" borderId="0" xfId="0" applyFont="1" applyFill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/>
    </xf>
    <xf numFmtId="1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right" vertical="top" wrapText="1"/>
    </xf>
    <xf numFmtId="0" fontId="0" fillId="0" borderId="13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 wrapText="1"/>
    </xf>
    <xf numFmtId="9" fontId="0" fillId="5" borderId="25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horizontal="right" vertical="top"/>
    </xf>
    <xf numFmtId="0" fontId="0" fillId="0" borderId="30" xfId="0" applyFont="1" applyBorder="1" applyAlignment="1">
      <alignment horizontal="right" vertical="top"/>
    </xf>
    <xf numFmtId="0" fontId="31" fillId="5" borderId="13" xfId="42" applyNumberFormat="1" applyFont="1" applyFill="1" applyBorder="1" applyAlignment="1" applyProtection="1">
      <alignment horizontal="left" vertical="top"/>
      <protection/>
    </xf>
    <xf numFmtId="181" fontId="0" fillId="5" borderId="36" xfId="0" applyNumberFormat="1" applyFont="1" applyFill="1" applyBorder="1" applyAlignment="1">
      <alignment horizontal="right" vertical="top"/>
    </xf>
    <xf numFmtId="0" fontId="31" fillId="5" borderId="10" xfId="42" applyNumberFormat="1" applyFont="1" applyFill="1" applyBorder="1" applyAlignment="1" applyProtection="1">
      <alignment horizontal="left" vertical="top"/>
      <protection/>
    </xf>
    <xf numFmtId="0" fontId="0" fillId="5" borderId="10" xfId="0" applyNumberFormat="1" applyFont="1" applyFill="1" applyBorder="1" applyAlignment="1">
      <alignment horizontal="right" vertical="top"/>
    </xf>
    <xf numFmtId="175" fontId="0" fillId="5" borderId="10" xfId="0" applyNumberFormat="1" applyFont="1" applyFill="1" applyBorder="1" applyAlignment="1">
      <alignment horizontal="right" vertical="top"/>
    </xf>
    <xf numFmtId="1" fontId="0" fillId="5" borderId="16" xfId="0" applyNumberFormat="1" applyFont="1" applyFill="1" applyBorder="1" applyAlignment="1">
      <alignment horizontal="right" vertical="top"/>
    </xf>
    <xf numFmtId="181" fontId="0" fillId="5" borderId="32" xfId="0" applyNumberFormat="1" applyFont="1" applyFill="1" applyBorder="1" applyAlignment="1">
      <alignment horizontal="right" vertical="top"/>
    </xf>
    <xf numFmtId="0" fontId="31" fillId="5" borderId="12" xfId="42" applyNumberFormat="1" applyFont="1" applyFill="1" applyBorder="1" applyAlignment="1" applyProtection="1">
      <alignment horizontal="left" vertical="top"/>
      <protection/>
    </xf>
    <xf numFmtId="1" fontId="0" fillId="5" borderId="30" xfId="0" applyNumberFormat="1" applyFont="1" applyFill="1" applyBorder="1" applyAlignment="1">
      <alignment horizontal="right" vertical="top"/>
    </xf>
    <xf numFmtId="181" fontId="0" fillId="5" borderId="37" xfId="0" applyNumberFormat="1" applyFont="1" applyFill="1" applyBorder="1" applyAlignment="1">
      <alignment horizontal="right" vertical="top"/>
    </xf>
    <xf numFmtId="9" fontId="0" fillId="5" borderId="13" xfId="0" applyNumberFormat="1" applyFont="1" applyFill="1" applyBorder="1" applyAlignment="1">
      <alignment horizontal="right" vertical="top"/>
    </xf>
    <xf numFmtId="0" fontId="0" fillId="5" borderId="13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181" fontId="0" fillId="0" borderId="37" xfId="0" applyNumberFormat="1" applyFont="1" applyBorder="1" applyAlignment="1">
      <alignment horizontal="right" vertical="top"/>
    </xf>
    <xf numFmtId="0" fontId="31" fillId="5" borderId="14" xfId="42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Border="1" applyAlignment="1">
      <alignment vertical="top" wrapText="1"/>
    </xf>
    <xf numFmtId="0" fontId="31" fillId="0" borderId="13" xfId="42" applyNumberFormat="1" applyFont="1" applyBorder="1" applyAlignment="1" applyProtection="1">
      <alignment horizontal="left" vertical="top"/>
      <protection/>
    </xf>
    <xf numFmtId="0" fontId="0" fillId="0" borderId="13" xfId="0" applyFont="1" applyBorder="1" applyAlignment="1">
      <alignment/>
    </xf>
    <xf numFmtId="0" fontId="0" fillId="5" borderId="16" xfId="0" applyNumberFormat="1" applyFont="1" applyFill="1" applyBorder="1" applyAlignment="1">
      <alignment horizontal="right" vertical="top"/>
    </xf>
    <xf numFmtId="0" fontId="0" fillId="0" borderId="13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horizontal="right" vertical="top"/>
    </xf>
    <xf numFmtId="1" fontId="0" fillId="5" borderId="26" xfId="0" applyNumberFormat="1" applyFont="1" applyFill="1" applyBorder="1" applyAlignment="1">
      <alignment horizontal="right" vertical="top"/>
    </xf>
    <xf numFmtId="0" fontId="0" fillId="5" borderId="12" xfId="0" applyNumberFormat="1" applyFont="1" applyFill="1" applyBorder="1" applyAlignment="1">
      <alignment vertical="top" wrapText="1"/>
    </xf>
    <xf numFmtId="9" fontId="0" fillId="0" borderId="1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47" xfId="0" applyNumberFormat="1" applyFont="1" applyBorder="1" applyAlignment="1">
      <alignment horizontal="right" vertical="top"/>
    </xf>
    <xf numFmtId="175" fontId="0" fillId="0" borderId="10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center"/>
    </xf>
    <xf numFmtId="175" fontId="0" fillId="0" borderId="13" xfId="0" applyNumberFormat="1" applyFont="1" applyBorder="1" applyAlignment="1">
      <alignment horizontal="right" vertical="top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right" vertical="top"/>
    </xf>
    <xf numFmtId="0" fontId="0" fillId="0" borderId="47" xfId="0" applyNumberFormat="1" applyFont="1" applyBorder="1" applyAlignment="1">
      <alignment horizontal="right" vertical="top"/>
    </xf>
    <xf numFmtId="1" fontId="0" fillId="0" borderId="50" xfId="0" applyNumberFormat="1" applyFont="1" applyBorder="1" applyAlignment="1">
      <alignment horizontal="right" vertical="top"/>
    </xf>
    <xf numFmtId="179" fontId="0" fillId="0" borderId="10" xfId="0" applyNumberFormat="1" applyFont="1" applyBorder="1" applyAlignment="1">
      <alignment horizontal="center" vertical="top" wrapText="1"/>
    </xf>
    <xf numFmtId="179" fontId="0" fillId="0" borderId="12" xfId="0" applyNumberFormat="1" applyFont="1" applyBorder="1" applyAlignment="1">
      <alignment horizontal="center" vertical="top" wrapText="1"/>
    </xf>
    <xf numFmtId="1" fontId="0" fillId="0" borderId="51" xfId="0" applyNumberFormat="1" applyFont="1" applyBorder="1" applyAlignment="1">
      <alignment horizontal="right" vertical="top"/>
    </xf>
    <xf numFmtId="9" fontId="0" fillId="0" borderId="13" xfId="0" applyNumberFormat="1" applyFont="1" applyBorder="1" applyAlignment="1">
      <alignment horizontal="right" vertical="top"/>
    </xf>
    <xf numFmtId="0" fontId="0" fillId="0" borderId="41" xfId="0" applyNumberFormat="1" applyFont="1" applyBorder="1" applyAlignment="1">
      <alignment horizontal="left" vertical="top"/>
    </xf>
    <xf numFmtId="0" fontId="31" fillId="0" borderId="10" xfId="42" applyNumberFormat="1" applyFont="1" applyBorder="1" applyAlignment="1" applyProtection="1">
      <alignment horizontal="left" vertical="top"/>
      <protection/>
    </xf>
    <xf numFmtId="0" fontId="31" fillId="0" borderId="14" xfId="42" applyNumberFormat="1" applyFont="1" applyBorder="1" applyAlignment="1" applyProtection="1">
      <alignment horizontal="left" vertical="top"/>
      <protection/>
    </xf>
    <xf numFmtId="9" fontId="0" fillId="0" borderId="14" xfId="0" applyNumberFormat="1" applyFont="1" applyBorder="1" applyAlignment="1">
      <alignment horizontal="right" vertical="top"/>
    </xf>
    <xf numFmtId="0" fontId="0" fillId="0" borderId="49" xfId="0" applyNumberFormat="1" applyFont="1" applyBorder="1" applyAlignment="1">
      <alignment horizontal="left" vertical="top"/>
    </xf>
    <xf numFmtId="0" fontId="30" fillId="0" borderId="13" xfId="42" applyFont="1" applyBorder="1" applyAlignment="1" applyProtection="1">
      <alignment horizontal="left" vertical="top"/>
      <protection/>
    </xf>
    <xf numFmtId="0" fontId="30" fillId="0" borderId="10" xfId="42" applyFont="1" applyBorder="1" applyAlignment="1" applyProtection="1">
      <alignment horizontal="left" vertical="top"/>
      <protection/>
    </xf>
    <xf numFmtId="0" fontId="30" fillId="0" borderId="12" xfId="42" applyFont="1" applyBorder="1" applyAlignment="1" applyProtection="1">
      <alignment horizontal="left" vertical="top"/>
      <protection/>
    </xf>
    <xf numFmtId="9" fontId="0" fillId="0" borderId="12" xfId="0" applyNumberFormat="1" applyFont="1" applyBorder="1" applyAlignment="1">
      <alignment horizontal="right" vertical="top"/>
    </xf>
    <xf numFmtId="0" fontId="0" fillId="0" borderId="38" xfId="0" applyNumberFormat="1" applyFont="1" applyBorder="1" applyAlignment="1">
      <alignment horizontal="left" vertical="top"/>
    </xf>
    <xf numFmtId="0" fontId="0" fillId="0" borderId="13" xfId="0" applyNumberFormat="1" applyFont="1" applyFill="1" applyBorder="1" applyAlignment="1">
      <alignment vertical="top" wrapText="1"/>
    </xf>
    <xf numFmtId="0" fontId="0" fillId="0" borderId="41" xfId="0" applyNumberFormat="1" applyFont="1" applyFill="1" applyBorder="1" applyAlignment="1">
      <alignment horizontal="left" vertical="top"/>
    </xf>
    <xf numFmtId="1" fontId="0" fillId="5" borderId="10" xfId="0" applyNumberFormat="1" applyFont="1" applyFill="1" applyBorder="1" applyAlignment="1">
      <alignment vertical="top" wrapText="1"/>
    </xf>
    <xf numFmtId="0" fontId="30" fillId="5" borderId="10" xfId="42" applyNumberFormat="1" applyFont="1" applyFill="1" applyBorder="1" applyAlignment="1" applyProtection="1">
      <alignment horizontal="left" vertical="top" wrapText="1"/>
      <protection/>
    </xf>
    <xf numFmtId="0" fontId="0" fillId="5" borderId="10" xfId="0" applyFont="1" applyFill="1" applyBorder="1" applyAlignment="1">
      <alignment horizontal="right" vertical="top"/>
    </xf>
    <xf numFmtId="0" fontId="0" fillId="5" borderId="16" xfId="0" applyFont="1" applyFill="1" applyBorder="1" applyAlignment="1">
      <alignment horizontal="right" vertical="top"/>
    </xf>
    <xf numFmtId="1" fontId="0" fillId="5" borderId="12" xfId="0" applyNumberFormat="1" applyFont="1" applyFill="1" applyBorder="1" applyAlignment="1">
      <alignment vertical="top" wrapText="1"/>
    </xf>
    <xf numFmtId="0" fontId="30" fillId="5" borderId="12" xfId="42" applyNumberFormat="1" applyFont="1" applyFill="1" applyBorder="1" applyAlignment="1" applyProtection="1">
      <alignment horizontal="left" vertical="top" wrapText="1"/>
      <protection/>
    </xf>
    <xf numFmtId="0" fontId="0" fillId="5" borderId="12" xfId="0" applyFont="1" applyFill="1" applyBorder="1" applyAlignment="1">
      <alignment horizontal="right" vertical="top"/>
    </xf>
    <xf numFmtId="0" fontId="0" fillId="5" borderId="30" xfId="0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vertical="top" wrapText="1"/>
    </xf>
    <xf numFmtId="0" fontId="30" fillId="0" borderId="11" xfId="42" applyNumberFormat="1" applyFont="1" applyFill="1" applyBorder="1" applyAlignment="1" applyProtection="1">
      <alignment horizontal="left" vertical="top" wrapText="1"/>
      <protection/>
    </xf>
    <xf numFmtId="1" fontId="0" fillId="0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47" xfId="0" applyNumberFormat="1" applyFont="1" applyFill="1" applyBorder="1" applyAlignment="1">
      <alignment horizontal="right" vertical="top"/>
    </xf>
    <xf numFmtId="1" fontId="0" fillId="0" borderId="47" xfId="0" applyNumberFormat="1" applyFont="1" applyFill="1" applyBorder="1" applyAlignment="1">
      <alignment horizontal="right" vertical="top"/>
    </xf>
    <xf numFmtId="0" fontId="0" fillId="0" borderId="48" xfId="0" applyNumberFormat="1" applyFont="1" applyFill="1" applyBorder="1" applyAlignment="1">
      <alignment horizontal="left" vertical="top"/>
    </xf>
    <xf numFmtId="181" fontId="0" fillId="0" borderId="45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vertical="top" wrapText="1"/>
    </xf>
    <xf numFmtId="0" fontId="30" fillId="0" borderId="10" xfId="42" applyNumberFormat="1" applyFont="1" applyFill="1" applyBorder="1" applyAlignment="1" applyProtection="1">
      <alignment horizontal="left" vertical="top" wrapText="1"/>
      <protection/>
    </xf>
    <xf numFmtId="0" fontId="30" fillId="0" borderId="12" xfId="42" applyNumberFormat="1" applyFont="1" applyFill="1" applyBorder="1" applyAlignment="1" applyProtection="1">
      <alignment horizontal="left" vertical="top" wrapText="1"/>
      <protection/>
    </xf>
    <xf numFmtId="1" fontId="0" fillId="0" borderId="30" xfId="0" applyNumberFormat="1" applyFont="1" applyFill="1" applyBorder="1" applyAlignment="1">
      <alignment horizontal="right" vertical="top"/>
    </xf>
    <xf numFmtId="0" fontId="0" fillId="0" borderId="38" xfId="0" applyNumberFormat="1" applyFont="1" applyFill="1" applyBorder="1" applyAlignment="1">
      <alignment horizontal="left" vertical="top"/>
    </xf>
    <xf numFmtId="181" fontId="0" fillId="0" borderId="37" xfId="0" applyNumberFormat="1" applyFont="1" applyFill="1" applyBorder="1" applyAlignment="1">
      <alignment horizontal="right" vertical="top"/>
    </xf>
    <xf numFmtId="0" fontId="30" fillId="0" borderId="13" xfId="42" applyNumberFormat="1" applyFont="1" applyFill="1" applyBorder="1" applyAlignment="1" applyProtection="1">
      <alignment horizontal="left" vertical="top" wrapText="1"/>
      <protection/>
    </xf>
    <xf numFmtId="0" fontId="30" fillId="0" borderId="13" xfId="42" applyFont="1" applyFill="1" applyBorder="1" applyAlignment="1" applyProtection="1">
      <alignment horizontal="left" vertical="top" wrapText="1"/>
      <protection/>
    </xf>
    <xf numFmtId="0" fontId="30" fillId="0" borderId="10" xfId="42" applyFont="1" applyFill="1" applyBorder="1" applyAlignment="1" applyProtection="1">
      <alignment horizontal="left" vertical="top" wrapText="1"/>
      <protection/>
    </xf>
    <xf numFmtId="0" fontId="30" fillId="0" borderId="10" xfId="42" applyFont="1" applyBorder="1" applyAlignment="1" applyProtection="1">
      <alignment horizontal="left" vertical="top" wrapText="1"/>
      <protection/>
    </xf>
    <xf numFmtId="1" fontId="0" fillId="0" borderId="10" xfId="0" applyNumberFormat="1" applyFont="1" applyBorder="1" applyAlignment="1">
      <alignment horizontal="left" vertical="top"/>
    </xf>
    <xf numFmtId="0" fontId="0" fillId="0" borderId="32" xfId="0" applyNumberFormat="1" applyFont="1" applyBorder="1" applyAlignment="1">
      <alignment horizontal="right" vertical="top"/>
    </xf>
    <xf numFmtId="0" fontId="31" fillId="0" borderId="10" xfId="42" applyFont="1" applyBorder="1" applyAlignment="1" applyProtection="1">
      <alignment horizontal="left" vertical="top" wrapText="1"/>
      <protection/>
    </xf>
    <xf numFmtId="175" fontId="0" fillId="0" borderId="16" xfId="0" applyNumberFormat="1" applyFont="1" applyFill="1" applyBorder="1" applyAlignment="1">
      <alignment horizontal="right" vertical="top"/>
    </xf>
    <xf numFmtId="175" fontId="0" fillId="5" borderId="16" xfId="0" applyNumberFormat="1" applyFont="1" applyFill="1" applyBorder="1" applyAlignment="1">
      <alignment horizontal="right" vertical="top"/>
    </xf>
    <xf numFmtId="0" fontId="31" fillId="0" borderId="10" xfId="42" applyNumberFormat="1" applyFont="1" applyFill="1" applyBorder="1" applyAlignment="1" applyProtection="1">
      <alignment horizontal="left" vertical="top" wrapText="1"/>
      <protection/>
    </xf>
    <xf numFmtId="175" fontId="0" fillId="0" borderId="10" xfId="0" applyNumberFormat="1" applyFont="1" applyBorder="1" applyAlignment="1">
      <alignment horizontal="right" vertical="top" wrapText="1"/>
    </xf>
    <xf numFmtId="0" fontId="30" fillId="0" borderId="10" xfId="42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>
      <alignment horizontal="left" vertical="top"/>
    </xf>
    <xf numFmtId="0" fontId="0" fillId="0" borderId="14" xfId="0" applyNumberFormat="1" applyFont="1" applyFill="1" applyBorder="1" applyAlignment="1">
      <alignment vertical="top" wrapText="1"/>
    </xf>
    <xf numFmtId="0" fontId="30" fillId="0" borderId="14" xfId="42" applyNumberFormat="1" applyFont="1" applyFill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>
      <alignment horizontal="right" vertical="top"/>
    </xf>
    <xf numFmtId="1" fontId="0" fillId="0" borderId="15" xfId="0" applyNumberFormat="1" applyFont="1" applyFill="1" applyBorder="1" applyAlignment="1">
      <alignment horizontal="right" vertical="top"/>
    </xf>
    <xf numFmtId="0" fontId="0" fillId="0" borderId="52" xfId="0" applyFont="1" applyBorder="1" applyAlignment="1">
      <alignment vertical="top"/>
    </xf>
    <xf numFmtId="1" fontId="0" fillId="0" borderId="22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vertical="top" wrapText="1"/>
    </xf>
    <xf numFmtId="0" fontId="0" fillId="0" borderId="22" xfId="0" applyNumberFormat="1" applyFont="1" applyBorder="1" applyAlignment="1">
      <alignment horizontal="left" vertical="top"/>
    </xf>
    <xf numFmtId="0" fontId="0" fillId="0" borderId="31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 vertical="top" wrapText="1"/>
    </xf>
    <xf numFmtId="0" fontId="30" fillId="0" borderId="20" xfId="42" applyNumberFormat="1" applyFont="1" applyFill="1" applyBorder="1" applyAlignment="1" applyProtection="1">
      <alignment horizontal="left" vertical="top" wrapText="1"/>
      <protection/>
    </xf>
    <xf numFmtId="0" fontId="0" fillId="0" borderId="22" xfId="0" applyNumberFormat="1" applyFont="1" applyFill="1" applyBorder="1" applyAlignment="1">
      <alignment horizontal="right" vertical="top"/>
    </xf>
    <xf numFmtId="1" fontId="0" fillId="0" borderId="31" xfId="0" applyNumberFormat="1" applyFont="1" applyFill="1" applyBorder="1" applyAlignment="1">
      <alignment horizontal="right" vertical="top"/>
    </xf>
    <xf numFmtId="181" fontId="0" fillId="0" borderId="34" xfId="0" applyNumberFormat="1" applyFont="1" applyFill="1" applyBorder="1" applyAlignment="1">
      <alignment horizontal="right" vertical="top"/>
    </xf>
    <xf numFmtId="0" fontId="31" fillId="0" borderId="11" xfId="42" applyNumberFormat="1" applyFont="1" applyBorder="1" applyAlignment="1" applyProtection="1">
      <alignment horizontal="left" vertical="top"/>
      <protection/>
    </xf>
    <xf numFmtId="9" fontId="0" fillId="0" borderId="11" xfId="0" applyNumberFormat="1" applyFont="1" applyBorder="1" applyAlignment="1">
      <alignment horizontal="right" vertical="top"/>
    </xf>
    <xf numFmtId="0" fontId="0" fillId="0" borderId="48" xfId="0" applyNumberFormat="1" applyFont="1" applyBorder="1" applyAlignment="1">
      <alignment horizontal="left" vertical="top"/>
    </xf>
    <xf numFmtId="0" fontId="0" fillId="0" borderId="53" xfId="0" applyNumberFormat="1" applyFont="1" applyBorder="1" applyAlignment="1">
      <alignment horizontal="right" vertical="top"/>
    </xf>
    <xf numFmtId="0" fontId="30" fillId="0" borderId="10" xfId="42" applyNumberFormat="1" applyFont="1" applyBorder="1" applyAlignment="1" applyProtection="1">
      <alignment horizontal="left" vertical="top"/>
      <protection/>
    </xf>
    <xf numFmtId="0" fontId="31" fillId="0" borderId="10" xfId="42" applyFont="1" applyBorder="1" applyAlignment="1" applyProtection="1">
      <alignment horizontal="left" vertical="top"/>
      <protection/>
    </xf>
    <xf numFmtId="0" fontId="31" fillId="0" borderId="16" xfId="42" applyNumberFormat="1" applyFont="1" applyFill="1" applyBorder="1" applyAlignment="1" applyProtection="1">
      <alignment horizontal="left" vertical="top"/>
      <protection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49" xfId="0" applyNumberFormat="1" applyFont="1" applyFill="1" applyBorder="1" applyAlignment="1">
      <alignment horizontal="left" vertical="top"/>
    </xf>
    <xf numFmtId="181" fontId="0" fillId="0" borderId="44" xfId="0" applyNumberFormat="1" applyFont="1" applyFill="1" applyBorder="1" applyAlignment="1">
      <alignment horizontal="right" vertical="top"/>
    </xf>
    <xf numFmtId="0" fontId="0" fillId="0" borderId="54" xfId="0" applyNumberFormat="1" applyFont="1" applyBorder="1" applyAlignment="1">
      <alignment vertical="top"/>
    </xf>
    <xf numFmtId="0" fontId="0" fillId="0" borderId="55" xfId="0" applyNumberFormat="1" applyFont="1" applyBorder="1" applyAlignment="1">
      <alignment vertical="top"/>
    </xf>
    <xf numFmtId="0" fontId="0" fillId="0" borderId="44" xfId="0" applyNumberFormat="1" applyFont="1" applyBorder="1" applyAlignment="1">
      <alignment horizontal="left" vertical="top" wrapText="1"/>
    </xf>
    <xf numFmtId="1" fontId="0" fillId="0" borderId="56" xfId="0" applyNumberFormat="1" applyFont="1" applyBorder="1" applyAlignment="1">
      <alignment horizontal="right" vertical="top"/>
    </xf>
    <xf numFmtId="1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0" fillId="0" borderId="11" xfId="42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horizontal="right" vertical="top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 horizontal="left" vertical="top" wrapText="1"/>
    </xf>
    <xf numFmtId="1" fontId="0" fillId="0" borderId="12" xfId="0" applyNumberFormat="1" applyFont="1" applyBorder="1" applyAlignment="1">
      <alignment vertical="top" wrapText="1"/>
    </xf>
    <xf numFmtId="0" fontId="0" fillId="0" borderId="25" xfId="0" applyNumberFormat="1" applyFont="1" applyBorder="1" applyAlignment="1">
      <alignment vertical="top" wrapText="1"/>
    </xf>
    <xf numFmtId="0" fontId="0" fillId="0" borderId="25" xfId="0" applyNumberFormat="1" applyFont="1" applyBorder="1" applyAlignment="1">
      <alignment horizontal="right" vertical="top"/>
    </xf>
    <xf numFmtId="181" fontId="0" fillId="0" borderId="43" xfId="0" applyNumberFormat="1" applyFont="1" applyBorder="1" applyAlignment="1">
      <alignment horizontal="right" vertical="top"/>
    </xf>
    <xf numFmtId="0" fontId="17" fillId="0" borderId="10" xfId="0" applyNumberFormat="1" applyFont="1" applyFill="1" applyBorder="1" applyAlignment="1">
      <alignment horizontal="center" vertical="top"/>
    </xf>
    <xf numFmtId="0" fontId="31" fillId="0" borderId="10" xfId="42" applyNumberFormat="1" applyFont="1" applyBorder="1" applyAlignment="1" applyProtection="1">
      <alignment horizontal="left" vertical="top" wrapText="1"/>
      <protection/>
    </xf>
    <xf numFmtId="0" fontId="0" fillId="0" borderId="23" xfId="71" applyNumberFormat="1" applyFont="1" applyBorder="1" applyAlignment="1">
      <alignment horizontal="left" vertical="top"/>
      <protection/>
    </xf>
    <xf numFmtId="0" fontId="0" fillId="0" borderId="12" xfId="0" applyNumberFormat="1" applyFont="1" applyBorder="1" applyAlignment="1">
      <alignment horizontal="left" vertical="top"/>
    </xf>
    <xf numFmtId="179" fontId="31" fillId="0" borderId="10" xfId="42" applyNumberFormat="1" applyFont="1" applyBorder="1" applyAlignment="1" applyProtection="1">
      <alignment horizontal="left" vertical="top" wrapText="1"/>
      <protection/>
    </xf>
    <xf numFmtId="0" fontId="15" fillId="0" borderId="10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30" fillId="0" borderId="12" xfId="42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>
      <alignment horizontal="right" vertical="top"/>
    </xf>
    <xf numFmtId="0" fontId="0" fillId="0" borderId="38" xfId="0" applyFont="1" applyBorder="1" applyAlignment="1">
      <alignment horizontal="left" vertical="top"/>
    </xf>
    <xf numFmtId="0" fontId="17" fillId="0" borderId="11" xfId="0" applyFont="1" applyFill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/>
    </xf>
    <xf numFmtId="1" fontId="0" fillId="5" borderId="13" xfId="0" applyNumberFormat="1" applyFont="1" applyFill="1" applyBorder="1" applyAlignment="1">
      <alignment vertical="top" wrapText="1"/>
    </xf>
    <xf numFmtId="0" fontId="0" fillId="5" borderId="26" xfId="0" applyFont="1" applyFill="1" applyBorder="1" applyAlignment="1">
      <alignment vertical="top" wrapText="1"/>
    </xf>
    <xf numFmtId="0" fontId="27" fillId="5" borderId="26" xfId="0" applyFont="1" applyFill="1" applyBorder="1" applyAlignment="1">
      <alignment horizontal="left" vertical="top" wrapText="1"/>
    </xf>
    <xf numFmtId="1" fontId="7" fillId="5" borderId="13" xfId="80" applyNumberFormat="1" applyFont="1" applyFill="1" applyBorder="1" applyAlignment="1">
      <alignment horizontal="right" vertical="top"/>
      <protection/>
    </xf>
    <xf numFmtId="0" fontId="0" fillId="5" borderId="13" xfId="0" applyFont="1" applyFill="1" applyBorder="1" applyAlignment="1">
      <alignment horizontal="right" vertical="top"/>
    </xf>
    <xf numFmtId="0" fontId="0" fillId="5" borderId="26" xfId="0" applyFont="1" applyFill="1" applyBorder="1" applyAlignment="1">
      <alignment horizontal="right" vertical="top"/>
    </xf>
    <xf numFmtId="0" fontId="0" fillId="5" borderId="41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vertical="top" wrapText="1"/>
    </xf>
    <xf numFmtId="0" fontId="30" fillId="0" borderId="16" xfId="42" applyNumberFormat="1" applyFont="1" applyFill="1" applyBorder="1" applyAlignment="1" applyProtection="1">
      <alignment horizontal="left" vertical="top" wrapText="1"/>
      <protection/>
    </xf>
    <xf numFmtId="0" fontId="30" fillId="0" borderId="16" xfId="42" applyNumberFormat="1" applyFont="1" applyBorder="1" applyAlignment="1" applyProtection="1">
      <alignment horizontal="left" vertical="top" wrapText="1"/>
      <protection/>
    </xf>
    <xf numFmtId="0" fontId="30" fillId="0" borderId="16" xfId="42" applyFont="1" applyFill="1" applyBorder="1" applyAlignment="1" applyProtection="1">
      <alignment horizontal="left" vertical="top" wrapText="1"/>
      <protection/>
    </xf>
    <xf numFmtId="0" fontId="27" fillId="5" borderId="16" xfId="0" applyFont="1" applyFill="1" applyBorder="1" applyAlignment="1">
      <alignment horizontal="left" vertical="top" wrapText="1"/>
    </xf>
    <xf numFmtId="1" fontId="0" fillId="0" borderId="57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47" xfId="0" applyFont="1" applyBorder="1" applyAlignment="1">
      <alignment horizontal="right" vertical="top"/>
    </xf>
    <xf numFmtId="0" fontId="12" fillId="5" borderId="10" xfId="83" applyFont="1" applyFill="1" applyBorder="1" applyAlignment="1">
      <alignment horizontal="right" vertical="top"/>
      <protection/>
    </xf>
    <xf numFmtId="0" fontId="12" fillId="5" borderId="23" xfId="83" applyFont="1" applyFill="1" applyBorder="1" applyAlignment="1">
      <alignment horizontal="left" vertical="top"/>
      <protection/>
    </xf>
    <xf numFmtId="0" fontId="12" fillId="5" borderId="38" xfId="83" applyFont="1" applyFill="1" applyBorder="1" applyAlignment="1">
      <alignment horizontal="left" vertical="top"/>
      <protection/>
    </xf>
    <xf numFmtId="0" fontId="0" fillId="0" borderId="26" xfId="0" applyFont="1" applyFill="1" applyBorder="1" applyAlignment="1">
      <alignment horizontal="right" vertical="top"/>
    </xf>
    <xf numFmtId="0" fontId="0" fillId="0" borderId="30" xfId="0" applyFont="1" applyFill="1" applyBorder="1" applyAlignment="1">
      <alignment horizontal="right" vertical="top"/>
    </xf>
    <xf numFmtId="0" fontId="28" fillId="6" borderId="27" xfId="0" applyFont="1" applyFill="1" applyBorder="1" applyAlignment="1">
      <alignment horizontal="left" vertical="top" wrapText="1"/>
    </xf>
    <xf numFmtId="1" fontId="7" fillId="6" borderId="35" xfId="80" applyNumberFormat="1" applyFont="1" applyFill="1" applyBorder="1" applyAlignment="1">
      <alignment horizontal="right" vertical="top"/>
      <protection/>
    </xf>
    <xf numFmtId="0" fontId="7" fillId="5" borderId="10" xfId="71" applyNumberFormat="1" applyFont="1" applyFill="1" applyBorder="1" applyAlignment="1">
      <alignment vertical="top" wrapText="1"/>
      <protection/>
    </xf>
    <xf numFmtId="0" fontId="31" fillId="0" borderId="12" xfId="42" applyNumberFormat="1" applyFont="1" applyFill="1" applyBorder="1" applyAlignment="1" applyProtection="1">
      <alignment horizontal="left" vertical="top" wrapText="1"/>
      <protection/>
    </xf>
    <xf numFmtId="0" fontId="30" fillId="0" borderId="13" xfId="42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right" vertical="top"/>
    </xf>
    <xf numFmtId="0" fontId="0" fillId="0" borderId="58" xfId="0" applyFont="1" applyBorder="1" applyAlignment="1">
      <alignment horizontal="right" vertical="top"/>
    </xf>
    <xf numFmtId="181" fontId="0" fillId="0" borderId="59" xfId="0" applyNumberFormat="1" applyFont="1" applyFill="1" applyBorder="1" applyAlignment="1">
      <alignment horizontal="right" vertical="top"/>
    </xf>
    <xf numFmtId="1" fontId="0" fillId="0" borderId="58" xfId="0" applyNumberFormat="1" applyFont="1" applyFill="1" applyBorder="1" applyAlignment="1">
      <alignment horizontal="right" vertical="top"/>
    </xf>
    <xf numFmtId="179" fontId="30" fillId="0" borderId="10" xfId="42" applyNumberFormat="1" applyFont="1" applyBorder="1" applyAlignment="1" applyProtection="1">
      <alignment horizontal="left" vertical="top" wrapText="1"/>
      <protection/>
    </xf>
    <xf numFmtId="1" fontId="0" fillId="0" borderId="58" xfId="0" applyNumberFormat="1" applyFont="1" applyBorder="1" applyAlignment="1">
      <alignment horizontal="right" vertical="top"/>
    </xf>
    <xf numFmtId="1" fontId="7" fillId="5" borderId="10" xfId="80" applyNumberFormat="1" applyFont="1" applyFill="1" applyBorder="1" applyAlignment="1">
      <alignment vertical="top"/>
      <protection/>
    </xf>
    <xf numFmtId="0" fontId="0" fillId="5" borderId="10" xfId="0" applyNumberFormat="1" applyFont="1" applyFill="1" applyBorder="1" applyAlignment="1">
      <alignment horizontal="center" vertical="top"/>
    </xf>
    <xf numFmtId="0" fontId="0" fillId="5" borderId="32" xfId="0" applyNumberFormat="1" applyFont="1" applyFill="1" applyBorder="1" applyAlignment="1">
      <alignment horizontal="left" vertical="top"/>
    </xf>
    <xf numFmtId="181" fontId="0" fillId="5" borderId="59" xfId="0" applyNumberFormat="1" applyFont="1" applyFill="1" applyBorder="1" applyAlignment="1">
      <alignment horizontal="right" vertical="top"/>
    </xf>
    <xf numFmtId="0" fontId="0" fillId="0" borderId="32" xfId="0" applyNumberFormat="1" applyFont="1" applyBorder="1" applyAlignment="1">
      <alignment horizontal="left" vertical="top"/>
    </xf>
    <xf numFmtId="181" fontId="0" fillId="0" borderId="59" xfId="0" applyNumberFormat="1" applyFont="1" applyBorder="1" applyAlignment="1">
      <alignment horizontal="right" vertical="top"/>
    </xf>
    <xf numFmtId="1" fontId="7" fillId="6" borderId="25" xfId="80" applyNumberFormat="1" applyFont="1" applyFill="1" applyBorder="1" applyAlignment="1">
      <alignment horizontal="right" vertical="top"/>
      <protection/>
    </xf>
    <xf numFmtId="3" fontId="0" fillId="0" borderId="13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175" fontId="0" fillId="0" borderId="12" xfId="0" applyNumberFormat="1" applyFont="1" applyBorder="1" applyAlignment="1">
      <alignment horizontal="right" vertical="top"/>
    </xf>
    <xf numFmtId="1" fontId="0" fillId="0" borderId="11" xfId="0" applyNumberFormat="1" applyFont="1" applyBorder="1" applyAlignment="1">
      <alignment horizontal="left" vertical="top"/>
    </xf>
    <xf numFmtId="1" fontId="0" fillId="0" borderId="25" xfId="0" applyNumberFormat="1" applyFont="1" applyBorder="1" applyAlignment="1">
      <alignment vertical="top" wrapText="1"/>
    </xf>
    <xf numFmtId="0" fontId="0" fillId="0" borderId="25" xfId="0" applyNumberFormat="1" applyFont="1" applyBorder="1" applyAlignment="1">
      <alignment horizontal="left" vertical="top" wrapText="1"/>
    </xf>
    <xf numFmtId="0" fontId="0" fillId="0" borderId="25" xfId="0" applyNumberFormat="1" applyFont="1" applyBorder="1" applyAlignment="1">
      <alignment horizontal="right" vertical="top" wrapText="1"/>
    </xf>
    <xf numFmtId="175" fontId="0" fillId="0" borderId="25" xfId="0" applyNumberFormat="1" applyFont="1" applyBorder="1" applyAlignment="1">
      <alignment horizontal="right" vertical="top" wrapText="1"/>
    </xf>
    <xf numFmtId="0" fontId="0" fillId="0" borderId="50" xfId="0" applyFont="1" applyBorder="1" applyAlignment="1">
      <alignment horizontal="right" vertical="top"/>
    </xf>
    <xf numFmtId="0" fontId="30" fillId="0" borderId="10" xfId="42" applyNumberFormat="1" applyFont="1" applyBorder="1" applyAlignment="1" applyProtection="1">
      <alignment horizontal="left" vertical="top" wrapText="1"/>
      <protection/>
    </xf>
    <xf numFmtId="0" fontId="0" fillId="0" borderId="22" xfId="0" applyNumberFormat="1" applyFont="1" applyBorder="1" applyAlignment="1">
      <alignment vertical="top" wrapText="1"/>
    </xf>
    <xf numFmtId="0" fontId="30" fillId="0" borderId="11" xfId="42" applyFont="1" applyBorder="1" applyAlignment="1" applyProtection="1">
      <alignment horizontal="left" vertical="top"/>
      <protection/>
    </xf>
    <xf numFmtId="176" fontId="0" fillId="0" borderId="11" xfId="0" applyNumberFormat="1" applyFont="1" applyBorder="1" applyAlignment="1">
      <alignment horizontal="right" vertical="top"/>
    </xf>
    <xf numFmtId="0" fontId="0" fillId="0" borderId="12" xfId="0" applyFont="1" applyFill="1" applyBorder="1" applyAlignment="1">
      <alignment vertical="top" wrapText="1"/>
    </xf>
    <xf numFmtId="0" fontId="30" fillId="0" borderId="12" xfId="42" applyFont="1" applyFill="1" applyBorder="1" applyAlignment="1" applyProtection="1">
      <alignment horizontal="left" vertical="top" wrapText="1"/>
      <protection/>
    </xf>
    <xf numFmtId="1" fontId="0" fillId="0" borderId="17" xfId="0" applyNumberFormat="1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7" xfId="0" applyNumberFormat="1" applyFont="1" applyBorder="1" applyAlignment="1">
      <alignment horizontal="right" vertical="top"/>
    </xf>
    <xf numFmtId="0" fontId="0" fillId="0" borderId="51" xfId="0" applyFont="1" applyBorder="1" applyAlignment="1">
      <alignment horizontal="right" vertical="top"/>
    </xf>
    <xf numFmtId="0" fontId="0" fillId="0" borderId="40" xfId="0" applyFont="1" applyBorder="1" applyAlignment="1">
      <alignment horizontal="left" vertical="top"/>
    </xf>
    <xf numFmtId="181" fontId="0" fillId="0" borderId="46" xfId="0" applyNumberFormat="1" applyFont="1" applyBorder="1" applyAlignment="1">
      <alignment horizontal="right" vertical="top"/>
    </xf>
    <xf numFmtId="181" fontId="0" fillId="0" borderId="60" xfId="0" applyNumberFormat="1" applyFont="1" applyBorder="1" applyAlignment="1">
      <alignment horizontal="right" vertical="top"/>
    </xf>
    <xf numFmtId="181" fontId="0" fillId="0" borderId="57" xfId="0" applyNumberFormat="1" applyFont="1" applyBorder="1" applyAlignment="1">
      <alignment horizontal="right" vertical="top"/>
    </xf>
    <xf numFmtId="1" fontId="0" fillId="0" borderId="14" xfId="0" applyNumberFormat="1" applyFont="1" applyBorder="1" applyAlignment="1">
      <alignment vertical="top" wrapText="1"/>
    </xf>
    <xf numFmtId="0" fontId="30" fillId="0" borderId="14" xfId="42" applyFont="1" applyBorder="1" applyAlignment="1" applyProtection="1">
      <alignment horizontal="left" vertical="top"/>
      <protection/>
    </xf>
    <xf numFmtId="0" fontId="0" fillId="0" borderId="14" xfId="0" applyFont="1" applyBorder="1" applyAlignment="1">
      <alignment horizontal="right" vertical="top"/>
    </xf>
    <xf numFmtId="181" fontId="0" fillId="0" borderId="61" xfId="0" applyNumberFormat="1" applyFont="1" applyBorder="1" applyAlignment="1">
      <alignment horizontal="right" vertical="top"/>
    </xf>
    <xf numFmtId="0" fontId="31" fillId="0" borderId="10" xfId="42" applyNumberFormat="1" applyFont="1" applyFill="1" applyBorder="1" applyAlignment="1" applyProtection="1">
      <alignment horizontal="left" vertical="top"/>
      <protection/>
    </xf>
    <xf numFmtId="0" fontId="7" fillId="0" borderId="10" xfId="71" applyNumberFormat="1" applyFont="1" applyBorder="1" applyAlignment="1">
      <alignment horizontal="left" vertical="top" wrapText="1"/>
      <protection/>
    </xf>
    <xf numFmtId="0" fontId="31" fillId="0" borderId="12" xfId="42" applyNumberFormat="1" applyFont="1" applyBorder="1" applyAlignment="1" applyProtection="1">
      <alignment horizontal="left" vertical="top"/>
      <protection/>
    </xf>
    <xf numFmtId="0" fontId="28" fillId="6" borderId="19" xfId="0" applyFont="1" applyFill="1" applyBorder="1" applyAlignment="1">
      <alignment horizontal="left" vertical="top" wrapText="1"/>
    </xf>
    <xf numFmtId="1" fontId="7" fillId="6" borderId="19" xfId="80" applyNumberFormat="1" applyFont="1" applyFill="1" applyBorder="1" applyAlignment="1">
      <alignment horizontal="right" vertical="top"/>
      <protection/>
    </xf>
    <xf numFmtId="1" fontId="0" fillId="0" borderId="0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181" fontId="0" fillId="0" borderId="43" xfId="0" applyNumberFormat="1" applyFont="1" applyFill="1" applyBorder="1" applyAlignment="1">
      <alignment horizontal="right" vertical="top"/>
    </xf>
    <xf numFmtId="1" fontId="0" fillId="0" borderId="29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30" fillId="0" borderId="29" xfId="42" applyFont="1" applyFill="1" applyBorder="1" applyAlignment="1" applyProtection="1">
      <alignment horizontal="left" vertical="top" wrapText="1"/>
      <protection/>
    </xf>
    <xf numFmtId="1" fontId="0" fillId="0" borderId="35" xfId="0" applyNumberFormat="1" applyFont="1" applyFill="1" applyBorder="1" applyAlignment="1">
      <alignment horizontal="right" vertical="top"/>
    </xf>
    <xf numFmtId="0" fontId="0" fillId="0" borderId="35" xfId="0" applyFont="1" applyFill="1" applyBorder="1" applyAlignment="1">
      <alignment horizontal="right" vertical="top"/>
    </xf>
    <xf numFmtId="0" fontId="0" fillId="0" borderId="35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right" vertical="top"/>
    </xf>
    <xf numFmtId="1" fontId="0" fillId="0" borderId="29" xfId="0" applyNumberFormat="1" applyFont="1" applyFill="1" applyBorder="1" applyAlignment="1">
      <alignment horizontal="right" vertical="top"/>
    </xf>
    <xf numFmtId="0" fontId="0" fillId="0" borderId="39" xfId="0" applyFont="1" applyFill="1" applyBorder="1" applyAlignment="1">
      <alignment horizontal="left" vertical="top"/>
    </xf>
    <xf numFmtId="181" fontId="0" fillId="0" borderId="33" xfId="0" applyNumberFormat="1" applyFont="1" applyFill="1" applyBorder="1" applyAlignment="1">
      <alignment horizontal="right" vertical="top"/>
    </xf>
    <xf numFmtId="1" fontId="0" fillId="0" borderId="15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30" fillId="0" borderId="15" xfId="42" applyFont="1" applyBorder="1" applyAlignment="1" applyProtection="1">
      <alignment horizontal="left" vertical="top" wrapText="1"/>
      <protection/>
    </xf>
    <xf numFmtId="0" fontId="0" fillId="0" borderId="49" xfId="0" applyFont="1" applyBorder="1" applyAlignment="1">
      <alignment horizontal="left" vertical="top"/>
    </xf>
    <xf numFmtId="0" fontId="30" fillId="0" borderId="10" xfId="42" applyFont="1" applyBorder="1" applyAlignment="1" applyProtection="1">
      <alignment vertical="top" wrapText="1"/>
      <protection/>
    </xf>
    <xf numFmtId="0" fontId="30" fillId="0" borderId="10" xfId="42" applyFont="1" applyFill="1" applyBorder="1" applyAlignment="1" applyProtection="1">
      <alignment vertical="top" wrapText="1"/>
      <protection/>
    </xf>
    <xf numFmtId="0" fontId="31" fillId="0" borderId="10" xfId="42" applyFont="1" applyFill="1" applyBorder="1" applyAlignment="1" applyProtection="1">
      <alignment horizontal="left" vertical="top" wrapText="1"/>
      <protection/>
    </xf>
    <xf numFmtId="0" fontId="0" fillId="0" borderId="11" xfId="0" applyFont="1" applyFill="1" applyBorder="1" applyAlignment="1">
      <alignment vertical="top" wrapText="1"/>
    </xf>
    <xf numFmtId="0" fontId="30" fillId="0" borderId="11" xfId="42" applyFont="1" applyFill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>
      <alignment horizontal="right" vertical="top"/>
    </xf>
    <xf numFmtId="176" fontId="0" fillId="0" borderId="16" xfId="0" applyNumberFormat="1" applyFont="1" applyBorder="1" applyAlignment="1">
      <alignment horizontal="right" vertical="top"/>
    </xf>
    <xf numFmtId="0" fontId="30" fillId="0" borderId="10" xfId="42" applyNumberFormat="1" applyFont="1" applyBorder="1" applyAlignment="1" applyProtection="1">
      <alignment vertical="top" wrapText="1"/>
      <protection/>
    </xf>
    <xf numFmtId="0" fontId="0" fillId="5" borderId="10" xfId="0" applyFont="1" applyFill="1" applyBorder="1" applyAlignment="1">
      <alignment vertical="top" wrapText="1"/>
    </xf>
    <xf numFmtId="0" fontId="30" fillId="5" borderId="10" xfId="42" applyNumberFormat="1" applyFont="1" applyFill="1" applyBorder="1" applyAlignment="1" applyProtection="1">
      <alignment vertical="top" wrapText="1"/>
      <protection/>
    </xf>
    <xf numFmtId="0" fontId="30" fillId="0" borderId="10" xfId="42" applyNumberFormat="1" applyFont="1" applyFill="1" applyBorder="1" applyAlignment="1" applyProtection="1">
      <alignment vertical="top" wrapText="1"/>
      <protection/>
    </xf>
    <xf numFmtId="1" fontId="0" fillId="0" borderId="0" xfId="0" applyNumberFormat="1" applyFont="1" applyBorder="1" applyAlignment="1">
      <alignment vertical="top" wrapText="1"/>
    </xf>
    <xf numFmtId="0" fontId="32" fillId="0" borderId="0" xfId="0" applyFont="1" applyBorder="1" applyAlignment="1">
      <alignment horizontal="left" vertical="top"/>
    </xf>
    <xf numFmtId="1" fontId="0" fillId="0" borderId="0" xfId="0" applyNumberFormat="1" applyFont="1" applyBorder="1" applyAlignment="1">
      <alignment horizontal="right" vertical="top"/>
    </xf>
    <xf numFmtId="0" fontId="0" fillId="0" borderId="24" xfId="0" applyFont="1" applyBorder="1" applyAlignment="1">
      <alignment horizontal="left" vertical="top"/>
    </xf>
    <xf numFmtId="0" fontId="30" fillId="0" borderId="13" xfId="42" applyFont="1" applyBorder="1" applyAlignment="1" applyProtection="1">
      <alignment vertical="top" wrapText="1"/>
      <protection/>
    </xf>
    <xf numFmtId="0" fontId="0" fillId="0" borderId="62" xfId="0" applyFont="1" applyBorder="1" applyAlignment="1">
      <alignment horizontal="right" vertical="top"/>
    </xf>
    <xf numFmtId="0" fontId="0" fillId="0" borderId="54" xfId="0" applyNumberFormat="1" applyFont="1" applyFill="1" applyBorder="1" applyAlignment="1">
      <alignment vertical="top"/>
    </xf>
    <xf numFmtId="0" fontId="0" fillId="0" borderId="55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30" fillId="0" borderId="14" xfId="42" applyFont="1" applyFill="1" applyBorder="1" applyAlignment="1" applyProtection="1">
      <alignment horizontal="left" vertical="top" wrapText="1"/>
      <protection/>
    </xf>
    <xf numFmtId="177" fontId="0" fillId="0" borderId="26" xfId="0" applyNumberFormat="1" applyFont="1" applyBorder="1" applyAlignment="1">
      <alignment horizontal="right" vertical="top"/>
    </xf>
    <xf numFmtId="0" fontId="31" fillId="0" borderId="10" xfId="42" applyNumberFormat="1" applyFont="1" applyBorder="1" applyAlignment="1" applyProtection="1">
      <alignment vertical="top"/>
      <protection/>
    </xf>
    <xf numFmtId="177" fontId="0" fillId="0" borderId="16" xfId="0" applyNumberFormat="1" applyFont="1" applyBorder="1" applyAlignment="1">
      <alignment horizontal="right" vertical="top"/>
    </xf>
    <xf numFmtId="0" fontId="0" fillId="0" borderId="48" xfId="0" applyFont="1" applyBorder="1" applyAlignment="1">
      <alignment horizontal="left" vertical="top"/>
    </xf>
    <xf numFmtId="0" fontId="0" fillId="0" borderId="0" xfId="0" applyFont="1" applyFill="1" applyAlignment="1">
      <alignment/>
    </xf>
    <xf numFmtId="0" fontId="27" fillId="0" borderId="10" xfId="0" applyFont="1" applyBorder="1" applyAlignment="1">
      <alignment horizontal="left" vertical="top" wrapText="1"/>
    </xf>
    <xf numFmtId="0" fontId="28" fillId="6" borderId="20" xfId="0" applyFont="1" applyFill="1" applyBorder="1" applyAlignment="1">
      <alignment horizontal="left" vertical="top" wrapText="1"/>
    </xf>
    <xf numFmtId="0" fontId="31" fillId="0" borderId="22" xfId="42" applyFont="1" applyBorder="1" applyAlignment="1" applyProtection="1">
      <alignment horizontal="left" vertical="top" wrapText="1"/>
      <protection/>
    </xf>
    <xf numFmtId="0" fontId="0" fillId="0" borderId="42" xfId="0" applyFont="1" applyBorder="1" applyAlignment="1">
      <alignment horizontal="left" vertical="top"/>
    </xf>
    <xf numFmtId="0" fontId="30" fillId="0" borderId="22" xfId="42" applyFont="1" applyBorder="1" applyAlignment="1" applyProtection="1">
      <alignment horizontal="left" vertical="top" wrapText="1"/>
      <protection/>
    </xf>
    <xf numFmtId="0" fontId="0" fillId="0" borderId="17" xfId="0" applyFont="1" applyFill="1" applyBorder="1" applyAlignment="1">
      <alignment vertical="top" wrapText="1"/>
    </xf>
    <xf numFmtId="0" fontId="30" fillId="0" borderId="17" xfId="42" applyNumberFormat="1" applyFont="1" applyFill="1" applyBorder="1" applyAlignment="1" applyProtection="1">
      <alignment horizontal="left" vertical="top" wrapText="1"/>
      <protection/>
    </xf>
    <xf numFmtId="1" fontId="0" fillId="0" borderId="17" xfId="0" applyNumberFormat="1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right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51" xfId="0" applyFont="1" applyFill="1" applyBorder="1" applyAlignment="1">
      <alignment horizontal="right" vertical="top"/>
    </xf>
    <xf numFmtId="1" fontId="0" fillId="0" borderId="51" xfId="0" applyNumberFormat="1" applyFont="1" applyFill="1" applyBorder="1" applyAlignment="1">
      <alignment horizontal="right" vertical="top"/>
    </xf>
    <xf numFmtId="0" fontId="0" fillId="0" borderId="40" xfId="0" applyFont="1" applyFill="1" applyBorder="1" applyAlignment="1">
      <alignment horizontal="left" vertical="top"/>
    </xf>
    <xf numFmtId="181" fontId="0" fillId="0" borderId="46" xfId="0" applyNumberFormat="1" applyFont="1" applyFill="1" applyBorder="1" applyAlignment="1">
      <alignment horizontal="right" vertical="top"/>
    </xf>
    <xf numFmtId="0" fontId="0" fillId="0" borderId="16" xfId="0" applyFont="1" applyBorder="1" applyAlignment="1">
      <alignment vertical="top" wrapText="1"/>
    </xf>
    <xf numFmtId="0" fontId="30" fillId="0" borderId="16" xfId="42" applyFont="1" applyBorder="1" applyAlignment="1" applyProtection="1">
      <alignment horizontal="left" vertical="top" wrapText="1"/>
      <protection/>
    </xf>
    <xf numFmtId="0" fontId="0" fillId="2" borderId="36" xfId="0" applyFont="1" applyFill="1" applyBorder="1" applyAlignment="1">
      <alignment horizontal="left" vertical="top"/>
    </xf>
    <xf numFmtId="1" fontId="0" fillId="2" borderId="13" xfId="0" applyNumberFormat="1" applyFont="1" applyFill="1" applyBorder="1" applyAlignment="1">
      <alignment horizontal="right" vertical="top"/>
    </xf>
    <xf numFmtId="1" fontId="0" fillId="0" borderId="49" xfId="0" applyNumberFormat="1" applyFont="1" applyBorder="1" applyAlignment="1">
      <alignment vertical="top"/>
    </xf>
    <xf numFmtId="0" fontId="0" fillId="0" borderId="63" xfId="0" applyNumberFormat="1" applyFont="1" applyBorder="1" applyAlignment="1">
      <alignment vertical="top"/>
    </xf>
    <xf numFmtId="1" fontId="0" fillId="0" borderId="23" xfId="0" applyNumberFormat="1" applyFont="1" applyBorder="1" applyAlignment="1">
      <alignment vertical="top" wrapText="1"/>
    </xf>
    <xf numFmtId="0" fontId="0" fillId="0" borderId="55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1" fontId="0" fillId="0" borderId="23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vertical="top"/>
    </xf>
    <xf numFmtId="0" fontId="0" fillId="0" borderId="53" xfId="0" applyNumberFormat="1" applyFont="1" applyBorder="1" applyAlignment="1">
      <alignment vertical="top" wrapText="1"/>
    </xf>
    <xf numFmtId="1" fontId="0" fillId="0" borderId="23" xfId="0" applyNumberFormat="1" applyFont="1" applyFill="1" applyBorder="1" applyAlignment="1">
      <alignment vertical="top"/>
    </xf>
    <xf numFmtId="1" fontId="0" fillId="0" borderId="38" xfId="0" applyNumberFormat="1" applyFont="1" applyBorder="1" applyAlignment="1">
      <alignment vertical="top"/>
    </xf>
    <xf numFmtId="0" fontId="0" fillId="0" borderId="64" xfId="0" applyNumberFormat="1" applyFont="1" applyBorder="1" applyAlignment="1">
      <alignment vertical="top"/>
    </xf>
    <xf numFmtId="0" fontId="0" fillId="0" borderId="41" xfId="0" applyFont="1" applyFill="1" applyBorder="1" applyAlignment="1">
      <alignment vertical="top"/>
    </xf>
    <xf numFmtId="0" fontId="0" fillId="0" borderId="54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55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48" xfId="0" applyFont="1" applyFill="1" applyBorder="1" applyAlignment="1">
      <alignment vertical="top"/>
    </xf>
    <xf numFmtId="0" fontId="0" fillId="0" borderId="65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1" fontId="0" fillId="0" borderId="16" xfId="0" applyNumberFormat="1" applyFont="1" applyBorder="1" applyAlignment="1">
      <alignment vertical="top"/>
    </xf>
    <xf numFmtId="0" fontId="0" fillId="0" borderId="63" xfId="0" applyFont="1" applyFill="1" applyBorder="1" applyAlignment="1">
      <alignment vertical="top"/>
    </xf>
    <xf numFmtId="0" fontId="0" fillId="0" borderId="52" xfId="0" applyFont="1" applyFill="1" applyBorder="1" applyAlignment="1">
      <alignment vertical="top"/>
    </xf>
    <xf numFmtId="49" fontId="0" fillId="0" borderId="13" xfId="0" applyNumberFormat="1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vertical="top"/>
    </xf>
    <xf numFmtId="0" fontId="0" fillId="0" borderId="38" xfId="0" applyFont="1" applyFill="1" applyBorder="1" applyAlignment="1">
      <alignment vertical="top"/>
    </xf>
    <xf numFmtId="49" fontId="0" fillId="0" borderId="12" xfId="0" applyNumberFormat="1" applyFont="1" applyFill="1" applyBorder="1" applyAlignment="1">
      <alignment vertical="top"/>
    </xf>
    <xf numFmtId="0" fontId="12" fillId="6" borderId="0" xfId="0" applyFont="1" applyFill="1" applyBorder="1" applyAlignment="1">
      <alignment vertical="top"/>
    </xf>
    <xf numFmtId="1" fontId="0" fillId="0" borderId="41" xfId="0" applyNumberFormat="1" applyFont="1" applyBorder="1" applyAlignment="1">
      <alignment vertical="top" wrapText="1"/>
    </xf>
    <xf numFmtId="1" fontId="0" fillId="0" borderId="38" xfId="0" applyNumberFormat="1" applyFont="1" applyBorder="1" applyAlignment="1">
      <alignment vertical="top" wrapText="1"/>
    </xf>
    <xf numFmtId="1" fontId="0" fillId="0" borderId="41" xfId="0" applyNumberFormat="1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57" xfId="0" applyNumberFormat="1" applyFont="1" applyBorder="1" applyAlignment="1">
      <alignment vertical="top"/>
    </xf>
    <xf numFmtId="0" fontId="0" fillId="0" borderId="66" xfId="0" applyNumberFormat="1" applyFont="1" applyBorder="1" applyAlignment="1">
      <alignment vertical="top"/>
    </xf>
    <xf numFmtId="1" fontId="0" fillId="5" borderId="23" xfId="0" applyNumberFormat="1" applyFont="1" applyFill="1" applyBorder="1" applyAlignment="1">
      <alignment vertical="top"/>
    </xf>
    <xf numFmtId="0" fontId="0" fillId="5" borderId="55" xfId="0" applyNumberFormat="1" applyFont="1" applyFill="1" applyBorder="1" applyAlignment="1">
      <alignment vertical="top"/>
    </xf>
    <xf numFmtId="0" fontId="0" fillId="5" borderId="10" xfId="0" applyFont="1" applyFill="1" applyBorder="1" applyAlignment="1">
      <alignment vertical="top"/>
    </xf>
    <xf numFmtId="1" fontId="0" fillId="5" borderId="38" xfId="0" applyNumberFormat="1" applyFont="1" applyFill="1" applyBorder="1" applyAlignment="1">
      <alignment vertical="top"/>
    </xf>
    <xf numFmtId="0" fontId="0" fillId="5" borderId="64" xfId="0" applyNumberFormat="1" applyFont="1" applyFill="1" applyBorder="1" applyAlignment="1">
      <alignment vertical="top"/>
    </xf>
    <xf numFmtId="0" fontId="0" fillId="5" borderId="12" xfId="0" applyFont="1" applyFill="1" applyBorder="1" applyAlignment="1">
      <alignment vertical="top"/>
    </xf>
    <xf numFmtId="0" fontId="0" fillId="5" borderId="13" xfId="0" applyFont="1" applyFill="1" applyBorder="1" applyAlignment="1">
      <alignment vertical="top" wrapText="1"/>
    </xf>
    <xf numFmtId="1" fontId="0" fillId="0" borderId="48" xfId="0" applyNumberFormat="1" applyFont="1" applyBorder="1" applyAlignment="1">
      <alignment vertical="top"/>
    </xf>
    <xf numFmtId="0" fontId="0" fillId="5" borderId="1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1" fontId="0" fillId="5" borderId="41" xfId="0" applyNumberFormat="1" applyFont="1" applyFill="1" applyBorder="1" applyAlignment="1">
      <alignment vertical="top"/>
    </xf>
    <xf numFmtId="0" fontId="0" fillId="0" borderId="23" xfId="82" applyFont="1" applyBorder="1" applyAlignment="1">
      <alignment vertical="top"/>
      <protection/>
    </xf>
    <xf numFmtId="0" fontId="0" fillId="0" borderId="55" xfId="82" applyFont="1" applyBorder="1" applyAlignment="1">
      <alignment vertical="top"/>
      <protection/>
    </xf>
    <xf numFmtId="0" fontId="0" fillId="0" borderId="10" xfId="82" applyFont="1" applyBorder="1" applyAlignment="1">
      <alignment vertical="top" wrapText="1"/>
      <protection/>
    </xf>
    <xf numFmtId="0" fontId="0" fillId="0" borderId="65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1" fontId="0" fillId="0" borderId="41" xfId="0" applyNumberFormat="1" applyFont="1" applyFill="1" applyBorder="1" applyAlignment="1">
      <alignment vertical="top"/>
    </xf>
    <xf numFmtId="1" fontId="0" fillId="0" borderId="48" xfId="0" applyNumberFormat="1" applyFont="1" applyFill="1" applyBorder="1" applyAlignment="1">
      <alignment vertical="top"/>
    </xf>
    <xf numFmtId="0" fontId="0" fillId="0" borderId="65" xfId="0" applyNumberFormat="1" applyFont="1" applyFill="1" applyBorder="1" applyAlignment="1">
      <alignment vertical="top"/>
    </xf>
    <xf numFmtId="1" fontId="0" fillId="0" borderId="24" xfId="0" applyNumberFormat="1" applyFont="1" applyFill="1" applyBorder="1" applyAlignment="1">
      <alignment vertical="top"/>
    </xf>
    <xf numFmtId="1" fontId="0" fillId="0" borderId="38" xfId="0" applyNumberFormat="1" applyFont="1" applyFill="1" applyBorder="1" applyAlignment="1">
      <alignment vertical="top"/>
    </xf>
    <xf numFmtId="0" fontId="0" fillId="0" borderId="64" xfId="0" applyNumberFormat="1" applyFont="1" applyFill="1" applyBorder="1" applyAlignment="1">
      <alignment vertical="top"/>
    </xf>
    <xf numFmtId="0" fontId="14" fillId="0" borderId="41" xfId="0" applyFont="1" applyFill="1" applyBorder="1" applyAlignment="1">
      <alignment vertical="top"/>
    </xf>
    <xf numFmtId="0" fontId="0" fillId="0" borderId="55" xfId="0" applyFont="1" applyBorder="1" applyAlignment="1">
      <alignment vertical="top"/>
    </xf>
    <xf numFmtId="1" fontId="14" fillId="5" borderId="23" xfId="0" applyNumberFormat="1" applyFont="1" applyFill="1" applyBorder="1" applyAlignment="1">
      <alignment vertical="top"/>
    </xf>
    <xf numFmtId="1" fontId="0" fillId="0" borderId="49" xfId="0" applyNumberFormat="1" applyFont="1" applyFill="1" applyBorder="1" applyAlignment="1">
      <alignment vertical="top"/>
    </xf>
    <xf numFmtId="0" fontId="0" fillId="0" borderId="63" xfId="0" applyNumberFormat="1" applyFont="1" applyFill="1" applyBorder="1" applyAlignment="1">
      <alignment vertical="top"/>
    </xf>
    <xf numFmtId="1" fontId="0" fillId="0" borderId="42" xfId="0" applyNumberFormat="1" applyFont="1" applyBorder="1" applyAlignment="1">
      <alignment vertical="top"/>
    </xf>
    <xf numFmtId="0" fontId="0" fillId="0" borderId="52" xfId="0" applyNumberFormat="1" applyFont="1" applyBorder="1" applyAlignment="1">
      <alignment vertical="top"/>
    </xf>
    <xf numFmtId="1" fontId="0" fillId="0" borderId="42" xfId="0" applyNumberFormat="1" applyFont="1" applyFill="1" applyBorder="1" applyAlignment="1">
      <alignment vertical="top"/>
    </xf>
    <xf numFmtId="0" fontId="0" fillId="0" borderId="52" xfId="0" applyNumberFormat="1" applyFont="1" applyFill="1" applyBorder="1" applyAlignment="1">
      <alignment vertical="top"/>
    </xf>
    <xf numFmtId="0" fontId="0" fillId="0" borderId="67" xfId="0" applyNumberFormat="1" applyFont="1" applyBorder="1" applyAlignment="1">
      <alignment vertical="top"/>
    </xf>
    <xf numFmtId="0" fontId="0" fillId="0" borderId="57" xfId="0" applyNumberFormat="1" applyFont="1" applyFill="1" applyBorder="1" applyAlignment="1">
      <alignment vertical="top"/>
    </xf>
    <xf numFmtId="1" fontId="0" fillId="0" borderId="68" xfId="0" applyNumberFormat="1" applyFont="1" applyBorder="1" applyAlignment="1">
      <alignment vertical="top"/>
    </xf>
    <xf numFmtId="0" fontId="0" fillId="0" borderId="69" xfId="0" applyNumberFormat="1" applyFont="1" applyBorder="1" applyAlignment="1">
      <alignment vertical="top"/>
    </xf>
    <xf numFmtId="0" fontId="0" fillId="0" borderId="68" xfId="0" applyNumberFormat="1" applyFont="1" applyBorder="1" applyAlignment="1">
      <alignment vertical="top" wrapText="1"/>
    </xf>
    <xf numFmtId="0" fontId="0" fillId="0" borderId="65" xfId="0" applyFont="1" applyBorder="1" applyAlignment="1">
      <alignment vertical="top"/>
    </xf>
    <xf numFmtId="1" fontId="14" fillId="0" borderId="23" xfId="67" applyNumberFormat="1" applyFont="1" applyBorder="1" applyAlignment="1">
      <alignment vertical="top"/>
      <protection/>
    </xf>
    <xf numFmtId="1" fontId="0" fillId="0" borderId="24" xfId="0" applyNumberFormat="1" applyFont="1" applyBorder="1" applyAlignment="1">
      <alignment vertical="top"/>
    </xf>
    <xf numFmtId="0" fontId="0" fillId="0" borderId="70" xfId="0" applyNumberFormat="1" applyFont="1" applyBorder="1" applyAlignment="1">
      <alignment vertical="top"/>
    </xf>
    <xf numFmtId="1" fontId="0" fillId="0" borderId="23" xfId="71" applyNumberFormat="1" applyFont="1" applyBorder="1" applyAlignment="1">
      <alignment vertical="top"/>
      <protection/>
    </xf>
    <xf numFmtId="0" fontId="0" fillId="0" borderId="55" xfId="71" applyNumberFormat="1" applyFont="1" applyBorder="1" applyAlignment="1">
      <alignment vertical="top"/>
      <protection/>
    </xf>
    <xf numFmtId="1" fontId="0" fillId="0" borderId="71" xfId="0" applyNumberFormat="1" applyFont="1" applyBorder="1" applyAlignment="1">
      <alignment vertical="top"/>
    </xf>
    <xf numFmtId="1" fontId="14" fillId="0" borderId="23" xfId="0" applyNumberFormat="1" applyFont="1" applyFill="1" applyBorder="1" applyAlignment="1">
      <alignment vertical="top"/>
    </xf>
    <xf numFmtId="0" fontId="0" fillId="0" borderId="64" xfId="0" applyFont="1" applyBorder="1" applyAlignment="1">
      <alignment vertical="top"/>
    </xf>
    <xf numFmtId="0" fontId="0" fillId="5" borderId="54" xfId="0" applyNumberFormat="1" applyFont="1" applyFill="1" applyBorder="1" applyAlignment="1">
      <alignment vertical="top"/>
    </xf>
    <xf numFmtId="0" fontId="0" fillId="0" borderId="57" xfId="0" applyFont="1" applyFill="1" applyBorder="1" applyAlignment="1">
      <alignment vertical="top"/>
    </xf>
    <xf numFmtId="0" fontId="0" fillId="5" borderId="16" xfId="0" applyFont="1" applyFill="1" applyBorder="1" applyAlignment="1">
      <alignment vertical="top" wrapText="1"/>
    </xf>
    <xf numFmtId="0" fontId="0" fillId="0" borderId="38" xfId="80" applyFont="1" applyBorder="1" applyAlignment="1">
      <alignment vertical="top"/>
      <protection/>
    </xf>
    <xf numFmtId="0" fontId="0" fillId="0" borderId="12" xfId="80" applyFont="1" applyBorder="1" applyAlignment="1">
      <alignment vertical="top"/>
      <protection/>
    </xf>
    <xf numFmtId="0" fontId="0" fillId="0" borderId="12" xfId="80" applyFont="1" applyBorder="1" applyAlignment="1">
      <alignment vertical="top" wrapText="1"/>
      <protection/>
    </xf>
    <xf numFmtId="1" fontId="0" fillId="0" borderId="48" xfId="0" applyNumberFormat="1" applyFont="1" applyBorder="1" applyAlignment="1">
      <alignment vertical="top" wrapText="1"/>
    </xf>
    <xf numFmtId="0" fontId="0" fillId="0" borderId="65" xfId="0" applyNumberFormat="1" applyFont="1" applyBorder="1" applyAlignment="1">
      <alignment vertical="top" wrapText="1"/>
    </xf>
    <xf numFmtId="0" fontId="14" fillId="5" borderId="23" xfId="83" applyFont="1" applyFill="1" applyBorder="1" applyAlignment="1">
      <alignment vertical="top"/>
      <protection/>
    </xf>
    <xf numFmtId="0" fontId="12" fillId="5" borderId="55" xfId="83" applyFont="1" applyFill="1" applyBorder="1" applyAlignment="1">
      <alignment vertical="top"/>
      <protection/>
    </xf>
    <xf numFmtId="0" fontId="12" fillId="6" borderId="27" xfId="0" applyFont="1" applyFill="1" applyBorder="1" applyAlignment="1">
      <alignment vertical="top"/>
    </xf>
    <xf numFmtId="1" fontId="0" fillId="5" borderId="23" xfId="71" applyNumberFormat="1" applyFont="1" applyFill="1" applyBorder="1" applyAlignment="1">
      <alignment vertical="top"/>
      <protection/>
    </xf>
    <xf numFmtId="0" fontId="0" fillId="5" borderId="10" xfId="71" applyNumberFormat="1" applyFont="1" applyFill="1" applyBorder="1" applyAlignment="1">
      <alignment vertical="top" wrapText="1"/>
      <protection/>
    </xf>
    <xf numFmtId="1" fontId="0" fillId="0" borderId="47" xfId="0" applyNumberFormat="1" applyFont="1" applyBorder="1" applyAlignment="1">
      <alignment vertical="top"/>
    </xf>
    <xf numFmtId="0" fontId="0" fillId="0" borderId="70" xfId="0" applyNumberFormat="1" applyFont="1" applyBorder="1" applyAlignment="1">
      <alignment vertical="top" wrapText="1"/>
    </xf>
    <xf numFmtId="1" fontId="0" fillId="0" borderId="40" xfId="0" applyNumberFormat="1" applyFont="1" applyBorder="1" applyAlignment="1">
      <alignment vertical="top"/>
    </xf>
    <xf numFmtId="0" fontId="0" fillId="0" borderId="72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12" fillId="6" borderId="19" xfId="0" applyFont="1" applyFill="1" applyBorder="1" applyAlignment="1">
      <alignment vertical="top"/>
    </xf>
    <xf numFmtId="1" fontId="0" fillId="0" borderId="39" xfId="0" applyNumberFormat="1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35" xfId="0" applyFont="1" applyFill="1" applyBorder="1" applyAlignment="1">
      <alignment vertical="top" wrapText="1"/>
    </xf>
    <xf numFmtId="0" fontId="0" fillId="0" borderId="61" xfId="0" applyFont="1" applyBorder="1" applyAlignment="1">
      <alignment vertical="top"/>
    </xf>
    <xf numFmtId="1" fontId="14" fillId="0" borderId="23" xfId="0" applyNumberFormat="1" applyFont="1" applyFill="1" applyBorder="1" applyAlignment="1">
      <alignment vertical="top" wrapText="1"/>
    </xf>
    <xf numFmtId="1" fontId="0" fillId="0" borderId="71" xfId="0" applyNumberFormat="1" applyFont="1" applyFill="1" applyBorder="1" applyAlignment="1">
      <alignment vertical="top"/>
    </xf>
    <xf numFmtId="0" fontId="0" fillId="0" borderId="64" xfId="0" applyFont="1" applyFill="1" applyBorder="1" applyAlignment="1">
      <alignment vertical="top"/>
    </xf>
    <xf numFmtId="1" fontId="14" fillId="5" borderId="23" xfId="0" applyNumberFormat="1" applyFont="1" applyFill="1" applyBorder="1" applyAlignment="1">
      <alignment vertical="top" wrapText="1"/>
    </xf>
    <xf numFmtId="0" fontId="12" fillId="5" borderId="55" xfId="0" applyNumberFormat="1" applyFont="1" applyFill="1" applyBorder="1" applyAlignment="1">
      <alignment vertical="top" wrapText="1"/>
    </xf>
    <xf numFmtId="0" fontId="12" fillId="6" borderId="20" xfId="0" applyFont="1" applyFill="1" applyBorder="1" applyAlignment="1">
      <alignment vertical="top"/>
    </xf>
    <xf numFmtId="1" fontId="0" fillId="0" borderId="40" xfId="0" applyNumberFormat="1" applyFont="1" applyFill="1" applyBorder="1" applyAlignment="1">
      <alignment vertical="top"/>
    </xf>
    <xf numFmtId="0" fontId="0" fillId="0" borderId="72" xfId="0" applyNumberFormat="1" applyFont="1" applyFill="1" applyBorder="1" applyAlignment="1">
      <alignment vertical="top"/>
    </xf>
    <xf numFmtId="0" fontId="0" fillId="0" borderId="17" xfId="0" applyNumberFormat="1" applyFont="1" applyFill="1" applyBorder="1" applyAlignment="1">
      <alignment vertical="top" wrapText="1"/>
    </xf>
    <xf numFmtId="0" fontId="0" fillId="0" borderId="57" xfId="0" applyFont="1" applyBorder="1" applyAlignment="1">
      <alignment vertical="top"/>
    </xf>
    <xf numFmtId="0" fontId="14" fillId="0" borderId="54" xfId="0" applyFont="1" applyFill="1" applyBorder="1" applyAlignment="1">
      <alignment vertical="top"/>
    </xf>
    <xf numFmtId="0" fontId="14" fillId="0" borderId="13" xfId="0" applyFont="1" applyFill="1" applyBorder="1" applyAlignment="1">
      <alignment vertical="top" wrapText="1"/>
    </xf>
    <xf numFmtId="0" fontId="14" fillId="0" borderId="55" xfId="67" applyFont="1" applyBorder="1" applyAlignment="1">
      <alignment vertical="top"/>
      <protection/>
    </xf>
    <xf numFmtId="0" fontId="0" fillId="0" borderId="10" xfId="71" applyNumberFormat="1" applyFont="1" applyBorder="1" applyAlignment="1">
      <alignment vertical="top" wrapText="1"/>
      <protection/>
    </xf>
    <xf numFmtId="1" fontId="14" fillId="0" borderId="10" xfId="0" applyNumberFormat="1" applyFont="1" applyFill="1" applyBorder="1" applyAlignment="1">
      <alignment vertical="top" wrapText="1"/>
    </xf>
    <xf numFmtId="1" fontId="14" fillId="0" borderId="12" xfId="0" applyNumberFormat="1" applyFont="1" applyFill="1" applyBorder="1" applyAlignment="1">
      <alignment vertical="top" wrapText="1"/>
    </xf>
    <xf numFmtId="0" fontId="14" fillId="5" borderId="55" xfId="83" applyFont="1" applyFill="1" applyBorder="1" applyAlignment="1">
      <alignment vertical="top"/>
      <protection/>
    </xf>
    <xf numFmtId="0" fontId="14" fillId="5" borderId="10" xfId="83" applyFont="1" applyFill="1" applyBorder="1" applyAlignment="1">
      <alignment vertical="top"/>
      <protection/>
    </xf>
    <xf numFmtId="0" fontId="33" fillId="0" borderId="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1" fontId="14" fillId="0" borderId="13" xfId="0" applyNumberFormat="1" applyFont="1" applyFill="1" applyBorder="1" applyAlignment="1">
      <alignment horizontal="right" vertical="top"/>
    </xf>
    <xf numFmtId="0" fontId="14" fillId="0" borderId="13" xfId="0" applyFont="1" applyFill="1" applyBorder="1" applyAlignment="1">
      <alignment horizontal="right" vertical="top"/>
    </xf>
    <xf numFmtId="0" fontId="14" fillId="0" borderId="26" xfId="0" applyFont="1" applyFill="1" applyBorder="1" applyAlignment="1">
      <alignment horizontal="right" vertical="top"/>
    </xf>
    <xf numFmtId="1" fontId="14" fillId="0" borderId="26" xfId="0" applyNumberFormat="1" applyFont="1" applyFill="1" applyBorder="1" applyAlignment="1">
      <alignment horizontal="right" vertical="top"/>
    </xf>
    <xf numFmtId="1" fontId="0" fillId="0" borderId="11" xfId="80" applyNumberFormat="1" applyFont="1" applyFill="1" applyBorder="1" applyAlignment="1">
      <alignment horizontal="right" vertical="top"/>
      <protection/>
    </xf>
    <xf numFmtId="1" fontId="0" fillId="0" borderId="16" xfId="80" applyNumberFormat="1" applyFont="1" applyBorder="1" applyAlignment="1">
      <alignment horizontal="right" vertical="top"/>
      <protection/>
    </xf>
    <xf numFmtId="1" fontId="0" fillId="0" borderId="14" xfId="80" applyNumberFormat="1" applyFont="1" applyFill="1" applyBorder="1" applyAlignment="1">
      <alignment horizontal="right" vertical="top"/>
      <protection/>
    </xf>
    <xf numFmtId="1" fontId="0" fillId="0" borderId="22" xfId="80" applyNumberFormat="1" applyFont="1" applyFill="1" applyBorder="1" applyAlignment="1">
      <alignment horizontal="right" vertical="top"/>
      <protection/>
    </xf>
    <xf numFmtId="181" fontId="0" fillId="0" borderId="34" xfId="80" applyNumberFormat="1" applyFont="1" applyBorder="1" applyAlignment="1">
      <alignment horizontal="right" vertical="top"/>
      <protection/>
    </xf>
    <xf numFmtId="1" fontId="0" fillId="0" borderId="10" xfId="71" applyNumberFormat="1" applyFont="1" applyBorder="1" applyAlignment="1">
      <alignment horizontal="right" vertical="top"/>
      <protection/>
    </xf>
    <xf numFmtId="0" fontId="0" fillId="0" borderId="10" xfId="71" applyNumberFormat="1" applyFont="1" applyBorder="1" applyAlignment="1">
      <alignment horizontal="right" vertical="top"/>
      <protection/>
    </xf>
    <xf numFmtId="0" fontId="0" fillId="0" borderId="16" xfId="71" applyNumberFormat="1" applyFont="1" applyBorder="1" applyAlignment="1">
      <alignment horizontal="right" vertical="top"/>
      <protection/>
    </xf>
    <xf numFmtId="1" fontId="0" fillId="0" borderId="16" xfId="71" applyNumberFormat="1" applyFont="1" applyBorder="1" applyAlignment="1">
      <alignment horizontal="right" vertical="top"/>
      <protection/>
    </xf>
    <xf numFmtId="181" fontId="0" fillId="0" borderId="32" xfId="71" applyNumberFormat="1" applyFont="1" applyBorder="1" applyAlignment="1">
      <alignment horizontal="right" vertical="top"/>
      <protection/>
    </xf>
    <xf numFmtId="0" fontId="14" fillId="5" borderId="10" xfId="83" applyFont="1" applyFill="1" applyBorder="1" applyAlignment="1">
      <alignment horizontal="right" vertical="top"/>
      <protection/>
    </xf>
    <xf numFmtId="1" fontId="0" fillId="0" borderId="12" xfId="80" applyNumberFormat="1" applyFont="1" applyFill="1" applyBorder="1" applyAlignment="1">
      <alignment horizontal="right" vertical="top"/>
      <protection/>
    </xf>
    <xf numFmtId="1" fontId="0" fillId="0" borderId="25" xfId="80" applyNumberFormat="1" applyFont="1" applyFill="1" applyBorder="1" applyAlignment="1">
      <alignment horizontal="right" vertical="top"/>
      <protection/>
    </xf>
    <xf numFmtId="1" fontId="0" fillId="0" borderId="17" xfId="80" applyNumberFormat="1" applyFont="1" applyFill="1" applyBorder="1" applyAlignment="1">
      <alignment horizontal="right" vertical="top"/>
      <protection/>
    </xf>
    <xf numFmtId="1" fontId="0" fillId="0" borderId="35" xfId="80" applyNumberFormat="1" applyFont="1" applyFill="1" applyBorder="1" applyAlignment="1">
      <alignment horizontal="right" vertical="top"/>
      <protection/>
    </xf>
    <xf numFmtId="1" fontId="0" fillId="0" borderId="0" xfId="80" applyNumberFormat="1" applyFont="1" applyFill="1" applyBorder="1" applyAlignment="1">
      <alignment horizontal="right" vertical="top"/>
      <protection/>
    </xf>
    <xf numFmtId="181" fontId="14" fillId="0" borderId="45" xfId="0" applyNumberFormat="1" applyFont="1" applyFill="1" applyBorder="1" applyAlignment="1">
      <alignment horizontal="right" vertical="top"/>
    </xf>
    <xf numFmtId="9" fontId="0" fillId="0" borderId="22" xfId="80" applyNumberFormat="1" applyFont="1" applyFill="1" applyBorder="1" applyAlignment="1">
      <alignment horizontal="right" vertical="top"/>
      <protection/>
    </xf>
    <xf numFmtId="0" fontId="5" fillId="0" borderId="25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1" fontId="14" fillId="6" borderId="0" xfId="0" applyNumberFormat="1" applyFont="1" applyFill="1" applyBorder="1" applyAlignment="1">
      <alignment horizontal="right" vertical="top"/>
    </xf>
    <xf numFmtId="1" fontId="14" fillId="6" borderId="27" xfId="0" applyNumberFormat="1" applyFont="1" applyFill="1" applyBorder="1" applyAlignment="1">
      <alignment horizontal="right" vertical="top"/>
    </xf>
    <xf numFmtId="1" fontId="14" fillId="6" borderId="19" xfId="0" applyNumberFormat="1" applyFont="1" applyFill="1" applyBorder="1" applyAlignment="1">
      <alignment horizontal="right" vertical="top"/>
    </xf>
    <xf numFmtId="1" fontId="14" fillId="6" borderId="20" xfId="0" applyNumberFormat="1" applyFont="1" applyFill="1" applyBorder="1" applyAlignment="1">
      <alignment horizontal="right" vertical="top"/>
    </xf>
    <xf numFmtId="0" fontId="19" fillId="0" borderId="12" xfId="0" applyFont="1" applyFill="1" applyBorder="1" applyAlignment="1">
      <alignment horizontal="center" vertical="top"/>
    </xf>
    <xf numFmtId="0" fontId="0" fillId="0" borderId="67" xfId="0" applyNumberFormat="1" applyFont="1" applyBorder="1" applyAlignment="1">
      <alignment horizontal="right" vertical="top"/>
    </xf>
    <xf numFmtId="181" fontId="0" fillId="0" borderId="0" xfId="0" applyNumberFormat="1" applyFont="1" applyFill="1" applyBorder="1" applyAlignment="1">
      <alignment horizontal="right" vertical="top"/>
    </xf>
    <xf numFmtId="181" fontId="0" fillId="0" borderId="57" xfId="0" applyNumberFormat="1" applyFont="1" applyFill="1" applyBorder="1" applyAlignment="1">
      <alignment horizontal="right" vertical="top"/>
    </xf>
    <xf numFmtId="181" fontId="0" fillId="0" borderId="66" xfId="0" applyNumberFormat="1" applyFont="1" applyFill="1" applyBorder="1" applyAlignment="1">
      <alignment horizontal="right" vertical="top"/>
    </xf>
    <xf numFmtId="0" fontId="0" fillId="0" borderId="43" xfId="0" applyNumberFormat="1" applyFont="1" applyBorder="1" applyAlignment="1">
      <alignment horizontal="left" vertical="top" wrapText="1"/>
    </xf>
    <xf numFmtId="0" fontId="0" fillId="0" borderId="32" xfId="82" applyFont="1" applyBorder="1" applyAlignment="1">
      <alignment horizontal="left" vertical="top" wrapText="1"/>
      <protection/>
    </xf>
    <xf numFmtId="1" fontId="0" fillId="0" borderId="32" xfId="0" applyNumberFormat="1" applyFont="1" applyFill="1" applyBorder="1" applyAlignment="1">
      <alignment horizontal="left" vertical="top"/>
    </xf>
    <xf numFmtId="0" fontId="59" fillId="0" borderId="14" xfId="0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1" fontId="0" fillId="0" borderId="23" xfId="0" applyNumberFormat="1" applyFont="1" applyBorder="1" applyAlignment="1">
      <alignment horizontal="left" vertical="top"/>
    </xf>
    <xf numFmtId="1" fontId="0" fillId="0" borderId="38" xfId="0" applyNumberFormat="1" applyFont="1" applyBorder="1" applyAlignment="1">
      <alignment horizontal="left" vertical="top"/>
    </xf>
    <xf numFmtId="0" fontId="0" fillId="0" borderId="55" xfId="0" applyNumberFormat="1" applyFont="1" applyBorder="1" applyAlignment="1">
      <alignment horizontal="left" vertical="top"/>
    </xf>
    <xf numFmtId="0" fontId="0" fillId="2" borderId="10" xfId="82" applyFont="1" applyFill="1" applyBorder="1" applyAlignment="1">
      <alignment horizontal="left" vertical="top"/>
      <protection/>
    </xf>
    <xf numFmtId="0" fontId="0" fillId="2" borderId="10" xfId="0" applyNumberFormat="1" applyFont="1" applyFill="1" applyBorder="1" applyAlignment="1">
      <alignment horizontal="right" vertical="top"/>
    </xf>
    <xf numFmtId="0" fontId="0" fillId="2" borderId="32" xfId="82" applyFont="1" applyFill="1" applyBorder="1" applyAlignment="1">
      <alignment horizontal="left" vertical="top" wrapText="1"/>
      <protection/>
    </xf>
    <xf numFmtId="1" fontId="0" fillId="0" borderId="23" xfId="0" applyNumberFormat="1" applyFont="1" applyBorder="1" applyAlignment="1">
      <alignment horizontal="right" vertical="top"/>
    </xf>
    <xf numFmtId="1" fontId="0" fillId="0" borderId="38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/>
    </xf>
    <xf numFmtId="1" fontId="0" fillId="0" borderId="10" xfId="0" applyNumberFormat="1" applyFont="1" applyBorder="1" applyAlignment="1">
      <alignment horizontal="right" vertical="top"/>
    </xf>
    <xf numFmtId="181" fontId="0" fillId="0" borderId="43" xfId="0" applyNumberFormat="1" applyFont="1" applyBorder="1" applyAlignment="1">
      <alignment vertical="top"/>
    </xf>
    <xf numFmtId="0" fontId="0" fillId="0" borderId="32" xfId="0" applyNumberFormat="1" applyFont="1" applyFill="1" applyBorder="1" applyAlignment="1">
      <alignment horizontal="left" vertical="top"/>
    </xf>
    <xf numFmtId="0" fontId="0" fillId="0" borderId="32" xfId="0" applyNumberFormat="1" applyFont="1" applyBorder="1" applyAlignment="1">
      <alignment horizontal="left" vertical="top" wrapText="1"/>
    </xf>
    <xf numFmtId="0" fontId="0" fillId="0" borderId="32" xfId="71" applyNumberFormat="1" applyFont="1" applyBorder="1" applyAlignment="1">
      <alignment horizontal="left" vertical="top"/>
      <protection/>
    </xf>
    <xf numFmtId="0" fontId="0" fillId="0" borderId="37" xfId="0" applyFont="1" applyBorder="1" applyAlignment="1">
      <alignment horizontal="left" vertical="top"/>
    </xf>
    <xf numFmtId="1" fontId="0" fillId="0" borderId="16" xfId="0" applyNumberFormat="1" applyFont="1" applyBorder="1" applyAlignment="1">
      <alignment horizontal="right" vertical="top"/>
    </xf>
    <xf numFmtId="1" fontId="0" fillId="2" borderId="23" xfId="0" applyNumberFormat="1" applyFont="1" applyFill="1" applyBorder="1" applyAlignment="1">
      <alignment horizontal="right" vertical="top"/>
    </xf>
    <xf numFmtId="0" fontId="0" fillId="0" borderId="32" xfId="0" applyFont="1" applyBorder="1" applyAlignment="1">
      <alignment horizontal="left" vertical="top" wrapText="1"/>
    </xf>
    <xf numFmtId="1" fontId="0" fillId="0" borderId="41" xfId="0" applyNumberFormat="1" applyFont="1" applyBorder="1" applyAlignment="1">
      <alignment horizontal="right" vertical="top"/>
    </xf>
    <xf numFmtId="1" fontId="0" fillId="0" borderId="40" xfId="0" applyNumberFormat="1" applyFont="1" applyBorder="1" applyAlignment="1">
      <alignment horizontal="right" vertical="top"/>
    </xf>
    <xf numFmtId="0" fontId="0" fillId="0" borderId="32" xfId="0" applyFont="1" applyFill="1" applyBorder="1" applyAlignment="1">
      <alignment horizontal="left" vertical="top" wrapText="1"/>
    </xf>
    <xf numFmtId="1" fontId="0" fillId="0" borderId="23" xfId="0" applyNumberFormat="1" applyFont="1" applyBorder="1" applyAlignment="1">
      <alignment horizontal="right" vertical="top" wrapText="1"/>
    </xf>
    <xf numFmtId="1" fontId="0" fillId="0" borderId="23" xfId="0" applyNumberFormat="1" applyFont="1" applyFill="1" applyBorder="1" applyAlignment="1">
      <alignment horizontal="right" vertical="top"/>
    </xf>
    <xf numFmtId="0" fontId="0" fillId="0" borderId="23" xfId="82" applyFont="1" applyBorder="1" applyAlignment="1">
      <alignment horizontal="right" vertical="top"/>
      <protection/>
    </xf>
    <xf numFmtId="0" fontId="19" fillId="0" borderId="14" xfId="0" applyFont="1" applyFill="1" applyBorder="1" applyAlignment="1">
      <alignment horizontal="center" vertical="top" wrapText="1"/>
    </xf>
    <xf numFmtId="1" fontId="0" fillId="0" borderId="32" xfId="0" applyNumberFormat="1" applyFont="1" applyBorder="1" applyAlignment="1">
      <alignment horizontal="left" vertical="top"/>
    </xf>
    <xf numFmtId="0" fontId="0" fillId="0" borderId="73" xfId="0" applyNumberFormat="1" applyFont="1" applyBorder="1" applyAlignment="1">
      <alignment horizontal="left" vertical="top" wrapText="1"/>
    </xf>
    <xf numFmtId="0" fontId="0" fillId="0" borderId="37" xfId="0" applyNumberFormat="1" applyFont="1" applyFill="1" applyBorder="1" applyAlignment="1">
      <alignment horizontal="left" vertical="top"/>
    </xf>
    <xf numFmtId="0" fontId="5" fillId="2" borderId="13" xfId="0" applyNumberFormat="1" applyFont="1" applyFill="1" applyBorder="1" applyAlignment="1">
      <alignment vertical="top" wrapText="1"/>
    </xf>
    <xf numFmtId="1" fontId="0" fillId="2" borderId="23" xfId="0" applyNumberFormat="1" applyFont="1" applyFill="1" applyBorder="1" applyAlignment="1">
      <alignment vertical="top"/>
    </xf>
    <xf numFmtId="0" fontId="0" fillId="5" borderId="36" xfId="0" applyNumberFormat="1" applyFont="1" applyFill="1" applyBorder="1" applyAlignment="1">
      <alignment horizontal="left" vertical="top"/>
    </xf>
    <xf numFmtId="181" fontId="0" fillId="0" borderId="37" xfId="80" applyNumberFormat="1" applyFont="1" applyBorder="1" applyAlignment="1">
      <alignment horizontal="right" vertical="top"/>
      <protection/>
    </xf>
    <xf numFmtId="0" fontId="0" fillId="0" borderId="64" xfId="80" applyFont="1" applyBorder="1" applyAlignment="1">
      <alignment vertical="top"/>
      <protection/>
    </xf>
    <xf numFmtId="181" fontId="14" fillId="6" borderId="28" xfId="0" applyNumberFormat="1" applyFont="1" applyFill="1" applyBorder="1" applyAlignment="1">
      <alignment vertical="top"/>
    </xf>
    <xf numFmtId="181" fontId="0" fillId="0" borderId="28" xfId="0" applyNumberFormat="1" applyFont="1" applyFill="1" applyBorder="1" applyAlignment="1">
      <alignment vertical="top"/>
    </xf>
    <xf numFmtId="181" fontId="0" fillId="0" borderId="59" xfId="0" applyNumberFormat="1" applyFont="1" applyFill="1" applyBorder="1" applyAlignment="1">
      <alignment vertical="top"/>
    </xf>
    <xf numFmtId="181" fontId="14" fillId="0" borderId="59" xfId="0" applyNumberFormat="1" applyFont="1" applyFill="1" applyBorder="1" applyAlignment="1">
      <alignment vertical="top"/>
    </xf>
    <xf numFmtId="181" fontId="0" fillId="0" borderId="74" xfId="0" applyNumberFormat="1" applyFont="1" applyFill="1" applyBorder="1" applyAlignment="1">
      <alignment vertical="top"/>
    </xf>
    <xf numFmtId="0" fontId="0" fillId="0" borderId="75" xfId="0" applyFont="1" applyFill="1" applyBorder="1" applyAlignment="1">
      <alignment vertical="top"/>
    </xf>
    <xf numFmtId="0" fontId="0" fillId="0" borderId="59" xfId="0" applyFont="1" applyFill="1" applyBorder="1" applyAlignment="1">
      <alignment vertical="top"/>
    </xf>
    <xf numFmtId="0" fontId="0" fillId="0" borderId="74" xfId="0" applyFont="1" applyFill="1" applyBorder="1" applyAlignment="1">
      <alignment vertical="top"/>
    </xf>
    <xf numFmtId="0" fontId="0" fillId="0" borderId="76" xfId="0" applyFont="1" applyFill="1" applyBorder="1" applyAlignment="1">
      <alignment vertical="top"/>
    </xf>
    <xf numFmtId="181" fontId="14" fillId="6" borderId="18" xfId="0" applyNumberFormat="1" applyFont="1" applyFill="1" applyBorder="1" applyAlignment="1">
      <alignment vertical="top"/>
    </xf>
    <xf numFmtId="181" fontId="14" fillId="0" borderId="75" xfId="0" applyNumberFormat="1" applyFont="1" applyFill="1" applyBorder="1" applyAlignment="1">
      <alignment vertical="top"/>
    </xf>
    <xf numFmtId="181" fontId="14" fillId="0" borderId="74" xfId="0" applyNumberFormat="1" applyFont="1" applyFill="1" applyBorder="1" applyAlignment="1">
      <alignment vertical="top"/>
    </xf>
    <xf numFmtId="181" fontId="0" fillId="0" borderId="75" xfId="0" applyNumberFormat="1" applyFont="1" applyBorder="1" applyAlignment="1">
      <alignment vertical="top"/>
    </xf>
    <xf numFmtId="181" fontId="0" fillId="0" borderId="59" xfId="0" applyNumberFormat="1" applyFont="1" applyBorder="1" applyAlignment="1">
      <alignment vertical="top"/>
    </xf>
    <xf numFmtId="181" fontId="0" fillId="0" borderId="74" xfId="0" applyNumberFormat="1" applyFont="1" applyBorder="1" applyAlignment="1">
      <alignment vertical="top"/>
    </xf>
    <xf numFmtId="181" fontId="14" fillId="0" borderId="76" xfId="0" applyNumberFormat="1" applyFont="1" applyFill="1" applyBorder="1" applyAlignment="1">
      <alignment vertical="top"/>
    </xf>
    <xf numFmtId="181" fontId="14" fillId="0" borderId="77" xfId="0" applyNumberFormat="1" applyFont="1" applyFill="1" applyBorder="1" applyAlignment="1">
      <alignment vertical="top"/>
    </xf>
    <xf numFmtId="181" fontId="0" fillId="0" borderId="77" xfId="0" applyNumberFormat="1" applyFont="1" applyBorder="1" applyAlignment="1">
      <alignment vertical="top"/>
    </xf>
    <xf numFmtId="181" fontId="0" fillId="0" borderId="75" xfId="0" applyNumberFormat="1" applyFont="1" applyFill="1" applyBorder="1" applyAlignment="1">
      <alignment vertical="top"/>
    </xf>
    <xf numFmtId="181" fontId="0" fillId="5" borderId="59" xfId="0" applyNumberFormat="1" applyFont="1" applyFill="1" applyBorder="1" applyAlignment="1">
      <alignment vertical="top"/>
    </xf>
    <xf numFmtId="181" fontId="0" fillId="5" borderId="74" xfId="0" applyNumberFormat="1" applyFont="1" applyFill="1" applyBorder="1" applyAlignment="1">
      <alignment vertical="top"/>
    </xf>
    <xf numFmtId="181" fontId="0" fillId="5" borderId="76" xfId="0" applyNumberFormat="1" applyFont="1" applyFill="1" applyBorder="1" applyAlignment="1">
      <alignment vertical="top"/>
    </xf>
    <xf numFmtId="181" fontId="0" fillId="5" borderId="59" xfId="0" applyNumberFormat="1" applyFont="1" applyFill="1" applyBorder="1" applyAlignment="1">
      <alignment vertical="top"/>
    </xf>
    <xf numFmtId="181" fontId="0" fillId="5" borderId="77" xfId="0" applyNumberFormat="1" applyFont="1" applyFill="1" applyBorder="1" applyAlignment="1">
      <alignment vertical="top"/>
    </xf>
    <xf numFmtId="181" fontId="0" fillId="5" borderId="75" xfId="0" applyNumberFormat="1" applyFont="1" applyFill="1" applyBorder="1" applyAlignment="1">
      <alignment vertical="top"/>
    </xf>
    <xf numFmtId="181" fontId="0" fillId="0" borderId="21" xfId="0" applyNumberFormat="1" applyFont="1" applyBorder="1" applyAlignment="1">
      <alignment vertical="top"/>
    </xf>
    <xf numFmtId="181" fontId="0" fillId="5" borderId="21" xfId="0" applyNumberFormat="1" applyFont="1" applyFill="1" applyBorder="1" applyAlignment="1">
      <alignment vertical="top"/>
    </xf>
    <xf numFmtId="181" fontId="0" fillId="5" borderId="36" xfId="0" applyNumberFormat="1" applyFont="1" applyFill="1" applyBorder="1" applyAlignment="1">
      <alignment vertical="top"/>
    </xf>
    <xf numFmtId="181" fontId="0" fillId="5" borderId="32" xfId="0" applyNumberFormat="1" applyFont="1" applyFill="1" applyBorder="1" applyAlignment="1">
      <alignment vertical="top"/>
    </xf>
    <xf numFmtId="181" fontId="0" fillId="0" borderId="45" xfId="0" applyNumberFormat="1" applyFont="1" applyFill="1" applyBorder="1" applyAlignment="1">
      <alignment vertical="top"/>
    </xf>
    <xf numFmtId="181" fontId="0" fillId="0" borderId="43" xfId="0" applyNumberFormat="1" applyFont="1" applyFill="1" applyBorder="1" applyAlignment="1">
      <alignment vertical="top"/>
    </xf>
    <xf numFmtId="181" fontId="0" fillId="0" borderId="32" xfId="0" applyNumberFormat="1" applyFont="1" applyFill="1" applyBorder="1" applyAlignment="1">
      <alignment vertical="top"/>
    </xf>
    <xf numFmtId="181" fontId="0" fillId="0" borderId="32" xfId="0" applyNumberFormat="1" applyFont="1" applyBorder="1" applyAlignment="1">
      <alignment vertical="top"/>
    </xf>
    <xf numFmtId="181" fontId="0" fillId="0" borderId="37" xfId="0" applyNumberFormat="1" applyFont="1" applyFill="1" applyBorder="1" applyAlignment="1">
      <alignment vertical="top"/>
    </xf>
    <xf numFmtId="181" fontId="0" fillId="0" borderId="21" xfId="0" applyNumberFormat="1" applyFont="1" applyFill="1" applyBorder="1" applyAlignment="1">
      <alignment vertical="top"/>
    </xf>
    <xf numFmtId="181" fontId="0" fillId="0" borderId="76" xfId="0" applyNumberFormat="1" applyFont="1" applyBorder="1" applyAlignment="1">
      <alignment vertical="top"/>
    </xf>
    <xf numFmtId="0" fontId="0" fillId="0" borderId="59" xfId="0" applyNumberFormat="1" applyFont="1" applyBorder="1" applyAlignment="1">
      <alignment vertical="top"/>
    </xf>
    <xf numFmtId="181" fontId="0" fillId="0" borderId="78" xfId="0" applyNumberFormat="1" applyFont="1" applyBorder="1" applyAlignment="1">
      <alignment vertical="top"/>
    </xf>
    <xf numFmtId="181" fontId="0" fillId="0" borderId="44" xfId="0" applyNumberFormat="1" applyFont="1" applyBorder="1" applyAlignment="1">
      <alignment vertical="top"/>
    </xf>
    <xf numFmtId="181" fontId="0" fillId="0" borderId="59" xfId="71" applyNumberFormat="1" applyFont="1" applyBorder="1" applyAlignment="1">
      <alignment vertical="top"/>
      <protection/>
    </xf>
    <xf numFmtId="181" fontId="14" fillId="6" borderId="78" xfId="0" applyNumberFormat="1" applyFont="1" applyFill="1" applyBorder="1" applyAlignment="1">
      <alignment vertical="top"/>
    </xf>
    <xf numFmtId="181" fontId="0" fillId="0" borderId="18" xfId="0" applyNumberFormat="1" applyFont="1" applyFill="1" applyBorder="1" applyAlignment="1">
      <alignment vertical="top"/>
    </xf>
    <xf numFmtId="181" fontId="0" fillId="0" borderId="76" xfId="0" applyNumberFormat="1" applyFont="1" applyFill="1" applyBorder="1" applyAlignment="1">
      <alignment vertical="top"/>
    </xf>
    <xf numFmtId="181" fontId="0" fillId="0" borderId="18" xfId="0" applyNumberFormat="1" applyFont="1" applyBorder="1" applyAlignment="1">
      <alignment vertical="top"/>
    </xf>
    <xf numFmtId="181" fontId="0" fillId="0" borderId="77" xfId="0" applyNumberFormat="1" applyFont="1" applyFill="1" applyBorder="1" applyAlignment="1">
      <alignment vertical="top"/>
    </xf>
    <xf numFmtId="181" fontId="14" fillId="6" borderId="21" xfId="0" applyNumberFormat="1" applyFont="1" applyFill="1" applyBorder="1" applyAlignment="1">
      <alignment vertical="top"/>
    </xf>
    <xf numFmtId="4" fontId="3" fillId="2" borderId="13" xfId="0" applyNumberFormat="1" applyFont="1" applyFill="1" applyBorder="1" applyAlignment="1">
      <alignment horizontal="right" vertical="top"/>
    </xf>
    <xf numFmtId="0" fontId="0" fillId="2" borderId="13" xfId="0" applyNumberFormat="1" applyFont="1" applyFill="1" applyBorder="1" applyAlignment="1">
      <alignment horizontal="right" vertical="top"/>
    </xf>
    <xf numFmtId="181" fontId="0" fillId="2" borderId="36" xfId="0" applyNumberFormat="1" applyFont="1" applyFill="1" applyBorder="1" applyAlignment="1">
      <alignment vertical="top"/>
    </xf>
    <xf numFmtId="1" fontId="0" fillId="2" borderId="32" xfId="0" applyNumberFormat="1" applyFont="1" applyFill="1" applyBorder="1" applyAlignment="1">
      <alignment horizontal="left" vertical="top"/>
    </xf>
    <xf numFmtId="181" fontId="14" fillId="2" borderId="32" xfId="0" applyNumberFormat="1" applyFont="1" applyFill="1" applyBorder="1" applyAlignment="1">
      <alignment vertical="top"/>
    </xf>
    <xf numFmtId="181" fontId="0" fillId="2" borderId="57" xfId="0" applyNumberFormat="1" applyFont="1" applyFill="1" applyBorder="1" applyAlignment="1">
      <alignment horizontal="right" vertical="top"/>
    </xf>
    <xf numFmtId="181" fontId="14" fillId="2" borderId="57" xfId="0" applyNumberFormat="1" applyFont="1" applyFill="1" applyBorder="1" applyAlignment="1">
      <alignment horizontal="right" vertical="top"/>
    </xf>
    <xf numFmtId="1" fontId="0" fillId="0" borderId="29" xfId="0" applyNumberFormat="1" applyFont="1" applyBorder="1" applyAlignment="1">
      <alignment horizontal="right" vertical="top"/>
    </xf>
    <xf numFmtId="179" fontId="0" fillId="0" borderId="13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right" vertical="top"/>
    </xf>
    <xf numFmtId="0" fontId="58" fillId="0" borderId="12" xfId="71" applyNumberFormat="1" applyFont="1" applyBorder="1" applyAlignment="1">
      <alignment horizontal="center" vertical="top"/>
      <protection/>
    </xf>
    <xf numFmtId="0" fontId="0" fillId="0" borderId="79" xfId="0" applyNumberFormat="1" applyFont="1" applyBorder="1" applyAlignment="1">
      <alignment horizontal="center" vertical="top"/>
    </xf>
    <xf numFmtId="0" fontId="0" fillId="0" borderId="69" xfId="0" applyNumberFormat="1" applyFont="1" applyBorder="1" applyAlignment="1">
      <alignment horizontal="center" vertical="top"/>
    </xf>
    <xf numFmtId="0" fontId="0" fillId="0" borderId="69" xfId="0" applyNumberFormat="1" applyFont="1" applyBorder="1" applyAlignment="1">
      <alignment horizontal="left" vertical="top"/>
    </xf>
    <xf numFmtId="1" fontId="0" fillId="0" borderId="32" xfId="0" applyNumberFormat="1" applyFont="1" applyBorder="1" applyAlignment="1">
      <alignment horizontal="center" vertical="top"/>
    </xf>
    <xf numFmtId="0" fontId="19" fillId="0" borderId="35" xfId="0" applyFont="1" applyFill="1" applyBorder="1" applyAlignment="1">
      <alignment horizontal="center" vertical="top"/>
    </xf>
    <xf numFmtId="1" fontId="0" fillId="0" borderId="57" xfId="0" applyNumberFormat="1" applyFont="1" applyBorder="1" applyAlignment="1">
      <alignment horizontal="left" vertical="top"/>
    </xf>
    <xf numFmtId="0" fontId="0" fillId="5" borderId="30" xfId="0" applyFont="1" applyFill="1" applyBorder="1" applyAlignment="1">
      <alignment vertical="top" wrapText="1"/>
    </xf>
    <xf numFmtId="0" fontId="27" fillId="5" borderId="30" xfId="0" applyFont="1" applyFill="1" applyBorder="1" applyAlignment="1">
      <alignment horizontal="left" vertical="top" wrapText="1"/>
    </xf>
    <xf numFmtId="0" fontId="18" fillId="5" borderId="30" xfId="0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left" vertical="top"/>
    </xf>
    <xf numFmtId="1" fontId="7" fillId="5" borderId="12" xfId="80" applyNumberFormat="1" applyFont="1" applyFill="1" applyBorder="1" applyAlignment="1">
      <alignment horizontal="right" vertical="top"/>
      <protection/>
    </xf>
    <xf numFmtId="0" fontId="0" fillId="5" borderId="38" xfId="0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vertical="top" wrapText="1"/>
    </xf>
    <xf numFmtId="0" fontId="30" fillId="0" borderId="25" xfId="42" applyNumberFormat="1" applyFont="1" applyFill="1" applyBorder="1" applyAlignment="1" applyProtection="1">
      <alignment horizontal="left" vertical="top" wrapText="1"/>
      <protection/>
    </xf>
    <xf numFmtId="0" fontId="15" fillId="5" borderId="11" xfId="0" applyNumberFormat="1" applyFont="1" applyFill="1" applyBorder="1" applyAlignment="1">
      <alignment horizontal="center" vertical="top" wrapText="1"/>
    </xf>
    <xf numFmtId="181" fontId="0" fillId="5" borderId="76" xfId="0" applyNumberFormat="1" applyFont="1" applyFill="1" applyBorder="1" applyAlignment="1">
      <alignment vertical="top"/>
    </xf>
    <xf numFmtId="181" fontId="0" fillId="5" borderId="37" xfId="0" applyNumberFormat="1" applyFont="1" applyFill="1" applyBorder="1" applyAlignment="1">
      <alignment vertical="top"/>
    </xf>
    <xf numFmtId="1" fontId="0" fillId="0" borderId="48" xfId="0" applyNumberFormat="1" applyFont="1" applyBorder="1" applyAlignment="1">
      <alignment horizontal="right" vertical="top"/>
    </xf>
    <xf numFmtId="1" fontId="0" fillId="0" borderId="68" xfId="0" applyNumberFormat="1" applyFont="1" applyFill="1" applyBorder="1" applyAlignment="1">
      <alignment horizontal="right" vertical="top"/>
    </xf>
    <xf numFmtId="1" fontId="0" fillId="0" borderId="23" xfId="0" applyNumberFormat="1" applyFont="1" applyBorder="1" applyAlignment="1">
      <alignment horizontal="right" vertical="top"/>
    </xf>
    <xf numFmtId="1" fontId="0" fillId="0" borderId="23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" fontId="5" fillId="0" borderId="33" xfId="0" applyNumberFormat="1" applyFont="1" applyBorder="1" applyAlignment="1">
      <alignment horizontal="center" vertical="top"/>
    </xf>
    <xf numFmtId="0" fontId="3" fillId="6" borderId="33" xfId="0" applyFont="1" applyFill="1" applyBorder="1" applyAlignment="1">
      <alignment horizontal="center" vertical="top"/>
    </xf>
    <xf numFmtId="1" fontId="0" fillId="2" borderId="36" xfId="0" applyNumberFormat="1" applyFont="1" applyFill="1" applyBorder="1" applyAlignment="1">
      <alignment horizontal="center" vertical="top"/>
    </xf>
    <xf numFmtId="1" fontId="0" fillId="2" borderId="32" xfId="0" applyNumberFormat="1" applyFont="1" applyFill="1" applyBorder="1" applyAlignment="1">
      <alignment horizontal="center" vertical="top"/>
    </xf>
    <xf numFmtId="1" fontId="0" fillId="2" borderId="32" xfId="0" applyNumberFormat="1" applyFont="1" applyFill="1" applyBorder="1" applyAlignment="1">
      <alignment horizontal="center" vertical="top"/>
    </xf>
    <xf numFmtId="1" fontId="0" fillId="0" borderId="44" xfId="0" applyNumberFormat="1" applyFont="1" applyBorder="1" applyAlignment="1">
      <alignment horizontal="center" vertical="top"/>
    </xf>
    <xf numFmtId="1" fontId="0" fillId="0" borderId="32" xfId="0" applyNumberFormat="1" applyFont="1" applyBorder="1" applyAlignment="1">
      <alignment horizontal="center" vertical="top" wrapText="1"/>
    </xf>
    <xf numFmtId="1" fontId="0" fillId="0" borderId="32" xfId="0" applyNumberFormat="1" applyFont="1" applyBorder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/>
    </xf>
    <xf numFmtId="1" fontId="0" fillId="0" borderId="37" xfId="0" applyNumberFormat="1" applyFont="1" applyBorder="1" applyAlignment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0" fillId="0" borderId="45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top"/>
    </xf>
    <xf numFmtId="0" fontId="3" fillId="6" borderId="43" xfId="0" applyFont="1" applyFill="1" applyBorder="1" applyAlignment="1">
      <alignment horizontal="center" vertical="top"/>
    </xf>
    <xf numFmtId="1" fontId="0" fillId="0" borderId="36" xfId="0" applyNumberFormat="1" applyFont="1" applyBorder="1" applyAlignment="1">
      <alignment horizontal="center" vertical="top" wrapText="1"/>
    </xf>
    <xf numFmtId="1" fontId="0" fillId="0" borderId="37" xfId="0" applyNumberFormat="1" applyFont="1" applyBorder="1" applyAlignment="1">
      <alignment horizontal="center" vertical="top" wrapText="1"/>
    </xf>
    <xf numFmtId="1" fontId="0" fillId="0" borderId="36" xfId="0" applyNumberFormat="1" applyFont="1" applyBorder="1" applyAlignment="1">
      <alignment horizontal="center" vertical="top"/>
    </xf>
    <xf numFmtId="1" fontId="0" fillId="5" borderId="32" xfId="0" applyNumberFormat="1" applyFont="1" applyFill="1" applyBorder="1" applyAlignment="1">
      <alignment horizontal="center" vertical="top"/>
    </xf>
    <xf numFmtId="1" fontId="0" fillId="5" borderId="37" xfId="0" applyNumberFormat="1" applyFont="1" applyFill="1" applyBorder="1" applyAlignment="1">
      <alignment horizontal="center" vertical="top"/>
    </xf>
    <xf numFmtId="1" fontId="0" fillId="0" borderId="45" xfId="0" applyNumberFormat="1" applyFont="1" applyBorder="1" applyAlignment="1">
      <alignment horizontal="center" vertical="top"/>
    </xf>
    <xf numFmtId="1" fontId="0" fillId="5" borderId="36" xfId="0" applyNumberFormat="1" applyFont="1" applyFill="1" applyBorder="1" applyAlignment="1">
      <alignment horizontal="center" vertical="top"/>
    </xf>
    <xf numFmtId="0" fontId="0" fillId="0" borderId="32" xfId="82" applyFont="1" applyBorder="1" applyAlignment="1">
      <alignment horizontal="center" vertical="top"/>
      <protection/>
    </xf>
    <xf numFmtId="1" fontId="0" fillId="0" borderId="37" xfId="0" applyNumberFormat="1" applyFont="1" applyBorder="1" applyAlignment="1">
      <alignment horizontal="center" vertical="top"/>
    </xf>
    <xf numFmtId="1" fontId="0" fillId="0" borderId="36" xfId="0" applyNumberFormat="1" applyFont="1" applyFill="1" applyBorder="1" applyAlignment="1">
      <alignment horizontal="center" vertical="top"/>
    </xf>
    <xf numFmtId="1" fontId="0" fillId="0" borderId="45" xfId="0" applyNumberFormat="1" applyFont="1" applyFill="1" applyBorder="1" applyAlignment="1">
      <alignment horizontal="center" vertical="top"/>
    </xf>
    <xf numFmtId="1" fontId="0" fillId="0" borderId="43" xfId="0" applyNumberFormat="1" applyFont="1" applyFill="1" applyBorder="1" applyAlignment="1">
      <alignment horizontal="center" vertical="top"/>
    </xf>
    <xf numFmtId="1" fontId="0" fillId="0" borderId="37" xfId="0" applyNumberFormat="1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top"/>
    </xf>
    <xf numFmtId="1" fontId="14" fillId="5" borderId="32" xfId="0" applyNumberFormat="1" applyFont="1" applyFill="1" applyBorder="1" applyAlignment="1">
      <alignment horizontal="center" vertical="top"/>
    </xf>
    <xf numFmtId="1" fontId="0" fillId="0" borderId="44" xfId="0" applyNumberFormat="1" applyFont="1" applyFill="1" applyBorder="1" applyAlignment="1">
      <alignment horizontal="center" vertical="top"/>
    </xf>
    <xf numFmtId="1" fontId="0" fillId="0" borderId="34" xfId="0" applyNumberFormat="1" applyFont="1" applyBorder="1" applyAlignment="1">
      <alignment horizontal="center" vertical="top"/>
    </xf>
    <xf numFmtId="1" fontId="0" fillId="0" borderId="34" xfId="0" applyNumberFormat="1" applyFont="1" applyFill="1" applyBorder="1" applyAlignment="1">
      <alignment horizontal="center" vertical="top"/>
    </xf>
    <xf numFmtId="1" fontId="0" fillId="0" borderId="73" xfId="0" applyNumberFormat="1" applyFont="1" applyBorder="1" applyAlignment="1">
      <alignment horizontal="center" vertical="top"/>
    </xf>
    <xf numFmtId="1" fontId="0" fillId="0" borderId="46" xfId="0" applyNumberFormat="1" applyFont="1" applyBorder="1" applyAlignment="1">
      <alignment horizontal="center" vertical="top"/>
    </xf>
    <xf numFmtId="0" fontId="0" fillId="0" borderId="37" xfId="80" applyFont="1" applyBorder="1" applyAlignment="1">
      <alignment horizontal="center" vertical="top"/>
      <protection/>
    </xf>
    <xf numFmtId="1" fontId="14" fillId="0" borderId="32" xfId="67" applyNumberFormat="1" applyFont="1" applyBorder="1" applyAlignment="1">
      <alignment horizontal="center" vertical="top"/>
      <protection/>
    </xf>
    <xf numFmtId="1" fontId="0" fillId="0" borderId="43" xfId="0" applyNumberFormat="1" applyFont="1" applyBorder="1" applyAlignment="1">
      <alignment horizontal="center" vertical="top"/>
    </xf>
    <xf numFmtId="1" fontId="0" fillId="0" borderId="32" xfId="71" applyNumberFormat="1" applyFont="1" applyBorder="1" applyAlignment="1">
      <alignment horizontal="center" vertical="top"/>
      <protection/>
    </xf>
    <xf numFmtId="1" fontId="14" fillId="0" borderId="32" xfId="0" applyNumberFormat="1" applyFont="1" applyFill="1" applyBorder="1" applyAlignment="1">
      <alignment horizontal="center" vertical="top"/>
    </xf>
    <xf numFmtId="1" fontId="0" fillId="0" borderId="45" xfId="0" applyNumberFormat="1" applyFont="1" applyBorder="1" applyAlignment="1">
      <alignment horizontal="center" vertical="top" wrapText="1"/>
    </xf>
    <xf numFmtId="0" fontId="14" fillId="5" borderId="32" xfId="83" applyFont="1" applyFill="1" applyBorder="1" applyAlignment="1">
      <alignment horizontal="center" vertical="top"/>
      <protection/>
    </xf>
    <xf numFmtId="1" fontId="0" fillId="5" borderId="32" xfId="71" applyNumberFormat="1" applyFont="1" applyFill="1" applyBorder="1" applyAlignment="1">
      <alignment horizontal="center" vertical="top"/>
      <protection/>
    </xf>
    <xf numFmtId="1" fontId="0" fillId="0" borderId="46" xfId="0" applyNumberFormat="1" applyFont="1" applyFill="1" applyBorder="1" applyAlignment="1">
      <alignment horizontal="center" vertical="top"/>
    </xf>
    <xf numFmtId="1" fontId="0" fillId="0" borderId="73" xfId="0" applyNumberFormat="1" applyFont="1" applyFill="1" applyBorder="1" applyAlignment="1">
      <alignment horizontal="center" vertical="top"/>
    </xf>
    <xf numFmtId="0" fontId="3" fillId="6" borderId="46" xfId="0" applyFont="1" applyFill="1" applyBorder="1" applyAlignment="1">
      <alignment horizontal="center" vertical="top"/>
    </xf>
    <xf numFmtId="1" fontId="0" fillId="0" borderId="33" xfId="0" applyNumberFormat="1" applyFont="1" applyFill="1" applyBorder="1" applyAlignment="1">
      <alignment horizontal="center" vertical="top"/>
    </xf>
    <xf numFmtId="1" fontId="14" fillId="0" borderId="32" xfId="0" applyNumberFormat="1" applyFont="1" applyFill="1" applyBorder="1" applyAlignment="1">
      <alignment horizontal="center" vertical="top" wrapText="1"/>
    </xf>
    <xf numFmtId="1" fontId="0" fillId="0" borderId="73" xfId="0" applyNumberFormat="1" applyFont="1" applyFill="1" applyBorder="1" applyAlignment="1">
      <alignment horizontal="center" vertical="top"/>
    </xf>
    <xf numFmtId="1" fontId="14" fillId="5" borderId="32" xfId="0" applyNumberFormat="1" applyFont="1" applyFill="1" applyBorder="1" applyAlignment="1">
      <alignment horizontal="center" vertical="top" wrapText="1"/>
    </xf>
    <xf numFmtId="0" fontId="3" fillId="6" borderId="34" xfId="0" applyFont="1" applyFill="1" applyBorder="1" applyAlignment="1">
      <alignment horizontal="center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right" vertical="top"/>
    </xf>
    <xf numFmtId="0" fontId="19" fillId="0" borderId="13" xfId="0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5" fillId="0" borderId="33" xfId="0" applyNumberFormat="1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/>
    </xf>
    <xf numFmtId="0" fontId="5" fillId="2" borderId="10" xfId="82" applyFont="1" applyFill="1" applyBorder="1" applyAlignment="1">
      <alignment horizontal="center" vertical="top" wrapText="1"/>
      <protection/>
    </xf>
    <xf numFmtId="179" fontId="5" fillId="0" borderId="10" xfId="0" applyNumberFormat="1" applyFont="1" applyBorder="1" applyAlignment="1">
      <alignment horizontal="center" vertical="top" wrapText="1"/>
    </xf>
    <xf numFmtId="179" fontId="5" fillId="0" borderId="10" xfId="0" applyNumberFormat="1" applyFont="1" applyBorder="1" applyAlignment="1">
      <alignment horizontal="center" vertical="top"/>
    </xf>
    <xf numFmtId="179" fontId="5" fillId="0" borderId="10" xfId="0" applyNumberFormat="1" applyFont="1" applyFill="1" applyBorder="1" applyAlignment="1">
      <alignment horizontal="center" vertical="top" wrapText="1"/>
    </xf>
    <xf numFmtId="179" fontId="5" fillId="0" borderId="12" xfId="0" applyNumberFormat="1" applyFont="1" applyBorder="1" applyAlignment="1">
      <alignment horizontal="center" vertical="top" wrapText="1"/>
    </xf>
    <xf numFmtId="179" fontId="5" fillId="0" borderId="13" xfId="0" applyNumberFormat="1" applyFont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0" borderId="10" xfId="82" applyFont="1" applyBorder="1" applyAlignment="1">
      <alignment horizontal="center" vertical="top" wrapText="1"/>
      <protection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79" fontId="5" fillId="0" borderId="80" xfId="0" applyNumberFormat="1" applyFont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/>
    </xf>
    <xf numFmtId="0" fontId="5" fillId="0" borderId="55" xfId="0" applyNumberFormat="1" applyFont="1" applyFill="1" applyBorder="1" applyAlignment="1">
      <alignment horizontal="center" vertical="top" wrapText="1"/>
    </xf>
    <xf numFmtId="0" fontId="5" fillId="0" borderId="12" xfId="80" applyFont="1" applyBorder="1" applyAlignment="1">
      <alignment horizontal="center" vertical="top" wrapText="1"/>
      <protection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5" fillId="5" borderId="3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71" applyNumberFormat="1" applyFont="1" applyBorder="1" applyAlignment="1">
      <alignment horizontal="center" vertical="top" wrapText="1"/>
      <protection/>
    </xf>
    <xf numFmtId="0" fontId="5" fillId="0" borderId="0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1" fontId="5" fillId="0" borderId="23" xfId="0" applyNumberFormat="1" applyFont="1" applyBorder="1" applyAlignment="1">
      <alignment vertical="top"/>
    </xf>
    <xf numFmtId="1" fontId="5" fillId="0" borderId="38" xfId="0" applyNumberFormat="1" applyFont="1" applyBorder="1" applyAlignment="1">
      <alignment vertical="top"/>
    </xf>
    <xf numFmtId="4" fontId="3" fillId="5" borderId="25" xfId="0" applyNumberFormat="1" applyFont="1" applyFill="1" applyBorder="1" applyAlignment="1">
      <alignment horizontal="right" vertical="top"/>
    </xf>
    <xf numFmtId="0" fontId="34" fillId="6" borderId="24" xfId="0" applyFont="1" applyFill="1" applyBorder="1" applyAlignment="1">
      <alignment vertical="top"/>
    </xf>
    <xf numFmtId="0" fontId="34" fillId="6" borderId="42" xfId="0" applyFont="1" applyFill="1" applyBorder="1" applyAlignment="1">
      <alignment vertical="top"/>
    </xf>
    <xf numFmtId="0" fontId="34" fillId="6" borderId="39" xfId="0" applyFont="1" applyFill="1" applyBorder="1" applyAlignment="1">
      <alignment vertical="top"/>
    </xf>
    <xf numFmtId="0" fontId="34" fillId="6" borderId="40" xfId="0" applyFont="1" applyFill="1" applyBorder="1" applyAlignment="1">
      <alignment vertical="top"/>
    </xf>
    <xf numFmtId="0" fontId="30" fillId="0" borderId="17" xfId="42" applyFont="1" applyBorder="1" applyAlignment="1" applyProtection="1">
      <alignment vertical="top" wrapText="1"/>
      <protection/>
    </xf>
    <xf numFmtId="0" fontId="2" fillId="0" borderId="17" xfId="0" applyFont="1" applyBorder="1" applyAlignment="1">
      <alignment vertical="top"/>
    </xf>
    <xf numFmtId="0" fontId="0" fillId="0" borderId="46" xfId="0" applyFont="1" applyBorder="1" applyAlignment="1">
      <alignment horizontal="left" vertical="top"/>
    </xf>
    <xf numFmtId="0" fontId="34" fillId="6" borderId="39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left" vertical="top"/>
    </xf>
    <xf numFmtId="0" fontId="0" fillId="0" borderId="61" xfId="0" applyNumberFormat="1" applyFont="1" applyBorder="1" applyAlignment="1">
      <alignment horizontal="right" vertical="top"/>
    </xf>
    <xf numFmtId="1" fontId="7" fillId="6" borderId="22" xfId="80" applyNumberFormat="1" applyFont="1" applyFill="1" applyBorder="1" applyAlignment="1">
      <alignment horizontal="right" vertical="top"/>
      <protection/>
    </xf>
    <xf numFmtId="1" fontId="5" fillId="0" borderId="33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 wrapText="1"/>
    </xf>
    <xf numFmtId="4" fontId="3" fillId="0" borderId="33" xfId="0" applyNumberFormat="1" applyFont="1" applyBorder="1" applyAlignment="1">
      <alignment horizontal="center" vertical="top" wrapText="1"/>
    </xf>
    <xf numFmtId="0" fontId="5" fillId="16" borderId="33" xfId="0" applyNumberFormat="1" applyFont="1" applyFill="1" applyBorder="1" applyAlignment="1">
      <alignment horizontal="center" vertical="top" wrapText="1"/>
    </xf>
    <xf numFmtId="1" fontId="5" fillId="0" borderId="39" xfId="0" applyNumberFormat="1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1" fontId="8" fillId="0" borderId="33" xfId="0" applyNumberFormat="1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/>
    </xf>
    <xf numFmtId="175" fontId="0" fillId="5" borderId="12" xfId="0" applyNumberFormat="1" applyFont="1" applyFill="1" applyBorder="1" applyAlignment="1">
      <alignment horizontal="right" vertical="top"/>
    </xf>
    <xf numFmtId="0" fontId="0" fillId="0" borderId="37" xfId="0" applyFont="1" applyBorder="1" applyAlignment="1">
      <alignment/>
    </xf>
    <xf numFmtId="0" fontId="0" fillId="0" borderId="42" xfId="0" applyNumberFormat="1" applyFont="1" applyBorder="1" applyAlignment="1">
      <alignment horizontal="left" vertical="top"/>
    </xf>
    <xf numFmtId="0" fontId="5" fillId="0" borderId="22" xfId="0" applyNumberFormat="1" applyFont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/>
    </xf>
    <xf numFmtId="0" fontId="58" fillId="0" borderId="14" xfId="0" applyNumberFormat="1" applyFont="1" applyFill="1" applyBorder="1" applyAlignment="1">
      <alignment horizontal="center" vertical="top" wrapText="1"/>
    </xf>
    <xf numFmtId="0" fontId="17" fillId="0" borderId="11" xfId="0" applyNumberFormat="1" applyFont="1" applyFill="1" applyBorder="1" applyAlignment="1">
      <alignment horizontal="center" vertical="top" wrapText="1"/>
    </xf>
    <xf numFmtId="0" fontId="58" fillId="0" borderId="14" xfId="0" applyNumberFormat="1" applyFont="1" applyBorder="1" applyAlignment="1">
      <alignment horizontal="center" vertical="top" wrapText="1"/>
    </xf>
    <xf numFmtId="0" fontId="0" fillId="0" borderId="81" xfId="0" applyNumberFormat="1" applyFont="1" applyBorder="1" applyAlignment="1">
      <alignment horizontal="left" vertical="top" wrapText="1"/>
    </xf>
    <xf numFmtId="1" fontId="0" fillId="5" borderId="36" xfId="0" applyNumberFormat="1" applyFont="1" applyFill="1" applyBorder="1" applyAlignment="1">
      <alignment horizontal="left" vertical="top"/>
    </xf>
    <xf numFmtId="1" fontId="0" fillId="5" borderId="32" xfId="0" applyNumberFormat="1" applyFont="1" applyFill="1" applyBorder="1" applyAlignment="1">
      <alignment horizontal="left" vertical="top"/>
    </xf>
    <xf numFmtId="181" fontId="14" fillId="0" borderId="32" xfId="0" applyNumberFormat="1" applyFont="1" applyFill="1" applyBorder="1" applyAlignment="1">
      <alignment vertical="top"/>
    </xf>
    <xf numFmtId="0" fontId="15" fillId="0" borderId="22" xfId="0" applyNumberFormat="1" applyFont="1" applyFill="1" applyBorder="1" applyAlignment="1">
      <alignment horizontal="center" vertical="top" wrapText="1"/>
    </xf>
    <xf numFmtId="0" fontId="0" fillId="0" borderId="45" xfId="0" applyNumberFormat="1" applyFont="1" applyBorder="1" applyAlignment="1">
      <alignment horizontal="left" vertical="top"/>
    </xf>
    <xf numFmtId="181" fontId="0" fillId="5" borderId="45" xfId="0" applyNumberFormat="1" applyFont="1" applyFill="1" applyBorder="1" applyAlignment="1">
      <alignment vertical="top"/>
    </xf>
    <xf numFmtId="0" fontId="5" fillId="0" borderId="22" xfId="0" applyFont="1" applyFill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0" fontId="14" fillId="0" borderId="36" xfId="0" applyFont="1" applyFill="1" applyBorder="1" applyAlignment="1">
      <alignment horizontal="left" vertical="top"/>
    </xf>
    <xf numFmtId="0" fontId="0" fillId="5" borderId="32" xfId="0" applyFont="1" applyFill="1" applyBorder="1" applyAlignment="1">
      <alignment horizontal="left" vertical="top"/>
    </xf>
    <xf numFmtId="0" fontId="0" fillId="5" borderId="34" xfId="0" applyNumberFormat="1" applyFont="1" applyFill="1" applyBorder="1" applyAlignment="1">
      <alignment horizontal="left" vertical="top"/>
    </xf>
    <xf numFmtId="0" fontId="0" fillId="0" borderId="34" xfId="0" applyFont="1" applyFill="1" applyBorder="1" applyAlignment="1">
      <alignment horizontal="left" vertical="top"/>
    </xf>
    <xf numFmtId="1" fontId="0" fillId="0" borderId="16" xfId="0" applyNumberFormat="1" applyFont="1" applyFill="1" applyBorder="1" applyAlignment="1">
      <alignment vertical="top"/>
    </xf>
    <xf numFmtId="181" fontId="0" fillId="0" borderId="46" xfId="0" applyNumberFormat="1" applyFont="1" applyBorder="1" applyAlignment="1">
      <alignment vertical="top"/>
    </xf>
    <xf numFmtId="1" fontId="0" fillId="10" borderId="24" xfId="0" applyNumberFormat="1" applyFont="1" applyFill="1" applyBorder="1" applyAlignment="1">
      <alignment horizontal="left" vertical="top"/>
    </xf>
    <xf numFmtId="1" fontId="0" fillId="10" borderId="43" xfId="0" applyNumberFormat="1" applyFont="1" applyFill="1" applyBorder="1" applyAlignment="1">
      <alignment horizontal="left" vertical="top"/>
    </xf>
    <xf numFmtId="0" fontId="4" fillId="10" borderId="0" xfId="0" applyFont="1" applyFill="1" applyBorder="1" applyAlignment="1">
      <alignment horizontal="left" vertical="top"/>
    </xf>
    <xf numFmtId="0" fontId="36" fillId="10" borderId="0" xfId="0" applyFont="1" applyFill="1" applyBorder="1" applyAlignment="1">
      <alignment vertical="top" wrapText="1"/>
    </xf>
    <xf numFmtId="0" fontId="4" fillId="10" borderId="0" xfId="0" applyFont="1" applyFill="1" applyBorder="1" applyAlignment="1">
      <alignment vertical="top" wrapText="1"/>
    </xf>
    <xf numFmtId="0" fontId="37" fillId="10" borderId="0" xfId="0" applyFont="1" applyFill="1" applyBorder="1" applyAlignment="1">
      <alignment horizontal="left" vertical="top"/>
    </xf>
    <xf numFmtId="0" fontId="36" fillId="10" borderId="0" xfId="0" applyFont="1" applyFill="1" applyBorder="1" applyAlignment="1">
      <alignment horizontal="center" vertical="top"/>
    </xf>
    <xf numFmtId="0" fontId="36" fillId="10" borderId="0" xfId="0" applyFont="1" applyFill="1" applyBorder="1" applyAlignment="1">
      <alignment vertical="top"/>
    </xf>
    <xf numFmtId="4" fontId="21" fillId="10" borderId="0" xfId="0" applyNumberFormat="1" applyFont="1" applyFill="1" applyBorder="1" applyAlignment="1">
      <alignment horizontal="right" vertical="top"/>
    </xf>
    <xf numFmtId="1" fontId="7" fillId="10" borderId="0" xfId="80" applyNumberFormat="1" applyFill="1" applyBorder="1" applyAlignment="1">
      <alignment horizontal="right" vertical="top"/>
      <protection/>
    </xf>
    <xf numFmtId="0" fontId="36" fillId="10" borderId="0" xfId="0" applyFont="1" applyFill="1" applyBorder="1" applyAlignment="1">
      <alignment horizontal="right" vertical="top"/>
    </xf>
    <xf numFmtId="1" fontId="36" fillId="10" borderId="0" xfId="0" applyNumberFormat="1" applyFont="1" applyFill="1" applyBorder="1" applyAlignment="1">
      <alignment horizontal="right" vertical="top"/>
    </xf>
    <xf numFmtId="0" fontId="36" fillId="10" borderId="24" xfId="0" applyFont="1" applyFill="1" applyBorder="1" applyAlignment="1">
      <alignment horizontal="left" vertical="top"/>
    </xf>
    <xf numFmtId="181" fontId="36" fillId="10" borderId="43" xfId="0" applyNumberFormat="1" applyFont="1" applyFill="1" applyBorder="1" applyAlignment="1">
      <alignment horizontal="right" vertical="top"/>
    </xf>
    <xf numFmtId="181" fontId="4" fillId="10" borderId="18" xfId="0" applyNumberFormat="1" applyFont="1" applyFill="1" applyBorder="1" applyAlignment="1">
      <alignment horizontal="left" vertical="top"/>
    </xf>
    <xf numFmtId="1" fontId="0" fillId="0" borderId="43" xfId="0" applyNumberFormat="1" applyFont="1" applyBorder="1" applyAlignment="1">
      <alignment horizontal="left" vertical="top"/>
    </xf>
    <xf numFmtId="0" fontId="38" fillId="0" borderId="0" xfId="0" applyFont="1" applyFill="1" applyBorder="1" applyAlignment="1">
      <alignment horizontal="left" vertical="top"/>
    </xf>
    <xf numFmtId="1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9" fillId="0" borderId="0" xfId="0" applyFont="1" applyBorder="1" applyAlignment="1">
      <alignment horizontal="left" vertical="top"/>
    </xf>
    <xf numFmtId="1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4" xfId="0" applyBorder="1" applyAlignment="1">
      <alignment horizontal="left" vertical="top"/>
    </xf>
    <xf numFmtId="181" fontId="0" fillId="0" borderId="43" xfId="0" applyNumberFormat="1" applyBorder="1" applyAlignment="1">
      <alignment horizontal="right" vertical="top"/>
    </xf>
    <xf numFmtId="181" fontId="0" fillId="0" borderId="18" xfId="0" applyNumberFormat="1" applyFont="1" applyBorder="1" applyAlignment="1">
      <alignment horizontal="left" vertical="top"/>
    </xf>
    <xf numFmtId="1" fontId="0" fillId="0" borderId="41" xfId="0" applyNumberFormat="1" applyFont="1" applyFill="1" applyBorder="1" applyAlignment="1">
      <alignment horizontal="left" vertical="top"/>
    </xf>
    <xf numFmtId="1" fontId="0" fillId="0" borderId="36" xfId="0" applyNumberFormat="1" applyFont="1" applyFill="1" applyBorder="1" applyAlignment="1">
      <alignment horizontal="left" vertical="top"/>
    </xf>
    <xf numFmtId="0" fontId="0" fillId="0" borderId="54" xfId="0" applyNumberFormat="1" applyFont="1" applyFill="1" applyBorder="1" applyAlignment="1">
      <alignment horizontal="left" vertical="top"/>
    </xf>
    <xf numFmtId="0" fontId="0" fillId="0" borderId="13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9" fontId="0" fillId="0" borderId="13" xfId="0" applyNumberFormat="1" applyFill="1" applyBorder="1" applyAlignment="1">
      <alignment horizontal="right" vertical="top"/>
    </xf>
    <xf numFmtId="1" fontId="0" fillId="0" borderId="13" xfId="0" applyNumberFormat="1" applyFont="1" applyFill="1" applyBorder="1" applyAlignment="1">
      <alignment horizontal="right" vertical="top"/>
    </xf>
    <xf numFmtId="0" fontId="0" fillId="0" borderId="13" xfId="0" applyNumberFormat="1" applyFont="1" applyFill="1" applyBorder="1" applyAlignment="1">
      <alignment horizontal="right" vertical="top"/>
    </xf>
    <xf numFmtId="0" fontId="0" fillId="0" borderId="26" xfId="0" applyNumberFormat="1" applyFont="1" applyFill="1" applyBorder="1" applyAlignment="1">
      <alignment horizontal="right" vertical="top"/>
    </xf>
    <xf numFmtId="0" fontId="0" fillId="0" borderId="41" xfId="0" applyNumberFormat="1" applyFont="1" applyFill="1" applyBorder="1" applyAlignment="1">
      <alignment horizontal="left" vertical="top"/>
    </xf>
    <xf numFmtId="181" fontId="0" fillId="0" borderId="75" xfId="0" applyNumberFormat="1" applyFont="1" applyFill="1" applyBorder="1" applyAlignment="1">
      <alignment horizontal="left" vertical="top"/>
    </xf>
    <xf numFmtId="1" fontId="0" fillId="0" borderId="23" xfId="0" applyNumberFormat="1" applyFont="1" applyFill="1" applyBorder="1" applyAlignment="1">
      <alignment horizontal="left" vertical="top"/>
    </xf>
    <xf numFmtId="1" fontId="0" fillId="0" borderId="32" xfId="0" applyNumberFormat="1" applyFont="1" applyFill="1" applyBorder="1" applyAlignment="1">
      <alignment horizontal="left" vertical="top"/>
    </xf>
    <xf numFmtId="0" fontId="0" fillId="0" borderId="55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9" fontId="0" fillId="0" borderId="10" xfId="0" applyNumberFormat="1" applyFill="1" applyBorder="1" applyAlignment="1">
      <alignment horizontal="right" vertical="top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6" xfId="0" applyNumberFormat="1" applyFont="1" applyFill="1" applyBorder="1" applyAlignment="1">
      <alignment horizontal="right" vertical="top"/>
    </xf>
    <xf numFmtId="0" fontId="0" fillId="0" borderId="23" xfId="0" applyNumberFormat="1" applyFont="1" applyFill="1" applyBorder="1" applyAlignment="1">
      <alignment horizontal="left" vertical="top"/>
    </xf>
    <xf numFmtId="181" fontId="0" fillId="0" borderId="59" xfId="0" applyNumberFormat="1" applyFont="1" applyFill="1" applyBorder="1" applyAlignment="1">
      <alignment horizontal="left" vertical="top"/>
    </xf>
    <xf numFmtId="9" fontId="0" fillId="0" borderId="12" xfId="0" applyNumberFormat="1" applyFill="1" applyBorder="1" applyAlignment="1">
      <alignment horizontal="right" vertical="top"/>
    </xf>
    <xf numFmtId="181" fontId="0" fillId="0" borderId="74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54" xfId="0" applyNumberFormat="1" applyFont="1" applyFill="1" applyBorder="1" applyAlignment="1">
      <alignment vertical="top"/>
    </xf>
    <xf numFmtId="0" fontId="11" fillId="0" borderId="13" xfId="42" applyNumberFormat="1" applyFill="1" applyBorder="1" applyAlignment="1" applyProtection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NumberFormat="1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right" vertical="top"/>
    </xf>
    <xf numFmtId="1" fontId="0" fillId="0" borderId="26" xfId="0" applyNumberFormat="1" applyFont="1" applyFill="1" applyBorder="1" applyAlignment="1">
      <alignment horizontal="right" vertical="top"/>
    </xf>
    <xf numFmtId="181" fontId="0" fillId="0" borderId="36" xfId="0" applyNumberFormat="1" applyFont="1" applyFill="1" applyBorder="1" applyAlignment="1">
      <alignment vertical="top"/>
    </xf>
    <xf numFmtId="0" fontId="0" fillId="0" borderId="55" xfId="0" applyNumberFormat="1" applyFont="1" applyFill="1" applyBorder="1" applyAlignment="1">
      <alignment vertical="top"/>
    </xf>
    <xf numFmtId="0" fontId="11" fillId="0" borderId="10" xfId="42" applyNumberFormat="1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1" fontId="0" fillId="5" borderId="10" xfId="0" applyNumberFormat="1" applyFont="1" applyFill="1" applyBorder="1" applyAlignment="1">
      <alignment horizontal="right" vertical="top"/>
    </xf>
    <xf numFmtId="1" fontId="0" fillId="0" borderId="16" xfId="0" applyNumberFormat="1" applyFont="1" applyFill="1" applyBorder="1" applyAlignment="1">
      <alignment horizontal="right" vertical="top"/>
    </xf>
    <xf numFmtId="181" fontId="0" fillId="0" borderId="32" xfId="0" applyNumberFormat="1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" fontId="0" fillId="5" borderId="12" xfId="0" applyNumberFormat="1" applyFont="1" applyFill="1" applyBorder="1" applyAlignment="1">
      <alignment horizontal="right" vertical="top"/>
    </xf>
    <xf numFmtId="181" fontId="0" fillId="0" borderId="37" xfId="0" applyNumberFormat="1" applyFont="1" applyFill="1" applyBorder="1" applyAlignment="1">
      <alignment vertical="top"/>
    </xf>
    <xf numFmtId="0" fontId="38" fillId="0" borderId="0" xfId="0" applyNumberFormat="1" applyFont="1" applyBorder="1" applyAlignment="1">
      <alignment horizontal="left" vertical="top"/>
    </xf>
    <xf numFmtId="1" fontId="0" fillId="0" borderId="0" xfId="0" applyNumberFormat="1" applyFont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40" fillId="0" borderId="0" xfId="42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 vertical="top"/>
    </xf>
    <xf numFmtId="4" fontId="3" fillId="5" borderId="0" xfId="0" applyNumberFormat="1" applyFont="1" applyFill="1" applyBorder="1" applyAlignment="1">
      <alignment horizontal="right" vertical="top"/>
    </xf>
    <xf numFmtId="1" fontId="0" fillId="5" borderId="0" xfId="0" applyNumberFormat="1" applyFill="1" applyBorder="1" applyAlignment="1">
      <alignment horizontal="right" vertical="top"/>
    </xf>
    <xf numFmtId="1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24" xfId="0" applyFill="1" applyBorder="1" applyAlignment="1">
      <alignment horizontal="left" vertical="top"/>
    </xf>
    <xf numFmtId="181" fontId="0" fillId="0" borderId="43" xfId="0" applyNumberFormat="1" applyFill="1" applyBorder="1" applyAlignment="1">
      <alignment horizontal="right" vertical="top"/>
    </xf>
    <xf numFmtId="181" fontId="0" fillId="0" borderId="18" xfId="0" applyNumberFormat="1" applyFont="1" applyFill="1" applyBorder="1" applyAlignment="1">
      <alignment horizontal="left" vertical="top"/>
    </xf>
    <xf numFmtId="1" fontId="0" fillId="0" borderId="24" xfId="0" applyNumberFormat="1" applyFont="1" applyBorder="1" applyAlignment="1">
      <alignment horizontal="left" vertical="top"/>
    </xf>
    <xf numFmtId="1" fontId="0" fillId="0" borderId="43" xfId="0" applyNumberFormat="1" applyFont="1" applyBorder="1" applyAlignment="1">
      <alignment horizontal="left" vertical="top"/>
    </xf>
    <xf numFmtId="0" fontId="4" fillId="0" borderId="70" xfId="0" applyNumberFormat="1" applyFont="1" applyBorder="1" applyAlignment="1">
      <alignment horizontal="left" vertical="top"/>
    </xf>
    <xf numFmtId="1" fontId="0" fillId="0" borderId="25" xfId="0" applyNumberFormat="1" applyFont="1" applyBorder="1" applyAlignment="1">
      <alignment horizontal="left" vertical="top" wrapText="1"/>
    </xf>
    <xf numFmtId="0" fontId="0" fillId="0" borderId="25" xfId="0" applyNumberFormat="1" applyFont="1" applyBorder="1" applyAlignment="1">
      <alignment vertical="top" wrapText="1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10" fillId="0" borderId="25" xfId="0" applyFont="1" applyBorder="1" applyAlignment="1">
      <alignment horizontal="center" vertical="top"/>
    </xf>
    <xf numFmtId="0" fontId="0" fillId="0" borderId="25" xfId="0" applyBorder="1" applyAlignment="1">
      <alignment/>
    </xf>
    <xf numFmtId="1" fontId="0" fillId="0" borderId="25" xfId="0" applyNumberFormat="1" applyFont="1" applyBorder="1" applyAlignment="1">
      <alignment horizontal="right" vertical="top"/>
    </xf>
    <xf numFmtId="1" fontId="0" fillId="5" borderId="25" xfId="0" applyNumberFormat="1" applyFill="1" applyBorder="1" applyAlignment="1">
      <alignment horizontal="right" vertical="top"/>
    </xf>
    <xf numFmtId="0" fontId="0" fillId="0" borderId="25" xfId="0" applyNumberFormat="1" applyFont="1" applyBorder="1" applyAlignment="1">
      <alignment horizontal="right" vertical="top"/>
    </xf>
    <xf numFmtId="0" fontId="0" fillId="0" borderId="50" xfId="0" applyNumberFormat="1" applyFont="1" applyBorder="1" applyAlignment="1">
      <alignment horizontal="right" vertical="top"/>
    </xf>
    <xf numFmtId="1" fontId="0" fillId="0" borderId="50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left" vertical="top"/>
    </xf>
    <xf numFmtId="181" fontId="0" fillId="0" borderId="43" xfId="0" applyNumberFormat="1" applyFont="1" applyBorder="1" applyAlignment="1">
      <alignment horizontal="right" vertical="top"/>
    </xf>
    <xf numFmtId="1" fontId="0" fillId="0" borderId="41" xfId="0" applyNumberFormat="1" applyFont="1" applyFill="1" applyBorder="1" applyAlignment="1">
      <alignment horizontal="left" vertical="top"/>
    </xf>
    <xf numFmtId="1" fontId="0" fillId="0" borderId="36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vertical="top" wrapText="1"/>
    </xf>
    <xf numFmtId="0" fontId="39" fillId="0" borderId="13" xfId="0" applyFont="1" applyFill="1" applyBorder="1" applyAlignment="1">
      <alignment horizontal="left" vertical="top"/>
    </xf>
    <xf numFmtId="1" fontId="0" fillId="0" borderId="13" xfId="0" applyNumberFormat="1" applyFill="1" applyBorder="1" applyAlignment="1">
      <alignment horizontal="right" vertical="top"/>
    </xf>
    <xf numFmtId="0" fontId="0" fillId="0" borderId="13" xfId="0" applyFill="1" applyBorder="1" applyAlignment="1">
      <alignment horizontal="right" vertical="top"/>
    </xf>
    <xf numFmtId="181" fontId="0" fillId="0" borderId="36" xfId="0" applyNumberFormat="1" applyFill="1" applyBorder="1" applyAlignment="1">
      <alignment horizontal="right" vertical="top"/>
    </xf>
    <xf numFmtId="0" fontId="39" fillId="0" borderId="10" xfId="0" applyFont="1" applyFill="1" applyBorder="1" applyAlignment="1">
      <alignment horizontal="left" vertical="top"/>
    </xf>
    <xf numFmtId="1" fontId="0" fillId="0" borderId="10" xfId="0" applyNumberForma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39" fillId="0" borderId="12" xfId="0" applyFont="1" applyFill="1" applyBorder="1" applyAlignment="1">
      <alignment horizontal="left" vertical="top"/>
    </xf>
    <xf numFmtId="1" fontId="0" fillId="0" borderId="12" xfId="0" applyNumberFormat="1" applyFill="1" applyBorder="1" applyAlignment="1">
      <alignment horizontal="right" vertical="top"/>
    </xf>
    <xf numFmtId="0" fontId="0" fillId="0" borderId="12" xfId="0" applyFill="1" applyBorder="1" applyAlignment="1">
      <alignment horizontal="right" vertical="top"/>
    </xf>
    <xf numFmtId="1" fontId="0" fillId="0" borderId="38" xfId="0" applyNumberFormat="1" applyFont="1" applyFill="1" applyBorder="1" applyAlignment="1">
      <alignment horizontal="left" vertical="top"/>
    </xf>
    <xf numFmtId="0" fontId="0" fillId="0" borderId="64" xfId="0" applyNumberFormat="1" applyFont="1" applyFill="1" applyBorder="1" applyAlignment="1">
      <alignment horizontal="left" vertical="top"/>
    </xf>
    <xf numFmtId="1" fontId="0" fillId="0" borderId="37" xfId="0" applyNumberFormat="1" applyFont="1" applyFill="1" applyBorder="1" applyAlignment="1">
      <alignment horizontal="left" vertical="top"/>
    </xf>
    <xf numFmtId="181" fontId="0" fillId="0" borderId="37" xfId="0" applyNumberFormat="1" applyFill="1" applyBorder="1" applyAlignment="1">
      <alignment horizontal="right" vertical="top"/>
    </xf>
    <xf numFmtId="1" fontId="0" fillId="0" borderId="26" xfId="0" applyNumberFormat="1" applyFill="1" applyBorder="1" applyAlignment="1">
      <alignment horizontal="right" vertical="top"/>
    </xf>
    <xf numFmtId="1" fontId="0" fillId="0" borderId="30" xfId="0" applyNumberFormat="1" applyFill="1" applyBorder="1" applyAlignment="1">
      <alignment horizontal="right" vertical="top"/>
    </xf>
    <xf numFmtId="1" fontId="0" fillId="0" borderId="37" xfId="0" applyNumberFormat="1" applyFont="1" applyFill="1" applyBorder="1" applyAlignment="1">
      <alignment horizontal="left" vertical="top"/>
    </xf>
    <xf numFmtId="181" fontId="0" fillId="0" borderId="34" xfId="0" applyNumberFormat="1" applyFont="1" applyBorder="1" applyAlignment="1">
      <alignment vertical="top"/>
    </xf>
    <xf numFmtId="181" fontId="0" fillId="0" borderId="32" xfId="0" applyNumberFormat="1" applyFill="1" applyBorder="1" applyAlignment="1">
      <alignment horizontal="right" vertical="top"/>
    </xf>
    <xf numFmtId="181" fontId="0" fillId="0" borderId="36" xfId="0" applyNumberFormat="1" applyFont="1" applyFill="1" applyBorder="1" applyAlignment="1">
      <alignment horizontal="left" vertical="top"/>
    </xf>
    <xf numFmtId="181" fontId="0" fillId="0" borderId="32" xfId="0" applyNumberFormat="1" applyFont="1" applyFill="1" applyBorder="1" applyAlignment="1">
      <alignment horizontal="left" vertical="top"/>
    </xf>
    <xf numFmtId="181" fontId="0" fillId="0" borderId="37" xfId="0" applyNumberFormat="1" applyFont="1" applyFill="1" applyBorder="1" applyAlignment="1">
      <alignment horizontal="left" vertical="top"/>
    </xf>
    <xf numFmtId="1" fontId="0" fillId="0" borderId="16" xfId="0" applyNumberFormat="1" applyFill="1" applyBorder="1" applyAlignment="1">
      <alignment horizontal="right" vertical="top"/>
    </xf>
    <xf numFmtId="0" fontId="17" fillId="0" borderId="25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vertical="top" wrapText="1"/>
    </xf>
    <xf numFmtId="0" fontId="11" fillId="0" borderId="12" xfId="42" applyNumberFormat="1" applyFill="1" applyBorder="1" applyAlignment="1" applyProtection="1">
      <alignment horizontal="left"/>
      <protection/>
    </xf>
    <xf numFmtId="0" fontId="0" fillId="0" borderId="12" xfId="0" applyFill="1" applyBorder="1" applyAlignment="1">
      <alignment/>
    </xf>
    <xf numFmtId="0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1" fontId="0" fillId="0" borderId="38" xfId="0" applyNumberFormat="1" applyFont="1" applyFill="1" applyBorder="1" applyAlignment="1">
      <alignment horizontal="left" vertical="top"/>
    </xf>
    <xf numFmtId="0" fontId="0" fillId="0" borderId="64" xfId="0" applyNumberFormat="1" applyFont="1" applyFill="1" applyBorder="1" applyAlignment="1">
      <alignment vertical="top"/>
    </xf>
    <xf numFmtId="1" fontId="0" fillId="0" borderId="30" xfId="0" applyNumberFormat="1" applyFont="1" applyFill="1" applyBorder="1" applyAlignment="1">
      <alignment horizontal="right" vertical="top"/>
    </xf>
    <xf numFmtId="181" fontId="0" fillId="0" borderId="54" xfId="0" applyNumberFormat="1" applyFont="1" applyFill="1" applyBorder="1" applyAlignment="1">
      <alignment vertical="top"/>
    </xf>
    <xf numFmtId="181" fontId="0" fillId="0" borderId="55" xfId="0" applyNumberFormat="1" applyFont="1" applyFill="1" applyBorder="1" applyAlignment="1">
      <alignment vertical="top"/>
    </xf>
    <xf numFmtId="181" fontId="0" fillId="0" borderId="64" xfId="0" applyNumberFormat="1" applyFont="1" applyFill="1" applyBorder="1" applyAlignment="1">
      <alignment vertical="top"/>
    </xf>
    <xf numFmtId="0" fontId="0" fillId="0" borderId="36" xfId="0" applyNumberFormat="1" applyFont="1" applyFill="1" applyBorder="1" applyAlignment="1">
      <alignment horizontal="left" vertical="top"/>
    </xf>
    <xf numFmtId="0" fontId="0" fillId="0" borderId="32" xfId="0" applyNumberFormat="1" applyFont="1" applyFill="1" applyBorder="1" applyAlignment="1">
      <alignment horizontal="left" vertical="top"/>
    </xf>
    <xf numFmtId="0" fontId="0" fillId="0" borderId="37" xfId="0" applyNumberFormat="1" applyFont="1" applyFill="1" applyBorder="1" applyAlignment="1">
      <alignment horizontal="left" vertical="top"/>
    </xf>
    <xf numFmtId="0" fontId="0" fillId="0" borderId="30" xfId="0" applyNumberFormat="1" applyFont="1" applyFill="1" applyBorder="1" applyAlignment="1">
      <alignment horizontal="right" vertical="top"/>
    </xf>
    <xf numFmtId="0" fontId="0" fillId="0" borderId="38" xfId="0" applyNumberFormat="1" applyFont="1" applyFill="1" applyBorder="1" applyAlignment="1">
      <alignment horizontal="left" vertical="top"/>
    </xf>
    <xf numFmtId="1" fontId="8" fillId="0" borderId="13" xfId="0" applyNumberFormat="1" applyFont="1" applyFill="1" applyBorder="1" applyAlignment="1">
      <alignment horizontal="right" vertical="top"/>
    </xf>
    <xf numFmtId="1" fontId="8" fillId="0" borderId="10" xfId="0" applyNumberFormat="1" applyFont="1" applyFill="1" applyBorder="1" applyAlignment="1">
      <alignment horizontal="right" vertical="top"/>
    </xf>
    <xf numFmtId="1" fontId="8" fillId="0" borderId="12" xfId="0" applyNumberFormat="1" applyFont="1" applyFill="1" applyBorder="1" applyAlignment="1">
      <alignment horizontal="right" vertical="top"/>
    </xf>
    <xf numFmtId="1" fontId="20" fillId="0" borderId="25" xfId="0" applyNumberFormat="1" applyFont="1" applyBorder="1" applyAlignment="1">
      <alignment horizontal="right" vertical="top"/>
    </xf>
    <xf numFmtId="1" fontId="20" fillId="0" borderId="13" xfId="0" applyNumberFormat="1" applyFont="1" applyFill="1" applyBorder="1" applyAlignment="1">
      <alignment horizontal="right" vertical="top"/>
    </xf>
    <xf numFmtId="1" fontId="20" fillId="0" borderId="10" xfId="0" applyNumberFormat="1" applyFont="1" applyFill="1" applyBorder="1" applyAlignment="1">
      <alignment horizontal="right" vertical="top"/>
    </xf>
    <xf numFmtId="1" fontId="20" fillId="0" borderId="12" xfId="0" applyNumberFormat="1" applyFont="1" applyFill="1" applyBorder="1" applyAlignment="1">
      <alignment horizontal="right" vertical="top"/>
    </xf>
    <xf numFmtId="181" fontId="12" fillId="6" borderId="40" xfId="0" applyNumberFormat="1" applyFont="1" applyFill="1" applyBorder="1" applyAlignment="1">
      <alignment horizontal="right" vertical="top"/>
    </xf>
    <xf numFmtId="181" fontId="0" fillId="0" borderId="24" xfId="0" applyNumberFormat="1" applyFont="1" applyFill="1" applyBorder="1" applyAlignment="1">
      <alignment horizontal="right" vertical="top"/>
    </xf>
    <xf numFmtId="181" fontId="0" fillId="0" borderId="23" xfId="0" applyNumberFormat="1" applyFont="1" applyFill="1" applyBorder="1" applyAlignment="1">
      <alignment horizontal="right" vertical="top"/>
    </xf>
    <xf numFmtId="181" fontId="0" fillId="0" borderId="49" xfId="0" applyNumberFormat="1" applyFont="1" applyFill="1" applyBorder="1" applyAlignment="1">
      <alignment horizontal="right" vertical="top"/>
    </xf>
    <xf numFmtId="181" fontId="14" fillId="0" borderId="23" xfId="0" applyNumberFormat="1" applyFont="1" applyFill="1" applyBorder="1" applyAlignment="1">
      <alignment horizontal="right" vertical="top"/>
    </xf>
    <xf numFmtId="181" fontId="0" fillId="0" borderId="38" xfId="0" applyNumberFormat="1" applyFont="1" applyFill="1" applyBorder="1" applyAlignment="1">
      <alignment horizontal="right" vertical="top"/>
    </xf>
    <xf numFmtId="181" fontId="14" fillId="6" borderId="46" xfId="0" applyNumberFormat="1" applyFont="1" applyFill="1" applyBorder="1" applyAlignment="1">
      <alignment vertical="top"/>
    </xf>
    <xf numFmtId="1" fontId="0" fillId="2" borderId="41" xfId="0" applyNumberFormat="1" applyFont="1" applyFill="1" applyBorder="1" applyAlignment="1">
      <alignment vertical="top"/>
    </xf>
    <xf numFmtId="0" fontId="30" fillId="2" borderId="13" xfId="42" applyNumberFormat="1" applyFont="1" applyFill="1" applyBorder="1" applyAlignment="1" applyProtection="1">
      <alignment horizontal="left" vertical="top" wrapText="1"/>
      <protection/>
    </xf>
    <xf numFmtId="0" fontId="15" fillId="2" borderId="13" xfId="0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left" vertical="top"/>
    </xf>
    <xf numFmtId="0" fontId="0" fillId="2" borderId="13" xfId="0" applyFont="1" applyFill="1" applyBorder="1" applyAlignment="1">
      <alignment horizontal="right" vertical="top"/>
    </xf>
    <xf numFmtId="181" fontId="0" fillId="2" borderId="60" xfId="0" applyNumberFormat="1" applyFont="1" applyFill="1" applyBorder="1" applyAlignment="1">
      <alignment horizontal="right" vertical="top"/>
    </xf>
    <xf numFmtId="0" fontId="0" fillId="0" borderId="22" xfId="0" applyFont="1" applyFill="1" applyBorder="1" applyAlignment="1">
      <alignment vertical="top" wrapText="1"/>
    </xf>
    <xf numFmtId="0" fontId="30" fillId="0" borderId="22" xfId="42" applyFont="1" applyFill="1" applyBorder="1" applyAlignment="1" applyProtection="1">
      <alignment horizontal="left" vertical="top" wrapText="1"/>
      <protection/>
    </xf>
    <xf numFmtId="0" fontId="19" fillId="0" borderId="2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/>
    </xf>
    <xf numFmtId="4" fontId="3" fillId="5" borderId="22" xfId="0" applyNumberFormat="1" applyFont="1" applyFill="1" applyBorder="1" applyAlignment="1">
      <alignment horizontal="right" vertical="top"/>
    </xf>
    <xf numFmtId="1" fontId="0" fillId="5" borderId="22" xfId="80" applyNumberFormat="1" applyFont="1" applyFill="1" applyBorder="1" applyAlignment="1">
      <alignment horizontal="right" vertical="top"/>
      <protection/>
    </xf>
    <xf numFmtId="0" fontId="0" fillId="0" borderId="42" xfId="0" applyFont="1" applyFill="1" applyBorder="1" applyAlignment="1">
      <alignment horizontal="left" vertical="top"/>
    </xf>
    <xf numFmtId="181" fontId="0" fillId="0" borderId="42" xfId="0" applyNumberFormat="1" applyFont="1" applyFill="1" applyBorder="1" applyAlignment="1">
      <alignment horizontal="right" vertical="top"/>
    </xf>
    <xf numFmtId="181" fontId="0" fillId="0" borderId="34" xfId="0" applyNumberFormat="1" applyFont="1" applyFill="1" applyBorder="1" applyAlignment="1">
      <alignment vertical="top"/>
    </xf>
    <xf numFmtId="1" fontId="0" fillId="0" borderId="37" xfId="71" applyNumberFormat="1" applyFont="1" applyBorder="1" applyAlignment="1">
      <alignment horizontal="left" vertical="top"/>
      <protection/>
    </xf>
    <xf numFmtId="181" fontId="0" fillId="0" borderId="67" xfId="0" applyNumberFormat="1" applyFont="1" applyBorder="1" applyAlignment="1">
      <alignment horizontal="right" vertical="top"/>
    </xf>
    <xf numFmtId="181" fontId="0" fillId="0" borderId="57" xfId="71" applyNumberFormat="1" applyFont="1" applyBorder="1" applyAlignment="1">
      <alignment horizontal="right" vertical="top"/>
      <protection/>
    </xf>
    <xf numFmtId="181" fontId="0" fillId="0" borderId="66" xfId="71" applyNumberFormat="1" applyFont="1" applyBorder="1" applyAlignment="1">
      <alignment horizontal="right" vertical="top"/>
      <protection/>
    </xf>
    <xf numFmtId="1" fontId="5" fillId="0" borderId="41" xfId="0" applyNumberFormat="1" applyFont="1" applyBorder="1" applyAlignment="1">
      <alignment vertical="top"/>
    </xf>
    <xf numFmtId="0" fontId="0" fillId="0" borderId="57" xfId="0" applyNumberFormat="1" applyFont="1" applyBorder="1" applyAlignment="1">
      <alignment horizontal="left" vertical="top"/>
    </xf>
    <xf numFmtId="0" fontId="0" fillId="0" borderId="66" xfId="0" applyNumberFormat="1" applyFont="1" applyBorder="1" applyAlignment="1">
      <alignment horizontal="left" vertical="top"/>
    </xf>
    <xf numFmtId="0" fontId="0" fillId="0" borderId="35" xfId="0" applyNumberFormat="1" applyFont="1" applyBorder="1" applyAlignment="1">
      <alignment vertical="top" wrapText="1"/>
    </xf>
    <xf numFmtId="0" fontId="28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right" vertical="top"/>
    </xf>
    <xf numFmtId="0" fontId="0" fillId="5" borderId="37" xfId="0" applyNumberFormat="1" applyFont="1" applyFill="1" applyBorder="1" applyAlignment="1">
      <alignment horizontal="left" vertical="top"/>
    </xf>
    <xf numFmtId="181" fontId="14" fillId="0" borderId="58" xfId="0" applyNumberFormat="1" applyFont="1" applyFill="1" applyBorder="1" applyAlignment="1">
      <alignment vertical="top"/>
    </xf>
    <xf numFmtId="0" fontId="0" fillId="0" borderId="60" xfId="0" applyNumberFormat="1" applyFont="1" applyBorder="1" applyAlignment="1">
      <alignment vertical="top"/>
    </xf>
    <xf numFmtId="0" fontId="0" fillId="0" borderId="57" xfId="82" applyFont="1" applyBorder="1" applyAlignment="1">
      <alignment vertical="top"/>
      <protection/>
    </xf>
    <xf numFmtId="0" fontId="0" fillId="5" borderId="57" xfId="0" applyNumberFormat="1" applyFont="1" applyFill="1" applyBorder="1" applyAlignment="1">
      <alignment vertical="top"/>
    </xf>
    <xf numFmtId="0" fontId="0" fillId="0" borderId="66" xfId="0" applyFont="1" applyFill="1" applyBorder="1" applyAlignment="1">
      <alignment vertical="top"/>
    </xf>
    <xf numFmtId="0" fontId="0" fillId="0" borderId="67" xfId="0" applyFont="1" applyFill="1" applyBorder="1" applyAlignment="1">
      <alignment vertical="top"/>
    </xf>
    <xf numFmtId="181" fontId="14" fillId="0" borderId="62" xfId="0" applyNumberFormat="1" applyFont="1" applyFill="1" applyBorder="1" applyAlignment="1">
      <alignment vertical="top"/>
    </xf>
    <xf numFmtId="0" fontId="0" fillId="5" borderId="33" xfId="0" applyNumberFormat="1" applyFont="1" applyFill="1" applyBorder="1" applyAlignment="1">
      <alignment horizontal="left" vertical="top"/>
    </xf>
    <xf numFmtId="0" fontId="0" fillId="0" borderId="32" xfId="0" applyNumberFormat="1" applyFont="1" applyFill="1" applyBorder="1" applyAlignment="1">
      <alignment horizontal="left" vertical="top" wrapText="1"/>
    </xf>
    <xf numFmtId="0" fontId="12" fillId="6" borderId="43" xfId="0" applyFont="1" applyFill="1" applyBorder="1" applyAlignment="1">
      <alignment horizontal="left" vertical="top"/>
    </xf>
    <xf numFmtId="0" fontId="0" fillId="0" borderId="60" xfId="0" applyFont="1" applyFill="1" applyBorder="1" applyAlignment="1">
      <alignment vertical="top"/>
    </xf>
    <xf numFmtId="0" fontId="0" fillId="5" borderId="66" xfId="0" applyNumberFormat="1" applyFont="1" applyFill="1" applyBorder="1" applyAlignment="1">
      <alignment vertical="top"/>
    </xf>
    <xf numFmtId="181" fontId="0" fillId="5" borderId="55" xfId="0" applyNumberFormat="1" applyFont="1" applyFill="1" applyBorder="1" applyAlignment="1">
      <alignment horizontal="right" vertical="top"/>
    </xf>
    <xf numFmtId="181" fontId="0" fillId="5" borderId="64" xfId="0" applyNumberFormat="1" applyFont="1" applyFill="1" applyBorder="1" applyAlignment="1">
      <alignment horizontal="right" vertical="top"/>
    </xf>
    <xf numFmtId="0" fontId="0" fillId="5" borderId="23" xfId="0" applyFont="1" applyFill="1" applyBorder="1" applyAlignment="1">
      <alignment vertical="top"/>
    </xf>
    <xf numFmtId="0" fontId="0" fillId="0" borderId="23" xfId="0" applyFont="1" applyBorder="1" applyAlignment="1">
      <alignment vertical="top"/>
    </xf>
    <xf numFmtId="49" fontId="0" fillId="0" borderId="23" xfId="0" applyNumberFormat="1" applyFont="1" applyFill="1" applyBorder="1" applyAlignment="1">
      <alignment vertical="top"/>
    </xf>
    <xf numFmtId="0" fontId="0" fillId="5" borderId="23" xfId="0" applyFont="1" applyFill="1" applyBorder="1" applyAlignment="1">
      <alignment vertical="top" wrapText="1"/>
    </xf>
    <xf numFmtId="0" fontId="0" fillId="0" borderId="41" xfId="0" applyFont="1" applyBorder="1" applyAlignment="1">
      <alignment vertical="top"/>
    </xf>
    <xf numFmtId="0" fontId="0" fillId="0" borderId="38" xfId="0" applyFont="1" applyBorder="1" applyAlignment="1">
      <alignment vertical="top"/>
    </xf>
    <xf numFmtId="0" fontId="0" fillId="0" borderId="61" xfId="0" applyNumberFormat="1" applyFont="1" applyBorder="1" applyAlignment="1">
      <alignment vertical="top"/>
    </xf>
    <xf numFmtId="181" fontId="0" fillId="5" borderId="28" xfId="0" applyNumberFormat="1" applyFont="1" applyFill="1" applyBorder="1" applyAlignment="1">
      <alignment vertical="top"/>
    </xf>
    <xf numFmtId="0" fontId="58" fillId="0" borderId="13" xfId="0" applyNumberFormat="1" applyFont="1" applyBorder="1" applyAlignment="1">
      <alignment horizontal="center" vertical="top" wrapText="1"/>
    </xf>
    <xf numFmtId="1" fontId="0" fillId="5" borderId="49" xfId="0" applyNumberFormat="1" applyFont="1" applyFill="1" applyBorder="1" applyAlignment="1">
      <alignment vertical="top"/>
    </xf>
    <xf numFmtId="1" fontId="0" fillId="5" borderId="44" xfId="0" applyNumberFormat="1" applyFont="1" applyFill="1" applyBorder="1" applyAlignment="1">
      <alignment horizontal="center" vertical="top"/>
    </xf>
    <xf numFmtId="0" fontId="0" fillId="5" borderId="61" xfId="0" applyNumberFormat="1" applyFont="1" applyFill="1" applyBorder="1" applyAlignment="1">
      <alignment vertical="top"/>
    </xf>
    <xf numFmtId="0" fontId="5" fillId="5" borderId="14" xfId="0" applyFont="1" applyFill="1" applyBorder="1" applyAlignment="1">
      <alignment horizontal="center" vertical="top"/>
    </xf>
    <xf numFmtId="0" fontId="0" fillId="5" borderId="14" xfId="0" applyFont="1" applyFill="1" applyBorder="1" applyAlignment="1">
      <alignment horizontal="left" vertical="top"/>
    </xf>
    <xf numFmtId="1" fontId="0" fillId="5" borderId="14" xfId="0" applyNumberFormat="1" applyFont="1" applyFill="1" applyBorder="1" applyAlignment="1">
      <alignment horizontal="right" vertical="top"/>
    </xf>
    <xf numFmtId="0" fontId="0" fillId="5" borderId="14" xfId="0" applyNumberFormat="1" applyFont="1" applyFill="1" applyBorder="1" applyAlignment="1">
      <alignment horizontal="right" vertical="top"/>
    </xf>
    <xf numFmtId="1" fontId="0" fillId="5" borderId="15" xfId="0" applyNumberFormat="1" applyFont="1" applyFill="1" applyBorder="1" applyAlignment="1">
      <alignment horizontal="right" vertical="top"/>
    </xf>
    <xf numFmtId="0" fontId="0" fillId="5" borderId="49" xfId="0" applyNumberFormat="1" applyFont="1" applyFill="1" applyBorder="1" applyAlignment="1">
      <alignment horizontal="left" vertical="top"/>
    </xf>
    <xf numFmtId="181" fontId="0" fillId="5" borderId="44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left" vertical="top" wrapText="1"/>
    </xf>
    <xf numFmtId="0" fontId="15" fillId="0" borderId="12" xfId="0" applyNumberFormat="1" applyFont="1" applyFill="1" applyBorder="1" applyAlignment="1">
      <alignment horizontal="center" vertical="top"/>
    </xf>
    <xf numFmtId="0" fontId="0" fillId="0" borderId="60" xfId="0" applyNumberFormat="1" applyFont="1" applyBorder="1" applyAlignment="1">
      <alignment horizontal="right" vertical="top" wrapText="1"/>
    </xf>
    <xf numFmtId="0" fontId="0" fillId="0" borderId="57" xfId="0" applyNumberFormat="1" applyFont="1" applyBorder="1" applyAlignment="1">
      <alignment horizontal="right" vertical="top" wrapText="1"/>
    </xf>
    <xf numFmtId="0" fontId="0" fillId="0" borderId="66" xfId="0" applyNumberFormat="1" applyFont="1" applyBorder="1" applyAlignment="1">
      <alignment horizontal="right" vertical="top" wrapText="1"/>
    </xf>
    <xf numFmtId="181" fontId="14" fillId="0" borderId="36" xfId="0" applyNumberFormat="1" applyFont="1" applyFill="1" applyBorder="1" applyAlignment="1">
      <alignment vertical="top"/>
    </xf>
    <xf numFmtId="181" fontId="14" fillId="0" borderId="37" xfId="0" applyNumberFormat="1" applyFont="1" applyFill="1" applyBorder="1" applyAlignment="1">
      <alignment vertical="top"/>
    </xf>
    <xf numFmtId="0" fontId="0" fillId="0" borderId="36" xfId="0" applyNumberFormat="1" applyFont="1" applyBorder="1" applyAlignment="1">
      <alignment vertical="top" wrapText="1"/>
    </xf>
    <xf numFmtId="0" fontId="0" fillId="0" borderId="32" xfId="0" applyNumberFormat="1" applyFont="1" applyBorder="1" applyAlignment="1">
      <alignment vertical="top" wrapText="1"/>
    </xf>
    <xf numFmtId="0" fontId="0" fillId="0" borderId="37" xfId="0" applyNumberFormat="1" applyFont="1" applyBorder="1" applyAlignment="1">
      <alignment vertical="top" wrapText="1"/>
    </xf>
    <xf numFmtId="0" fontId="0" fillId="5" borderId="41" xfId="0" applyFont="1" applyFill="1" applyBorder="1" applyAlignment="1">
      <alignment vertical="top" wrapText="1"/>
    </xf>
    <xf numFmtId="0" fontId="0" fillId="5" borderId="41" xfId="0" applyFont="1" applyFill="1" applyBorder="1" applyAlignment="1">
      <alignment vertical="top"/>
    </xf>
    <xf numFmtId="0" fontId="0" fillId="5" borderId="38" xfId="0" applyFont="1" applyFill="1" applyBorder="1" applyAlignment="1">
      <alignment vertical="top"/>
    </xf>
    <xf numFmtId="0" fontId="0" fillId="5" borderId="38" xfId="0" applyFont="1" applyFill="1" applyBorder="1" applyAlignment="1">
      <alignment vertical="top" wrapText="1"/>
    </xf>
    <xf numFmtId="49" fontId="0" fillId="0" borderId="41" xfId="0" applyNumberFormat="1" applyFont="1" applyFill="1" applyBorder="1" applyAlignment="1">
      <alignment vertical="top"/>
    </xf>
    <xf numFmtId="49" fontId="0" fillId="0" borderId="38" xfId="0" applyNumberFormat="1" applyFont="1" applyFill="1" applyBorder="1" applyAlignment="1">
      <alignment vertical="top"/>
    </xf>
    <xf numFmtId="0" fontId="0" fillId="5" borderId="49" xfId="0" applyFont="1" applyFill="1" applyBorder="1" applyAlignment="1">
      <alignment vertical="top"/>
    </xf>
    <xf numFmtId="0" fontId="0" fillId="0" borderId="6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15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vertical="top"/>
    </xf>
    <xf numFmtId="0" fontId="0" fillId="5" borderId="43" xfId="0" applyNumberFormat="1" applyFont="1" applyFill="1" applyBorder="1" applyAlignment="1">
      <alignment horizontal="left" vertical="top"/>
    </xf>
    <xf numFmtId="0" fontId="0" fillId="0" borderId="53" xfId="0" applyNumberFormat="1" applyFont="1" applyBorder="1" applyAlignment="1">
      <alignment vertical="top"/>
    </xf>
    <xf numFmtId="0" fontId="0" fillId="0" borderId="12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58" fillId="0" borderId="25" xfId="0" applyFont="1" applyFill="1" applyBorder="1" applyAlignment="1">
      <alignment horizontal="center" vertical="top"/>
    </xf>
    <xf numFmtId="179" fontId="5" fillId="0" borderId="25" xfId="0" applyNumberFormat="1" applyFont="1" applyBorder="1" applyAlignment="1">
      <alignment horizontal="center" vertical="top" wrapText="1"/>
    </xf>
    <xf numFmtId="179" fontId="5" fillId="0" borderId="0" xfId="0" applyNumberFormat="1" applyFont="1" applyBorder="1" applyAlignment="1">
      <alignment horizontal="center" vertical="top"/>
    </xf>
    <xf numFmtId="179" fontId="5" fillId="0" borderId="12" xfId="0" applyNumberFormat="1" applyFont="1" applyBorder="1" applyAlignment="1">
      <alignment horizontal="center" vertical="top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73" xfId="0" applyNumberFormat="1" applyFont="1" applyFill="1" applyBorder="1" applyAlignment="1">
      <alignment horizontal="left" vertical="top"/>
    </xf>
    <xf numFmtId="0" fontId="30" fillId="0" borderId="22" xfId="42" applyNumberFormat="1" applyFont="1" applyBorder="1" applyAlignment="1" applyProtection="1">
      <alignment horizontal="left" vertical="top" wrapText="1"/>
      <protection/>
    </xf>
    <xf numFmtId="0" fontId="58" fillId="0" borderId="22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right" vertical="top"/>
    </xf>
    <xf numFmtId="1" fontId="0" fillId="0" borderId="12" xfId="0" applyNumberFormat="1" applyFont="1" applyBorder="1" applyAlignment="1">
      <alignment horizontal="right" vertical="top"/>
    </xf>
    <xf numFmtId="0" fontId="0" fillId="0" borderId="44" xfId="0" applyNumberFormat="1" applyFont="1" applyBorder="1" applyAlignment="1">
      <alignment horizontal="left" vertical="top"/>
    </xf>
    <xf numFmtId="181" fontId="0" fillId="5" borderId="44" xfId="0" applyNumberFormat="1" applyFont="1" applyFill="1" applyBorder="1" applyAlignment="1">
      <alignment vertical="top"/>
    </xf>
    <xf numFmtId="0" fontId="30" fillId="0" borderId="17" xfId="42" applyFont="1" applyBorder="1" applyAlignment="1" applyProtection="1">
      <alignment horizontal="left" vertical="top"/>
      <protection/>
    </xf>
    <xf numFmtId="0" fontId="0" fillId="0" borderId="60" xfId="0" applyFont="1" applyBorder="1" applyAlignment="1">
      <alignment vertical="top"/>
    </xf>
    <xf numFmtId="0" fontId="0" fillId="0" borderId="26" xfId="0" applyFont="1" applyBorder="1" applyAlignment="1">
      <alignment vertical="top" wrapText="1"/>
    </xf>
    <xf numFmtId="0" fontId="30" fillId="0" borderId="26" xfId="42" applyFont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2" fillId="0" borderId="29" xfId="0" applyFont="1" applyBorder="1" applyAlignment="1">
      <alignment horizontal="left" vertical="top"/>
    </xf>
    <xf numFmtId="0" fontId="18" fillId="0" borderId="12" xfId="0" applyFont="1" applyFill="1" applyBorder="1" applyAlignment="1">
      <alignment horizontal="center" vertical="top"/>
    </xf>
    <xf numFmtId="1" fontId="0" fillId="0" borderId="25" xfId="0" applyNumberFormat="1" applyFont="1" applyFill="1" applyBorder="1" applyAlignment="1">
      <alignment horizontal="right" vertical="top"/>
    </xf>
    <xf numFmtId="181" fontId="0" fillId="0" borderId="0" xfId="0" applyNumberFormat="1" applyFont="1" applyBorder="1" applyAlignment="1">
      <alignment vertical="top"/>
    </xf>
    <xf numFmtId="0" fontId="27" fillId="0" borderId="12" xfId="0" applyNumberFormat="1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/>
    </xf>
    <xf numFmtId="1" fontId="0" fillId="0" borderId="63" xfId="0" applyNumberFormat="1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/>
    </xf>
    <xf numFmtId="181" fontId="0" fillId="0" borderId="45" xfId="0" applyNumberFormat="1" applyFont="1" applyBorder="1" applyAlignment="1">
      <alignment vertical="top"/>
    </xf>
    <xf numFmtId="0" fontId="16" fillId="0" borderId="10" xfId="0" applyNumberFormat="1" applyFont="1" applyFill="1" applyBorder="1" applyAlignment="1">
      <alignment horizontal="center" vertical="top" wrapText="1"/>
    </xf>
    <xf numFmtId="0" fontId="16" fillId="0" borderId="13" xfId="0" applyNumberFormat="1" applyFont="1" applyFill="1" applyBorder="1" applyAlignment="1">
      <alignment horizontal="center" vertical="top" wrapText="1"/>
    </xf>
    <xf numFmtId="181" fontId="0" fillId="0" borderId="66" xfId="0" applyNumberFormat="1" applyFont="1" applyBorder="1" applyAlignment="1">
      <alignment horizontal="right" vertical="top"/>
    </xf>
    <xf numFmtId="181" fontId="0" fillId="0" borderId="33" xfId="0" applyNumberFormat="1" applyFont="1" applyBorder="1" applyAlignment="1">
      <alignment vertical="top"/>
    </xf>
    <xf numFmtId="0" fontId="0" fillId="0" borderId="49" xfId="82" applyFont="1" applyBorder="1" applyAlignment="1">
      <alignment horizontal="right" vertical="top"/>
      <protection/>
    </xf>
    <xf numFmtId="0" fontId="0" fillId="0" borderId="44" xfId="82" applyFont="1" applyBorder="1" applyAlignment="1">
      <alignment horizontal="center" vertical="top"/>
      <protection/>
    </xf>
    <xf numFmtId="0" fontId="0" fillId="0" borderId="63" xfId="82" applyFont="1" applyBorder="1" applyAlignment="1">
      <alignment vertical="top"/>
      <protection/>
    </xf>
    <xf numFmtId="0" fontId="0" fillId="0" borderId="14" xfId="82" applyFont="1" applyBorder="1" applyAlignment="1">
      <alignment vertical="top" wrapText="1"/>
      <protection/>
    </xf>
    <xf numFmtId="0" fontId="0" fillId="0" borderId="14" xfId="82" applyFont="1" applyBorder="1" applyAlignment="1">
      <alignment horizontal="left" vertical="top"/>
      <protection/>
    </xf>
    <xf numFmtId="0" fontId="0" fillId="0" borderId="14" xfId="82" applyFont="1" applyBorder="1" applyAlignment="1">
      <alignment horizontal="right" vertical="top"/>
      <protection/>
    </xf>
    <xf numFmtId="0" fontId="0" fillId="0" borderId="44" xfId="82" applyFont="1" applyBorder="1" applyAlignment="1">
      <alignment horizontal="left" vertical="top" wrapText="1"/>
      <protection/>
    </xf>
    <xf numFmtId="181" fontId="0" fillId="0" borderId="61" xfId="0" applyNumberFormat="1" applyFont="1" applyFill="1" applyBorder="1" applyAlignment="1">
      <alignment horizontal="right" vertical="top"/>
    </xf>
    <xf numFmtId="181" fontId="0" fillId="0" borderId="44" xfId="0" applyNumberFormat="1" applyFont="1" applyFill="1" applyBorder="1" applyAlignment="1">
      <alignment vertical="top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81" fontId="0" fillId="0" borderId="33" xfId="0" applyNumberFormat="1" applyFont="1" applyFill="1" applyBorder="1" applyAlignment="1">
      <alignment vertical="top"/>
    </xf>
    <xf numFmtId="181" fontId="0" fillId="0" borderId="46" xfId="0" applyNumberFormat="1" applyFont="1" applyFill="1" applyBorder="1" applyAlignment="1">
      <alignment vertical="top"/>
    </xf>
    <xf numFmtId="0" fontId="0" fillId="0" borderId="36" xfId="0" applyNumberFormat="1" applyFont="1" applyFill="1" applyBorder="1" applyAlignment="1">
      <alignment horizontal="left" vertical="top"/>
    </xf>
    <xf numFmtId="0" fontId="0" fillId="0" borderId="82" xfId="0" applyNumberFormat="1" applyFont="1" applyBorder="1" applyAlignment="1">
      <alignment vertical="top"/>
    </xf>
    <xf numFmtId="0" fontId="0" fillId="0" borderId="83" xfId="0" applyNumberFormat="1" applyFont="1" applyBorder="1" applyAlignment="1">
      <alignment vertical="top"/>
    </xf>
    <xf numFmtId="0" fontId="0" fillId="0" borderId="84" xfId="0" applyNumberFormat="1" applyFont="1" applyBorder="1" applyAlignment="1">
      <alignment vertical="top"/>
    </xf>
    <xf numFmtId="1" fontId="0" fillId="0" borderId="62" xfId="0" applyNumberFormat="1" applyFont="1" applyBorder="1" applyAlignment="1">
      <alignment horizontal="right" vertical="top"/>
    </xf>
    <xf numFmtId="0" fontId="0" fillId="0" borderId="32" xfId="0" applyFont="1" applyFill="1" applyBorder="1" applyAlignment="1">
      <alignment vertical="top"/>
    </xf>
    <xf numFmtId="0" fontId="0" fillId="0" borderId="23" xfId="0" applyFont="1" applyFill="1" applyBorder="1" applyAlignment="1">
      <alignment horizontal="center" vertical="top"/>
    </xf>
    <xf numFmtId="1" fontId="0" fillId="0" borderId="23" xfId="0" applyNumberFormat="1" applyFont="1" applyBorder="1" applyAlignment="1">
      <alignment horizontal="center" vertical="top"/>
    </xf>
    <xf numFmtId="0" fontId="0" fillId="0" borderId="41" xfId="0" applyFont="1" applyFill="1" applyBorder="1" applyAlignment="1">
      <alignment horizontal="center" vertical="top"/>
    </xf>
    <xf numFmtId="0" fontId="0" fillId="5" borderId="33" xfId="0" applyNumberFormat="1" applyFont="1" applyFill="1" applyBorder="1" applyAlignment="1">
      <alignment vertical="top"/>
    </xf>
    <xf numFmtId="0" fontId="0" fillId="5" borderId="32" xfId="0" applyNumberFormat="1" applyFont="1" applyFill="1" applyBorder="1" applyAlignment="1">
      <alignment vertical="top"/>
    </xf>
    <xf numFmtId="1" fontId="0" fillId="5" borderId="51" xfId="0" applyNumberFormat="1" applyFont="1" applyFill="1" applyBorder="1" applyAlignment="1">
      <alignment horizontal="right" vertical="top"/>
    </xf>
    <xf numFmtId="0" fontId="18" fillId="0" borderId="47" xfId="0" applyFont="1" applyFill="1" applyBorder="1" applyAlignment="1">
      <alignment horizontal="center" vertical="top"/>
    </xf>
    <xf numFmtId="0" fontId="31" fillId="0" borderId="14" xfId="42" applyFont="1" applyFill="1" applyBorder="1" applyAlignment="1" applyProtection="1">
      <alignment horizontal="left" vertical="top" wrapText="1"/>
      <protection/>
    </xf>
    <xf numFmtId="1" fontId="0" fillId="0" borderId="36" xfId="0" applyNumberFormat="1" applyFont="1" applyBorder="1" applyAlignment="1">
      <alignment horizontal="center" vertical="top"/>
    </xf>
    <xf numFmtId="1" fontId="0" fillId="0" borderId="22" xfId="0" applyNumberFormat="1" applyFont="1" applyBorder="1" applyAlignment="1">
      <alignment horizontal="left" vertical="top"/>
    </xf>
    <xf numFmtId="0" fontId="15" fillId="0" borderId="22" xfId="0" applyNumberFormat="1" applyFont="1" applyBorder="1" applyAlignment="1">
      <alignment horizontal="center" vertical="top" wrapText="1"/>
    </xf>
    <xf numFmtId="0" fontId="0" fillId="0" borderId="34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right" vertical="top"/>
    </xf>
    <xf numFmtId="0" fontId="0" fillId="0" borderId="32" xfId="0" applyFont="1" applyBorder="1" applyAlignment="1">
      <alignment/>
    </xf>
    <xf numFmtId="0" fontId="0" fillId="0" borderId="64" xfId="0" applyNumberFormat="1" applyFont="1" applyBorder="1" applyAlignment="1">
      <alignment horizontal="left" vertical="top"/>
    </xf>
    <xf numFmtId="1" fontId="0" fillId="5" borderId="47" xfId="0" applyNumberFormat="1" applyFont="1" applyFill="1" applyBorder="1" applyAlignment="1">
      <alignment horizontal="right" vertical="top"/>
    </xf>
    <xf numFmtId="0" fontId="0" fillId="0" borderId="77" xfId="0" applyFont="1" applyFill="1" applyBorder="1" applyAlignment="1">
      <alignment vertical="top"/>
    </xf>
    <xf numFmtId="9" fontId="0" fillId="0" borderId="14" xfId="0" applyNumberFormat="1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61" xfId="0" applyFont="1" applyFill="1" applyBorder="1" applyAlignment="1">
      <alignment vertical="top"/>
    </xf>
    <xf numFmtId="0" fontId="0" fillId="0" borderId="44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vertical="top"/>
    </xf>
    <xf numFmtId="181" fontId="0" fillId="0" borderId="60" xfId="0" applyNumberFormat="1" applyFont="1" applyFill="1" applyBorder="1" applyAlignment="1">
      <alignment horizontal="right" vertical="top"/>
    </xf>
    <xf numFmtId="181" fontId="0" fillId="5" borderId="57" xfId="0" applyNumberFormat="1" applyFont="1" applyFill="1" applyBorder="1" applyAlignment="1">
      <alignment horizontal="right" vertical="top"/>
    </xf>
    <xf numFmtId="181" fontId="0" fillId="5" borderId="66" xfId="0" applyNumberFormat="1" applyFont="1" applyFill="1" applyBorder="1" applyAlignment="1">
      <alignment horizontal="right" vertical="top"/>
    </xf>
    <xf numFmtId="0" fontId="0" fillId="0" borderId="36" xfId="0" applyFont="1" applyFill="1" applyBorder="1" applyAlignment="1">
      <alignment vertical="top"/>
    </xf>
    <xf numFmtId="0" fontId="0" fillId="0" borderId="37" xfId="0" applyFont="1" applyFill="1" applyBorder="1" applyAlignment="1">
      <alignment vertical="top"/>
    </xf>
    <xf numFmtId="1" fontId="0" fillId="0" borderId="15" xfId="0" applyNumberFormat="1" applyFont="1" applyBorder="1" applyAlignment="1">
      <alignment vertical="top"/>
    </xf>
    <xf numFmtId="0" fontId="0" fillId="0" borderId="33" xfId="0" applyNumberFormat="1" applyFont="1" applyBorder="1" applyAlignment="1">
      <alignment horizontal="left" vertical="top" wrapText="1"/>
    </xf>
    <xf numFmtId="0" fontId="0" fillId="0" borderId="72" xfId="0" applyNumberFormat="1" applyFont="1" applyBorder="1" applyAlignment="1">
      <alignment vertical="top"/>
    </xf>
    <xf numFmtId="0" fontId="0" fillId="0" borderId="17" xfId="0" applyNumberFormat="1" applyFont="1" applyBorder="1" applyAlignment="1">
      <alignment vertical="top" wrapText="1"/>
    </xf>
    <xf numFmtId="0" fontId="15" fillId="5" borderId="17" xfId="0" applyNumberFormat="1" applyFont="1" applyFill="1" applyBorder="1" applyAlignment="1">
      <alignment horizontal="center" vertical="top" wrapText="1"/>
    </xf>
    <xf numFmtId="1" fontId="0" fillId="0" borderId="24" xfId="0" applyNumberFormat="1" applyFont="1" applyFill="1" applyBorder="1" applyAlignment="1">
      <alignment horizontal="left" vertical="top"/>
    </xf>
    <xf numFmtId="1" fontId="0" fillId="0" borderId="43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11" fillId="0" borderId="0" xfId="42" applyNumberForma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/>
    </xf>
    <xf numFmtId="0" fontId="0" fillId="0" borderId="24" xfId="0" applyNumberFormat="1" applyFont="1" applyFill="1" applyBorder="1" applyAlignment="1">
      <alignment horizontal="left" vertical="top"/>
    </xf>
    <xf numFmtId="181" fontId="0" fillId="0" borderId="43" xfId="0" applyNumberFormat="1" applyFont="1" applyFill="1" applyBorder="1" applyAlignment="1">
      <alignment vertical="top"/>
    </xf>
    <xf numFmtId="0" fontId="38" fillId="0" borderId="70" xfId="0" applyFont="1" applyFill="1" applyBorder="1" applyAlignment="1">
      <alignment horizontal="left" vertical="top"/>
    </xf>
    <xf numFmtId="0" fontId="3" fillId="0" borderId="25" xfId="0" applyNumberFormat="1" applyFont="1" applyFill="1" applyBorder="1" applyAlignment="1">
      <alignment horizontal="center" vertical="top" wrapText="1"/>
    </xf>
    <xf numFmtId="1" fontId="0" fillId="5" borderId="25" xfId="0" applyNumberFormat="1" applyFont="1" applyFill="1" applyBorder="1" applyAlignment="1">
      <alignment horizontal="right" vertical="top"/>
    </xf>
    <xf numFmtId="1" fontId="0" fillId="0" borderId="25" xfId="0" applyNumberFormat="1" applyFont="1" applyFill="1" applyBorder="1" applyAlignment="1">
      <alignment horizontal="right" vertical="top"/>
    </xf>
    <xf numFmtId="0" fontId="0" fillId="0" borderId="25" xfId="0" applyNumberFormat="1" applyFont="1" applyFill="1" applyBorder="1" applyAlignment="1">
      <alignment horizontal="right" vertical="top"/>
    </xf>
    <xf numFmtId="1" fontId="8" fillId="0" borderId="25" xfId="0" applyNumberFormat="1" applyFont="1" applyFill="1" applyBorder="1" applyAlignment="1">
      <alignment horizontal="right" vertical="top"/>
    </xf>
    <xf numFmtId="0" fontId="0" fillId="0" borderId="25" xfId="0" applyNumberFormat="1" applyFont="1" applyFill="1" applyBorder="1" applyAlignment="1">
      <alignment horizontal="left" vertical="top"/>
    </xf>
    <xf numFmtId="181" fontId="0" fillId="0" borderId="85" xfId="0" applyNumberFormat="1" applyFont="1" applyFill="1" applyBorder="1" applyAlignment="1">
      <alignment horizontal="left" vertical="top"/>
    </xf>
    <xf numFmtId="1" fontId="0" fillId="0" borderId="50" xfId="0" applyNumberFormat="1" applyFont="1" applyFill="1" applyBorder="1" applyAlignment="1">
      <alignment horizontal="right" vertical="top"/>
    </xf>
    <xf numFmtId="0" fontId="0" fillId="0" borderId="43" xfId="0" applyNumberFormat="1" applyFont="1" applyFill="1" applyBorder="1" applyAlignment="1">
      <alignment horizontal="left" vertical="top"/>
    </xf>
    <xf numFmtId="0" fontId="11" fillId="0" borderId="25" xfId="42" applyNumberFormat="1" applyFill="1" applyBorder="1" applyAlignment="1" applyProtection="1">
      <alignment horizontal="left" vertical="top"/>
      <protection/>
    </xf>
    <xf numFmtId="1" fontId="0" fillId="0" borderId="41" xfId="0" applyNumberFormat="1" applyFont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54" xfId="0" applyNumberFormat="1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" fontId="0" fillId="0" borderId="13" xfId="0" applyNumberFormat="1" applyFont="1" applyBorder="1" applyAlignment="1">
      <alignment horizontal="left" vertical="top"/>
    </xf>
    <xf numFmtId="0" fontId="0" fillId="0" borderId="36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" fontId="0" fillId="0" borderId="10" xfId="0" applyNumberFormat="1" applyFon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1" fontId="0" fillId="0" borderId="12" xfId="0" applyNumberFormat="1" applyFont="1" applyBorder="1" applyAlignment="1">
      <alignment horizontal="left" vertical="top"/>
    </xf>
    <xf numFmtId="0" fontId="0" fillId="0" borderId="37" xfId="0" applyNumberFormat="1" applyFont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25" xfId="0" applyNumberFormat="1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/>
    </xf>
    <xf numFmtId="181" fontId="0" fillId="0" borderId="70" xfId="0" applyNumberFormat="1" applyFont="1" applyFill="1" applyBorder="1" applyAlignment="1">
      <alignment horizontal="left" vertical="top"/>
    </xf>
    <xf numFmtId="2" fontId="2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9" fontId="0" fillId="0" borderId="55" xfId="0" applyNumberFormat="1" applyFill="1" applyBorder="1" applyAlignment="1">
      <alignment horizontal="right" vertical="top"/>
    </xf>
    <xf numFmtId="181" fontId="0" fillId="0" borderId="41" xfId="0" applyNumberFormat="1" applyFont="1" applyFill="1" applyBorder="1" applyAlignment="1">
      <alignment vertical="top"/>
    </xf>
    <xf numFmtId="181" fontId="0" fillId="0" borderId="38" xfId="0" applyNumberFormat="1" applyFont="1" applyFill="1" applyBorder="1" applyAlignment="1">
      <alignment vertical="top"/>
    </xf>
    <xf numFmtId="0" fontId="0" fillId="0" borderId="59" xfId="0" applyNumberFormat="1" applyFont="1" applyBorder="1" applyAlignment="1">
      <alignment horizontal="left" vertical="top" wrapText="1"/>
    </xf>
    <xf numFmtId="0" fontId="0" fillId="0" borderId="82" xfId="0" applyNumberFormat="1" applyFont="1" applyBorder="1" applyAlignment="1">
      <alignment horizontal="left" vertical="top"/>
    </xf>
    <xf numFmtId="0" fontId="0" fillId="0" borderId="83" xfId="0" applyNumberFormat="1" applyFont="1" applyBorder="1" applyAlignment="1">
      <alignment horizontal="left" vertical="top"/>
    </xf>
    <xf numFmtId="181" fontId="0" fillId="0" borderId="36" xfId="0" applyNumberFormat="1" applyFont="1" applyFill="1" applyBorder="1" applyAlignment="1">
      <alignment horizontal="right" vertical="top"/>
    </xf>
    <xf numFmtId="181" fontId="0" fillId="0" borderId="32" xfId="0" applyNumberFormat="1" applyFont="1" applyFill="1" applyBorder="1" applyAlignment="1">
      <alignment horizontal="right" vertical="top"/>
    </xf>
    <xf numFmtId="181" fontId="0" fillId="0" borderId="37" xfId="0" applyNumberFormat="1" applyFont="1" applyFill="1" applyBorder="1" applyAlignment="1">
      <alignment horizontal="right" vertical="top"/>
    </xf>
    <xf numFmtId="181" fontId="0" fillId="0" borderId="33" xfId="0" applyNumberFormat="1" applyFont="1" applyFill="1" applyBorder="1" applyAlignment="1">
      <alignment horizontal="right" vertical="top"/>
    </xf>
    <xf numFmtId="181" fontId="0" fillId="0" borderId="46" xfId="0" applyNumberFormat="1" applyFont="1" applyFill="1" applyBorder="1" applyAlignment="1">
      <alignment horizontal="right" vertical="top"/>
    </xf>
    <xf numFmtId="181" fontId="0" fillId="0" borderId="75" xfId="0" applyNumberFormat="1" applyFont="1" applyFill="1" applyBorder="1" applyAlignment="1">
      <alignment horizontal="right" vertical="top"/>
    </xf>
    <xf numFmtId="181" fontId="0" fillId="0" borderId="59" xfId="0" applyNumberFormat="1" applyFont="1" applyFill="1" applyBorder="1" applyAlignment="1">
      <alignment horizontal="right" vertical="top"/>
    </xf>
    <xf numFmtId="181" fontId="0" fillId="0" borderId="74" xfId="0" applyNumberFormat="1" applyFont="1" applyFill="1" applyBorder="1" applyAlignment="1">
      <alignment horizontal="right" vertical="top"/>
    </xf>
    <xf numFmtId="0" fontId="0" fillId="0" borderId="75" xfId="0" applyNumberFormat="1" applyFont="1" applyBorder="1" applyAlignment="1">
      <alignment horizontal="left" vertical="top" wrapText="1"/>
    </xf>
    <xf numFmtId="0" fontId="0" fillId="0" borderId="74" xfId="0" applyNumberFormat="1" applyFont="1" applyBorder="1" applyAlignment="1">
      <alignment horizontal="left" vertical="top" wrapText="1"/>
    </xf>
    <xf numFmtId="0" fontId="0" fillId="0" borderId="26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1" fontId="0" fillId="0" borderId="16" xfId="0" applyNumberFormat="1" applyBorder="1" applyAlignment="1">
      <alignment horizontal="right" vertical="top"/>
    </xf>
    <xf numFmtId="1" fontId="0" fillId="0" borderId="30" xfId="0" applyNumberForma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1" fontId="0" fillId="0" borderId="56" xfId="0" applyNumberFormat="1" applyBorder="1" applyAlignment="1">
      <alignment horizontal="right" vertical="top"/>
    </xf>
    <xf numFmtId="1" fontId="0" fillId="0" borderId="58" xfId="0" applyNumberFormat="1" applyBorder="1" applyAlignment="1">
      <alignment horizontal="right" vertical="top"/>
    </xf>
    <xf numFmtId="1" fontId="0" fillId="0" borderId="86" xfId="0" applyNumberFormat="1" applyBorder="1" applyAlignment="1">
      <alignment horizontal="right" vertical="top"/>
    </xf>
    <xf numFmtId="1" fontId="0" fillId="0" borderId="26" xfId="0" applyNumberFormat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0" fontId="0" fillId="0" borderId="56" xfId="0" applyBorder="1" applyAlignment="1">
      <alignment horizontal="right" vertical="top"/>
    </xf>
    <xf numFmtId="0" fontId="0" fillId="0" borderId="58" xfId="0" applyBorder="1" applyAlignment="1">
      <alignment horizontal="right" vertical="top"/>
    </xf>
    <xf numFmtId="1" fontId="0" fillId="0" borderId="62" xfId="0" applyNumberFormat="1" applyBorder="1" applyAlignment="1">
      <alignment horizontal="right" vertical="top"/>
    </xf>
    <xf numFmtId="1" fontId="5" fillId="16" borderId="39" xfId="0" applyNumberFormat="1" applyFont="1" applyFill="1" applyBorder="1" applyAlignment="1">
      <alignment horizontal="center" vertical="center"/>
    </xf>
    <xf numFmtId="1" fontId="9" fillId="16" borderId="27" xfId="0" applyNumberFormat="1" applyFont="1" applyFill="1" applyBorder="1" applyAlignment="1">
      <alignment horizontal="left" vertical="center"/>
    </xf>
    <xf numFmtId="0" fontId="0" fillId="16" borderId="27" xfId="0" applyFill="1" applyBorder="1" applyAlignment="1">
      <alignment/>
    </xf>
    <xf numFmtId="1" fontId="8" fillId="16" borderId="27" xfId="0" applyNumberFormat="1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/>
    </xf>
    <xf numFmtId="0" fontId="42" fillId="16" borderId="27" xfId="0" applyFont="1" applyFill="1" applyBorder="1" applyAlignment="1">
      <alignment horizontal="left" vertical="center"/>
    </xf>
    <xf numFmtId="0" fontId="10" fillId="16" borderId="27" xfId="0" applyFont="1" applyFill="1" applyBorder="1" applyAlignment="1">
      <alignment horizontal="center" vertical="top"/>
    </xf>
    <xf numFmtId="0" fontId="5" fillId="16" borderId="27" xfId="0" applyNumberFormat="1" applyFont="1" applyFill="1" applyBorder="1" applyAlignment="1">
      <alignment horizontal="center" vertical="center" wrapText="1"/>
    </xf>
    <xf numFmtId="4" fontId="3" fillId="16" borderId="27" xfId="0" applyNumberFormat="1" applyFont="1" applyFill="1" applyBorder="1" applyAlignment="1">
      <alignment horizontal="center" vertical="center" wrapText="1"/>
    </xf>
    <xf numFmtId="1" fontId="11" fillId="16" borderId="27" xfId="42" applyNumberFormat="1" applyFill="1" applyBorder="1" applyAlignment="1" applyProtection="1">
      <alignment horizontal="center" vertical="center"/>
      <protection/>
    </xf>
    <xf numFmtId="1" fontId="5" fillId="16" borderId="27" xfId="0" applyNumberFormat="1" applyFont="1" applyFill="1" applyBorder="1" applyAlignment="1">
      <alignment horizontal="center" vertical="center"/>
    </xf>
    <xf numFmtId="1" fontId="5" fillId="16" borderId="27" xfId="0" applyNumberFormat="1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/>
    </xf>
    <xf numFmtId="0" fontId="5" fillId="16" borderId="27" xfId="0" applyFont="1" applyFill="1" applyBorder="1" applyAlignment="1">
      <alignment horizontal="center" vertical="center" wrapText="1"/>
    </xf>
    <xf numFmtId="1" fontId="5" fillId="16" borderId="27" xfId="0" applyNumberFormat="1" applyFont="1" applyFill="1" applyBorder="1" applyAlignment="1">
      <alignment horizontal="left" vertical="center" wrapText="1"/>
    </xf>
    <xf numFmtId="181" fontId="5" fillId="16" borderId="28" xfId="0" applyNumberFormat="1" applyFont="1" applyFill="1" applyBorder="1" applyAlignment="1">
      <alignment horizontal="center" vertical="center" wrapText="1"/>
    </xf>
    <xf numFmtId="181" fontId="0" fillId="16" borderId="34" xfId="0" applyNumberFormat="1" applyFill="1" applyBorder="1" applyAlignment="1">
      <alignment horizontal="right" vertical="top"/>
    </xf>
    <xf numFmtId="181" fontId="0" fillId="0" borderId="60" xfId="0" applyNumberFormat="1" applyFont="1" applyFill="1" applyBorder="1" applyAlignment="1">
      <alignment horizontal="right" vertical="top"/>
    </xf>
    <xf numFmtId="181" fontId="0" fillId="0" borderId="57" xfId="0" applyNumberFormat="1" applyFont="1" applyFill="1" applyBorder="1" applyAlignment="1">
      <alignment horizontal="right" vertical="top"/>
    </xf>
    <xf numFmtId="181" fontId="0" fillId="0" borderId="66" xfId="0" applyNumberFormat="1" applyFont="1" applyFill="1" applyBorder="1" applyAlignment="1">
      <alignment horizontal="right" vertical="top"/>
    </xf>
    <xf numFmtId="181" fontId="0" fillId="16" borderId="34" xfId="0" applyNumberFormat="1" applyFont="1" applyFill="1" applyBorder="1" applyAlignment="1">
      <alignment vertical="top"/>
    </xf>
    <xf numFmtId="0" fontId="20" fillId="0" borderId="12" xfId="0" applyNumberFormat="1" applyFont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1" fontId="0" fillId="0" borderId="23" xfId="0" applyNumberFormat="1" applyFont="1" applyBorder="1" applyAlignment="1">
      <alignment horizontal="left" vertical="top"/>
    </xf>
    <xf numFmtId="0" fontId="0" fillId="0" borderId="55" xfId="0" applyNumberFormat="1" applyFont="1" applyBorder="1" applyAlignment="1">
      <alignment horizontal="left" vertical="top"/>
    </xf>
    <xf numFmtId="1" fontId="0" fillId="0" borderId="11" xfId="80" applyNumberFormat="1" applyFont="1" applyFill="1" applyBorder="1" applyAlignment="1">
      <alignment horizontal="left" vertical="top"/>
      <protection/>
    </xf>
    <xf numFmtId="0" fontId="0" fillId="0" borderId="11" xfId="0" applyNumberFormat="1" applyFont="1" applyBorder="1" applyAlignment="1">
      <alignment horizontal="left" vertical="top" wrapText="1"/>
    </xf>
    <xf numFmtId="0" fontId="0" fillId="0" borderId="45" xfId="0" applyFont="1" applyBorder="1" applyAlignment="1">
      <alignment horizontal="center" vertical="top"/>
    </xf>
    <xf numFmtId="0" fontId="0" fillId="0" borderId="67" xfId="0" applyNumberFormat="1" applyFont="1" applyBorder="1" applyAlignment="1">
      <alignment horizontal="left" vertical="top"/>
    </xf>
    <xf numFmtId="0" fontId="0" fillId="0" borderId="48" xfId="0" applyFont="1" applyBorder="1" applyAlignment="1">
      <alignment vertical="top"/>
    </xf>
    <xf numFmtId="0" fontId="0" fillId="0" borderId="11" xfId="0" applyNumberForma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179" fontId="5" fillId="0" borderId="11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right" vertical="top"/>
    </xf>
    <xf numFmtId="0" fontId="0" fillId="0" borderId="45" xfId="0" applyNumberFormat="1" applyFont="1" applyBorder="1" applyAlignment="1">
      <alignment horizontal="right" vertical="top" wrapText="1"/>
    </xf>
    <xf numFmtId="9" fontId="0" fillId="5" borderId="30" xfId="0" applyNumberFormat="1" applyFont="1" applyFill="1" applyBorder="1" applyAlignment="1">
      <alignment horizontal="right" vertical="top"/>
    </xf>
    <xf numFmtId="1" fontId="0" fillId="0" borderId="37" xfId="0" applyNumberFormat="1" applyFont="1" applyBorder="1" applyAlignment="1">
      <alignment horizontal="left" vertical="top"/>
    </xf>
    <xf numFmtId="0" fontId="0" fillId="0" borderId="36" xfId="0" applyNumberFormat="1" applyFont="1" applyBorder="1" applyAlignment="1">
      <alignment horizontal="left" vertical="top"/>
    </xf>
    <xf numFmtId="0" fontId="0" fillId="0" borderId="34" xfId="0" applyFont="1" applyBorder="1" applyAlignment="1">
      <alignment/>
    </xf>
    <xf numFmtId="1" fontId="0" fillId="0" borderId="52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 vertical="top"/>
    </xf>
    <xf numFmtId="0" fontId="0" fillId="0" borderId="22" xfId="0" applyFont="1" applyBorder="1" applyAlignment="1">
      <alignment/>
    </xf>
    <xf numFmtId="1" fontId="0" fillId="0" borderId="22" xfId="0" applyNumberFormat="1" applyFont="1" applyFill="1" applyBorder="1" applyAlignment="1">
      <alignment horizontal="left" vertical="top"/>
    </xf>
    <xf numFmtId="181" fontId="0" fillId="0" borderId="22" xfId="0" applyNumberFormat="1" applyFont="1" applyBorder="1" applyAlignment="1">
      <alignment horizontal="right" vertical="top"/>
    </xf>
    <xf numFmtId="1" fontId="0" fillId="0" borderId="39" xfId="0" applyNumberFormat="1" applyFont="1" applyBorder="1" applyAlignment="1">
      <alignment vertical="top"/>
    </xf>
    <xf numFmtId="1" fontId="0" fillId="0" borderId="33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vertical="top"/>
    </xf>
    <xf numFmtId="0" fontId="28" fillId="0" borderId="35" xfId="0" applyFont="1" applyFill="1" applyBorder="1" applyAlignment="1">
      <alignment horizontal="left" vertical="center"/>
    </xf>
    <xf numFmtId="0" fontId="59" fillId="0" borderId="35" xfId="0" applyFont="1" applyFill="1" applyBorder="1" applyAlignment="1">
      <alignment horizontal="center" vertical="top" wrapText="1"/>
    </xf>
    <xf numFmtId="0" fontId="5" fillId="0" borderId="35" xfId="0" applyNumberFormat="1" applyFont="1" applyFill="1" applyBorder="1" applyAlignment="1">
      <alignment horizontal="center" vertical="top" wrapText="1"/>
    </xf>
    <xf numFmtId="0" fontId="5" fillId="0" borderId="35" xfId="0" applyNumberFormat="1" applyFont="1" applyFill="1" applyBorder="1" applyAlignment="1">
      <alignment horizontal="center" vertical="center" wrapText="1"/>
    </xf>
    <xf numFmtId="4" fontId="3" fillId="5" borderId="35" xfId="0" applyNumberFormat="1" applyFont="1" applyFill="1" applyBorder="1" applyAlignment="1">
      <alignment horizontal="right" vertical="top"/>
    </xf>
    <xf numFmtId="9" fontId="0" fillId="5" borderId="35" xfId="0" applyNumberFormat="1" applyFont="1" applyFill="1" applyBorder="1" applyAlignment="1">
      <alignment horizontal="right" vertical="top"/>
    </xf>
    <xf numFmtId="175" fontId="0" fillId="0" borderId="35" xfId="0" applyNumberFormat="1" applyFont="1" applyBorder="1" applyAlignment="1">
      <alignment horizontal="right" vertical="top"/>
    </xf>
    <xf numFmtId="181" fontId="0" fillId="0" borderId="33" xfId="0" applyNumberFormat="1" applyFont="1" applyBorder="1" applyAlignment="1">
      <alignment horizontal="right" vertical="top"/>
    </xf>
    <xf numFmtId="181" fontId="14" fillId="0" borderId="28" xfId="0" applyNumberFormat="1" applyFont="1" applyFill="1" applyBorder="1" applyAlignment="1">
      <alignment vertical="top"/>
    </xf>
    <xf numFmtId="0" fontId="5" fillId="0" borderId="87" xfId="0" applyFont="1" applyFill="1" applyBorder="1" applyAlignment="1">
      <alignment vertical="top" wrapText="1"/>
    </xf>
    <xf numFmtId="0" fontId="5" fillId="0" borderId="55" xfId="0" applyFont="1" applyFill="1" applyBorder="1" applyAlignment="1">
      <alignment vertical="top" wrapText="1"/>
    </xf>
    <xf numFmtId="0" fontId="5" fillId="0" borderId="64" xfId="0" applyFont="1" applyFill="1" applyBorder="1" applyAlignment="1">
      <alignment vertical="top" wrapText="1"/>
    </xf>
    <xf numFmtId="0" fontId="0" fillId="0" borderId="33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35" fillId="0" borderId="84" xfId="0" applyNumberFormat="1" applyFont="1" applyBorder="1" applyAlignment="1">
      <alignment horizontal="left" vertical="top"/>
    </xf>
    <xf numFmtId="0" fontId="5" fillId="0" borderId="13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1" fontId="0" fillId="0" borderId="49" xfId="0" applyNumberFormat="1" applyFont="1" applyBorder="1" applyAlignment="1">
      <alignment horizontal="right" vertical="top"/>
    </xf>
    <xf numFmtId="0" fontId="0" fillId="0" borderId="44" xfId="0" applyFont="1" applyBorder="1" applyAlignment="1">
      <alignment horizontal="center" vertical="top"/>
    </xf>
    <xf numFmtId="0" fontId="0" fillId="0" borderId="61" xfId="0" applyNumberFormat="1" applyFont="1" applyBorder="1" applyAlignment="1">
      <alignment horizontal="left" vertical="top"/>
    </xf>
    <xf numFmtId="0" fontId="0" fillId="0" borderId="49" xfId="0" applyFont="1" applyBorder="1" applyAlignment="1">
      <alignment vertical="top"/>
    </xf>
    <xf numFmtId="0" fontId="0" fillId="0" borderId="14" xfId="0" applyNumberFormat="1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left" vertical="top" wrapText="1"/>
    </xf>
    <xf numFmtId="0" fontId="19" fillId="0" borderId="25" xfId="0" applyFont="1" applyFill="1" applyBorder="1" applyAlignment="1">
      <alignment horizontal="center" vertical="top" wrapText="1"/>
    </xf>
    <xf numFmtId="179" fontId="5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right" vertical="top" wrapText="1"/>
    </xf>
    <xf numFmtId="1" fontId="0" fillId="0" borderId="14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 wrapText="1"/>
    </xf>
    <xf numFmtId="0" fontId="0" fillId="0" borderId="44" xfId="0" applyNumberFormat="1" applyFont="1" applyBorder="1" applyAlignment="1">
      <alignment horizontal="right" vertical="top" wrapText="1"/>
    </xf>
    <xf numFmtId="0" fontId="0" fillId="5" borderId="55" xfId="0" applyFont="1" applyFill="1" applyBorder="1" applyAlignment="1">
      <alignment vertical="top" wrapText="1"/>
    </xf>
    <xf numFmtId="0" fontId="0" fillId="0" borderId="32" xfId="0" applyNumberFormat="1" applyFont="1" applyBorder="1" applyAlignment="1">
      <alignment vertical="top"/>
    </xf>
    <xf numFmtId="0" fontId="15" fillId="0" borderId="35" xfId="0" applyNumberFormat="1" applyFont="1" applyBorder="1" applyAlignment="1">
      <alignment horizontal="center" vertical="top" wrapText="1"/>
    </xf>
    <xf numFmtId="0" fontId="15" fillId="2" borderId="14" xfId="71" applyNumberFormat="1" applyFont="1" applyFill="1" applyBorder="1" applyAlignment="1">
      <alignment horizontal="center" vertical="top"/>
      <protection/>
    </xf>
    <xf numFmtId="0" fontId="0" fillId="2" borderId="23" xfId="0" applyFont="1" applyFill="1" applyBorder="1" applyAlignment="1">
      <alignment vertical="top"/>
    </xf>
    <xf numFmtId="0" fontId="0" fillId="2" borderId="32" xfId="0" applyFont="1" applyFill="1" applyBorder="1" applyAlignment="1">
      <alignment horizontal="center" vertical="top"/>
    </xf>
    <xf numFmtId="0" fontId="0" fillId="2" borderId="57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0" fillId="2" borderId="10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right" vertical="top"/>
    </xf>
    <xf numFmtId="0" fontId="0" fillId="2" borderId="32" xfId="0" applyNumberFormat="1" applyFont="1" applyFill="1" applyBorder="1" applyAlignment="1">
      <alignment horizontal="left" vertical="top" wrapText="1"/>
    </xf>
    <xf numFmtId="0" fontId="0" fillId="2" borderId="32" xfId="0" applyFont="1" applyFill="1" applyBorder="1" applyAlignment="1">
      <alignment vertical="top"/>
    </xf>
    <xf numFmtId="0" fontId="0" fillId="0" borderId="63" xfId="0" applyFont="1" applyBorder="1" applyAlignment="1">
      <alignment vertical="top"/>
    </xf>
    <xf numFmtId="0" fontId="0" fillId="0" borderId="55" xfId="0" applyFont="1" applyBorder="1" applyAlignment="1">
      <alignment horizontal="right" vertical="top"/>
    </xf>
    <xf numFmtId="0" fontId="0" fillId="0" borderId="58" xfId="0" applyFont="1" applyBorder="1" applyAlignment="1">
      <alignment vertical="top"/>
    </xf>
    <xf numFmtId="178" fontId="0" fillId="0" borderId="64" xfId="0" applyNumberFormat="1" applyFont="1" applyBorder="1" applyAlignment="1">
      <alignment horizontal="right" vertical="top"/>
    </xf>
    <xf numFmtId="0" fontId="30" fillId="0" borderId="14" xfId="42" applyFont="1" applyBorder="1" applyAlignment="1" applyProtection="1">
      <alignment vertical="top" wrapText="1"/>
      <protection/>
    </xf>
    <xf numFmtId="0" fontId="18" fillId="0" borderId="14" xfId="0" applyFont="1" applyBorder="1" applyAlignment="1">
      <alignment horizontal="center" vertical="top"/>
    </xf>
    <xf numFmtId="0" fontId="28" fillId="6" borderId="17" xfId="0" applyFont="1" applyFill="1" applyBorder="1" applyAlignment="1">
      <alignment horizontal="left" vertical="top" wrapText="1"/>
    </xf>
    <xf numFmtId="0" fontId="3" fillId="6" borderId="17" xfId="0" applyFont="1" applyFill="1" applyBorder="1" applyAlignment="1">
      <alignment horizontal="center" vertical="top"/>
    </xf>
    <xf numFmtId="0" fontId="3" fillId="6" borderId="17" xfId="0" applyFont="1" applyFill="1" applyBorder="1" applyAlignment="1">
      <alignment horizontal="left" vertical="top"/>
    </xf>
    <xf numFmtId="0" fontId="12" fillId="6" borderId="72" xfId="0" applyFont="1" applyFill="1" applyBorder="1" applyAlignment="1">
      <alignment vertical="top"/>
    </xf>
    <xf numFmtId="0" fontId="3" fillId="6" borderId="17" xfId="0" applyFont="1" applyFill="1" applyBorder="1" applyAlignment="1">
      <alignment vertical="top" wrapText="1"/>
    </xf>
    <xf numFmtId="4" fontId="3" fillId="6" borderId="17" xfId="0" applyNumberFormat="1" applyFont="1" applyFill="1" applyBorder="1" applyAlignment="1">
      <alignment horizontal="right" vertical="top"/>
    </xf>
    <xf numFmtId="1" fontId="12" fillId="6" borderId="17" xfId="0" applyNumberFormat="1" applyFont="1" applyFill="1" applyBorder="1" applyAlignment="1">
      <alignment horizontal="right" vertical="top"/>
    </xf>
    <xf numFmtId="1" fontId="14" fillId="6" borderId="17" xfId="0" applyNumberFormat="1" applyFont="1" applyFill="1" applyBorder="1" applyAlignment="1">
      <alignment horizontal="right" vertical="top"/>
    </xf>
    <xf numFmtId="0" fontId="12" fillId="6" borderId="17" xfId="0" applyFont="1" applyFill="1" applyBorder="1" applyAlignment="1">
      <alignment horizontal="right" vertical="top"/>
    </xf>
    <xf numFmtId="0" fontId="12" fillId="6" borderId="51" xfId="0" applyFont="1" applyFill="1" applyBorder="1" applyAlignment="1">
      <alignment horizontal="right" vertical="top"/>
    </xf>
    <xf numFmtId="1" fontId="12" fillId="6" borderId="51" xfId="0" applyNumberFormat="1" applyFont="1" applyFill="1" applyBorder="1" applyAlignment="1">
      <alignment horizontal="right" vertical="top"/>
    </xf>
    <xf numFmtId="0" fontId="0" fillId="0" borderId="88" xfId="0" applyFont="1" applyBorder="1" applyAlignment="1">
      <alignment vertical="top"/>
    </xf>
    <xf numFmtId="0" fontId="0" fillId="0" borderId="34" xfId="0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center"/>
    </xf>
    <xf numFmtId="175" fontId="0" fillId="0" borderId="14" xfId="0" applyNumberFormat="1" applyFont="1" applyBorder="1" applyAlignment="1">
      <alignment horizontal="right" vertical="top"/>
    </xf>
    <xf numFmtId="0" fontId="0" fillId="0" borderId="45" xfId="0" applyNumberFormat="1" applyFont="1" applyBorder="1" applyAlignment="1">
      <alignment vertical="top"/>
    </xf>
    <xf numFmtId="0" fontId="0" fillId="5" borderId="65" xfId="0" applyFont="1" applyFill="1" applyBorder="1" applyAlignment="1">
      <alignment vertical="top" wrapText="1"/>
    </xf>
    <xf numFmtId="0" fontId="0" fillId="5" borderId="11" xfId="0" applyNumberFormat="1" applyFont="1" applyFill="1" applyBorder="1" applyAlignment="1">
      <alignment vertical="top" wrapText="1"/>
    </xf>
    <xf numFmtId="0" fontId="31" fillId="5" borderId="11" xfId="42" applyNumberFormat="1" applyFont="1" applyFill="1" applyBorder="1" applyAlignment="1" applyProtection="1">
      <alignment horizontal="left" vertical="top"/>
      <protection/>
    </xf>
    <xf numFmtId="0" fontId="58" fillId="0" borderId="11" xfId="0" applyFont="1" applyFill="1" applyBorder="1" applyAlignment="1">
      <alignment horizontal="center" vertical="top"/>
    </xf>
    <xf numFmtId="9" fontId="0" fillId="5" borderId="11" xfId="0" applyNumberFormat="1" applyFont="1" applyFill="1" applyBorder="1" applyAlignment="1">
      <alignment horizontal="right" vertical="top"/>
    </xf>
    <xf numFmtId="0" fontId="0" fillId="5" borderId="11" xfId="0" applyNumberFormat="1" applyFont="1" applyFill="1" applyBorder="1" applyAlignment="1">
      <alignment horizontal="right" vertical="top"/>
    </xf>
    <xf numFmtId="0" fontId="0" fillId="5" borderId="45" xfId="0" applyNumberFormat="1" applyFont="1" applyFill="1" applyBorder="1" applyAlignment="1">
      <alignment horizontal="left" vertical="top"/>
    </xf>
    <xf numFmtId="1" fontId="0" fillId="5" borderId="37" xfId="0" applyNumberFormat="1" applyFont="1" applyFill="1" applyBorder="1" applyAlignment="1">
      <alignment horizontal="left" vertical="top"/>
    </xf>
    <xf numFmtId="0" fontId="5" fillId="5" borderId="35" xfId="0" applyFont="1" applyFill="1" applyBorder="1" applyAlignment="1">
      <alignment horizontal="center" vertical="top"/>
    </xf>
    <xf numFmtId="0" fontId="0" fillId="5" borderId="82" xfId="0" applyFont="1" applyFill="1" applyBorder="1" applyAlignment="1">
      <alignment vertical="top"/>
    </xf>
    <xf numFmtId="1" fontId="0" fillId="5" borderId="56" xfId="0" applyNumberFormat="1" applyFont="1" applyFill="1" applyBorder="1" applyAlignment="1">
      <alignment horizontal="right" vertical="top"/>
    </xf>
    <xf numFmtId="0" fontId="0" fillId="5" borderId="83" xfId="0" applyFont="1" applyFill="1" applyBorder="1" applyAlignment="1">
      <alignment vertical="top"/>
    </xf>
    <xf numFmtId="0" fontId="0" fillId="5" borderId="58" xfId="0" applyNumberFormat="1" applyFont="1" applyFill="1" applyBorder="1" applyAlignment="1">
      <alignment horizontal="right" vertical="top"/>
    </xf>
    <xf numFmtId="0" fontId="0" fillId="5" borderId="84" xfId="0" applyFont="1" applyFill="1" applyBorder="1" applyAlignment="1">
      <alignment vertical="top"/>
    </xf>
    <xf numFmtId="1" fontId="0" fillId="5" borderId="62" xfId="0" applyNumberFormat="1" applyFont="1" applyFill="1" applyBorder="1" applyAlignment="1">
      <alignment horizontal="right" vertical="top"/>
    </xf>
    <xf numFmtId="0" fontId="0" fillId="0" borderId="44" xfId="0" applyNumberFormat="1" applyFont="1" applyFill="1" applyBorder="1" applyAlignment="1">
      <alignment horizontal="left" vertical="top"/>
    </xf>
    <xf numFmtId="0" fontId="0" fillId="0" borderId="48" xfId="80" applyFont="1" applyBorder="1" applyAlignment="1">
      <alignment horizontal="right" vertical="top"/>
      <protection/>
    </xf>
    <xf numFmtId="0" fontId="0" fillId="0" borderId="45" xfId="80" applyFont="1" applyBorder="1" applyAlignment="1">
      <alignment horizontal="center" vertical="top"/>
      <protection/>
    </xf>
    <xf numFmtId="0" fontId="0" fillId="0" borderId="65" xfId="80" applyFont="1" applyBorder="1" applyAlignment="1">
      <alignment vertical="top"/>
      <protection/>
    </xf>
    <xf numFmtId="0" fontId="0" fillId="0" borderId="11" xfId="80" applyFont="1" applyBorder="1" applyAlignment="1">
      <alignment vertical="top"/>
      <protection/>
    </xf>
    <xf numFmtId="0" fontId="0" fillId="0" borderId="11" xfId="80" applyFont="1" applyBorder="1" applyAlignment="1">
      <alignment vertical="top" wrapText="1"/>
      <protection/>
    </xf>
    <xf numFmtId="0" fontId="0" fillId="0" borderId="11" xfId="80" applyFont="1" applyBorder="1" applyAlignment="1">
      <alignment horizontal="left" vertical="top"/>
      <protection/>
    </xf>
    <xf numFmtId="0" fontId="5" fillId="0" borderId="11" xfId="80" applyFont="1" applyBorder="1" applyAlignment="1">
      <alignment horizontal="center" vertical="top" wrapText="1"/>
      <protection/>
    </xf>
    <xf numFmtId="1" fontId="0" fillId="0" borderId="11" xfId="80" applyNumberFormat="1" applyFont="1" applyBorder="1" applyAlignment="1">
      <alignment horizontal="right" vertical="top"/>
      <protection/>
    </xf>
    <xf numFmtId="0" fontId="0" fillId="0" borderId="11" xfId="80" applyFont="1" applyBorder="1" applyAlignment="1">
      <alignment horizontal="right" vertical="top"/>
      <protection/>
    </xf>
    <xf numFmtId="0" fontId="0" fillId="0" borderId="45" xfId="80" applyFont="1" applyBorder="1" applyAlignment="1">
      <alignment horizontal="left" vertical="top" wrapText="1"/>
      <protection/>
    </xf>
    <xf numFmtId="1" fontId="0" fillId="0" borderId="41" xfId="0" applyNumberFormat="1" applyFont="1" applyBorder="1" applyAlignment="1">
      <alignment horizontal="center" vertical="top"/>
    </xf>
    <xf numFmtId="1" fontId="0" fillId="0" borderId="38" xfId="0" applyNumberFormat="1" applyFont="1" applyBorder="1" applyAlignment="1">
      <alignment horizontal="center" vertical="top"/>
    </xf>
    <xf numFmtId="181" fontId="0" fillId="0" borderId="60" xfId="80" applyNumberFormat="1" applyFont="1" applyBorder="1" applyAlignment="1">
      <alignment horizontal="right" vertical="top"/>
      <protection/>
    </xf>
    <xf numFmtId="181" fontId="0" fillId="0" borderId="66" xfId="80" applyNumberFormat="1" applyFont="1" applyBorder="1" applyAlignment="1">
      <alignment horizontal="right" vertical="top"/>
      <protection/>
    </xf>
    <xf numFmtId="0" fontId="19" fillId="0" borderId="17" xfId="0" applyFont="1" applyFill="1" applyBorder="1" applyAlignment="1">
      <alignment horizontal="center" vertical="top" wrapText="1"/>
    </xf>
    <xf numFmtId="9" fontId="0" fillId="5" borderId="17" xfId="0" applyNumberFormat="1" applyFont="1" applyFill="1" applyBorder="1" applyAlignment="1">
      <alignment horizontal="right" vertical="top"/>
    </xf>
    <xf numFmtId="1" fontId="0" fillId="5" borderId="40" xfId="0" applyNumberFormat="1" applyFont="1" applyFill="1" applyBorder="1" applyAlignment="1">
      <alignment vertical="top"/>
    </xf>
    <xf numFmtId="1" fontId="0" fillId="5" borderId="46" xfId="0" applyNumberFormat="1" applyFont="1" applyFill="1" applyBorder="1" applyAlignment="1">
      <alignment horizontal="center" vertical="top"/>
    </xf>
    <xf numFmtId="0" fontId="0" fillId="5" borderId="19" xfId="0" applyNumberFormat="1" applyFont="1" applyFill="1" applyBorder="1" applyAlignment="1">
      <alignment vertical="top"/>
    </xf>
    <xf numFmtId="0" fontId="0" fillId="5" borderId="40" xfId="0" applyFont="1" applyFill="1" applyBorder="1" applyAlignment="1">
      <alignment vertical="top"/>
    </xf>
    <xf numFmtId="0" fontId="0" fillId="5" borderId="17" xfId="0" applyNumberFormat="1" applyFont="1" applyFill="1" applyBorder="1" applyAlignment="1">
      <alignment vertical="top" wrapText="1"/>
    </xf>
    <xf numFmtId="0" fontId="31" fillId="5" borderId="17" xfId="42" applyNumberFormat="1" applyFont="1" applyFill="1" applyBorder="1" applyAlignment="1" applyProtection="1">
      <alignment horizontal="left" vertical="top"/>
      <protection/>
    </xf>
    <xf numFmtId="0" fontId="15" fillId="0" borderId="17" xfId="0" applyNumberFormat="1" applyFont="1" applyFill="1" applyBorder="1" applyAlignment="1">
      <alignment horizontal="center" vertical="top" wrapText="1"/>
    </xf>
    <xf numFmtId="0" fontId="5" fillId="5" borderId="17" xfId="0" applyFont="1" applyFill="1" applyBorder="1" applyAlignment="1">
      <alignment horizontal="center" vertical="top"/>
    </xf>
    <xf numFmtId="0" fontId="0" fillId="5" borderId="17" xfId="0" applyFont="1" applyFill="1" applyBorder="1" applyAlignment="1">
      <alignment horizontal="left" vertical="top"/>
    </xf>
    <xf numFmtId="4" fontId="3" fillId="5" borderId="17" xfId="0" applyNumberFormat="1" applyFont="1" applyFill="1" applyBorder="1" applyAlignment="1">
      <alignment horizontal="right" vertical="top"/>
    </xf>
    <xf numFmtId="1" fontId="0" fillId="5" borderId="17" xfId="0" applyNumberFormat="1" applyFont="1" applyFill="1" applyBorder="1" applyAlignment="1">
      <alignment horizontal="right" vertical="top"/>
    </xf>
    <xf numFmtId="0" fontId="0" fillId="5" borderId="17" xfId="0" applyNumberFormat="1" applyFont="1" applyFill="1" applyBorder="1" applyAlignment="1">
      <alignment horizontal="right" vertical="top"/>
    </xf>
    <xf numFmtId="175" fontId="0" fillId="5" borderId="17" xfId="0" applyNumberFormat="1" applyFont="1" applyFill="1" applyBorder="1" applyAlignment="1">
      <alignment horizontal="right" vertical="top"/>
    </xf>
    <xf numFmtId="0" fontId="0" fillId="5" borderId="46" xfId="0" applyNumberFormat="1" applyFont="1" applyFill="1" applyBorder="1" applyAlignment="1">
      <alignment horizontal="left" vertical="top"/>
    </xf>
    <xf numFmtId="181" fontId="0" fillId="5" borderId="72" xfId="0" applyNumberFormat="1" applyFont="1" applyFill="1" applyBorder="1" applyAlignment="1">
      <alignment horizontal="right" vertical="top"/>
    </xf>
    <xf numFmtId="181" fontId="14" fillId="0" borderId="86" xfId="0" applyNumberFormat="1" applyFont="1" applyFill="1" applyBorder="1" applyAlignment="1">
      <alignment vertical="top"/>
    </xf>
    <xf numFmtId="0" fontId="7" fillId="0" borderId="10" xfId="81" applyBorder="1" applyAlignment="1">
      <alignment horizontal="left" vertical="top" wrapText="1"/>
      <protection/>
    </xf>
    <xf numFmtId="0" fontId="7" fillId="0" borderId="12" xfId="81" applyBorder="1" applyAlignment="1">
      <alignment horizontal="left" vertical="top" wrapText="1"/>
      <protection/>
    </xf>
    <xf numFmtId="0" fontId="0" fillId="0" borderId="54" xfId="0" applyNumberFormat="1" applyFont="1" applyBorder="1" applyAlignment="1">
      <alignment vertical="top" wrapText="1"/>
    </xf>
    <xf numFmtId="0" fontId="0" fillId="0" borderId="64" xfId="0" applyNumberFormat="1" applyFont="1" applyBorder="1" applyAlignment="1">
      <alignment vertical="top" wrapText="1"/>
    </xf>
    <xf numFmtId="0" fontId="0" fillId="0" borderId="36" xfId="0" applyFont="1" applyBorder="1" applyAlignment="1">
      <alignment vertical="top"/>
    </xf>
    <xf numFmtId="181" fontId="14" fillId="2" borderId="46" xfId="0" applyNumberFormat="1" applyFont="1" applyFill="1" applyBorder="1" applyAlignment="1">
      <alignment vertical="top"/>
    </xf>
    <xf numFmtId="0" fontId="15" fillId="2" borderId="17" xfId="71" applyNumberFormat="1" applyFont="1" applyFill="1" applyBorder="1" applyAlignment="1">
      <alignment horizontal="center" vertical="top"/>
      <protection/>
    </xf>
    <xf numFmtId="0" fontId="7" fillId="2" borderId="10" xfId="81" applyFill="1" applyBorder="1" applyAlignment="1">
      <alignment horizontal="left" vertical="top" wrapText="1"/>
      <protection/>
    </xf>
    <xf numFmtId="179" fontId="5" fillId="2" borderId="10" xfId="0" applyNumberFormat="1" applyFont="1" applyFill="1" applyBorder="1" applyAlignment="1">
      <alignment horizontal="center" vertical="top" wrapText="1"/>
    </xf>
    <xf numFmtId="1" fontId="5" fillId="2" borderId="40" xfId="0" applyNumberFormat="1" applyFont="1" applyFill="1" applyBorder="1" applyAlignment="1">
      <alignment vertical="top"/>
    </xf>
    <xf numFmtId="1" fontId="0" fillId="2" borderId="46" xfId="0" applyNumberFormat="1" applyFont="1" applyFill="1" applyBorder="1" applyAlignment="1">
      <alignment horizontal="center" vertical="top"/>
    </xf>
    <xf numFmtId="0" fontId="0" fillId="2" borderId="19" xfId="0" applyNumberFormat="1" applyFont="1" applyFill="1" applyBorder="1" applyAlignment="1">
      <alignment vertical="top"/>
    </xf>
    <xf numFmtId="0" fontId="7" fillId="2" borderId="17" xfId="81" applyFill="1" applyBorder="1" applyAlignment="1">
      <alignment horizontal="left" vertical="top" wrapText="1"/>
      <protection/>
    </xf>
    <xf numFmtId="179" fontId="5" fillId="2" borderId="17" xfId="0" applyNumberFormat="1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left" vertical="top"/>
    </xf>
    <xf numFmtId="4" fontId="3" fillId="2" borderId="17" xfId="0" applyNumberFormat="1" applyFont="1" applyFill="1" applyBorder="1" applyAlignment="1">
      <alignment horizontal="right" vertical="top"/>
    </xf>
    <xf numFmtId="1" fontId="0" fillId="2" borderId="17" xfId="0" applyNumberFormat="1" applyFont="1" applyFill="1" applyBorder="1" applyAlignment="1">
      <alignment horizontal="right" vertical="top"/>
    </xf>
    <xf numFmtId="9" fontId="0" fillId="2" borderId="17" xfId="0" applyNumberFormat="1" applyFont="1" applyFill="1" applyBorder="1" applyAlignment="1">
      <alignment horizontal="right" vertical="top"/>
    </xf>
    <xf numFmtId="0" fontId="0" fillId="2" borderId="17" xfId="0" applyNumberFormat="1" applyFont="1" applyFill="1" applyBorder="1" applyAlignment="1">
      <alignment horizontal="right" vertical="top"/>
    </xf>
    <xf numFmtId="0" fontId="0" fillId="2" borderId="46" xfId="0" applyNumberFormat="1" applyFont="1" applyFill="1" applyBorder="1" applyAlignment="1">
      <alignment horizontal="left" vertical="top" wrapText="1"/>
    </xf>
    <xf numFmtId="181" fontId="14" fillId="2" borderId="19" xfId="0" applyNumberFormat="1" applyFont="1" applyFill="1" applyBorder="1" applyAlignment="1">
      <alignment horizontal="right" vertical="top"/>
    </xf>
    <xf numFmtId="1" fontId="0" fillId="2" borderId="16" xfId="0" applyNumberFormat="1" applyFont="1" applyFill="1" applyBorder="1" applyAlignment="1">
      <alignment horizontal="right" vertical="top"/>
    </xf>
    <xf numFmtId="1" fontId="5" fillId="2" borderId="16" xfId="0" applyNumberFormat="1" applyFont="1" applyFill="1" applyBorder="1" applyAlignment="1">
      <alignment vertical="top"/>
    </xf>
    <xf numFmtId="0" fontId="0" fillId="2" borderId="60" xfId="0" applyNumberFormat="1" applyFont="1" applyFill="1" applyBorder="1" applyAlignment="1">
      <alignment vertical="top"/>
    </xf>
    <xf numFmtId="0" fontId="0" fillId="2" borderId="57" xfId="0" applyNumberFormat="1" applyFont="1" applyFill="1" applyBorder="1" applyAlignment="1">
      <alignment horizontal="left" vertical="top"/>
    </xf>
    <xf numFmtId="0" fontId="0" fillId="2" borderId="57" xfId="0" applyNumberFormat="1" applyFont="1" applyFill="1" applyBorder="1" applyAlignment="1">
      <alignment vertical="top"/>
    </xf>
    <xf numFmtId="0" fontId="5" fillId="2" borderId="17" xfId="0" applyNumberFormat="1" applyFont="1" applyFill="1" applyBorder="1" applyAlignment="1">
      <alignment vertical="top" wrapText="1"/>
    </xf>
    <xf numFmtId="1" fontId="0" fillId="0" borderId="32" xfId="0" applyNumberFormat="1" applyFont="1" applyFill="1" applyBorder="1" applyAlignment="1">
      <alignment horizontal="center" vertical="top"/>
    </xf>
    <xf numFmtId="0" fontId="0" fillId="0" borderId="57" xfId="0" applyNumberFormat="1" applyFont="1" applyFill="1" applyBorder="1" applyAlignment="1">
      <alignment horizontal="left" vertical="top"/>
    </xf>
    <xf numFmtId="0" fontId="0" fillId="0" borderId="10" xfId="82" applyFont="1" applyFill="1" applyBorder="1" applyAlignment="1">
      <alignment horizontal="left" vertical="top"/>
      <protection/>
    </xf>
    <xf numFmtId="0" fontId="5" fillId="0" borderId="10" xfId="82" applyFont="1" applyFill="1" applyBorder="1" applyAlignment="1">
      <alignment horizontal="center" vertical="top" wrapText="1"/>
      <protection/>
    </xf>
    <xf numFmtId="0" fontId="0" fillId="0" borderId="10" xfId="82" applyFont="1" applyFill="1" applyBorder="1" applyAlignment="1">
      <alignment horizontal="right" vertical="top"/>
      <protection/>
    </xf>
    <xf numFmtId="0" fontId="0" fillId="0" borderId="32" xfId="82" applyFont="1" applyFill="1" applyBorder="1" applyAlignment="1">
      <alignment horizontal="left" vertical="top" wrapText="1"/>
      <protection/>
    </xf>
    <xf numFmtId="1" fontId="0" fillId="0" borderId="49" xfId="0" applyNumberFormat="1" applyFont="1" applyBorder="1" applyAlignment="1">
      <alignment horizontal="left" vertical="top"/>
    </xf>
    <xf numFmtId="1" fontId="0" fillId="0" borderId="4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vertical="top" wrapText="1"/>
    </xf>
    <xf numFmtId="0" fontId="15" fillId="0" borderId="14" xfId="71" applyNumberFormat="1" applyFont="1" applyFill="1" applyBorder="1" applyAlignment="1">
      <alignment horizontal="center" vertical="top"/>
      <protection/>
    </xf>
    <xf numFmtId="0" fontId="5" fillId="0" borderId="14" xfId="82" applyFont="1" applyBorder="1" applyAlignment="1">
      <alignment horizontal="center" vertical="top" wrapText="1"/>
      <protection/>
    </xf>
    <xf numFmtId="0" fontId="0" fillId="0" borderId="14" xfId="0" applyNumberFormat="1" applyFont="1" applyBorder="1" applyAlignment="1">
      <alignment horizontal="right" vertical="top"/>
    </xf>
    <xf numFmtId="1" fontId="0" fillId="0" borderId="41" xfId="0" applyNumberFormat="1" applyFont="1" applyFill="1" applyBorder="1" applyAlignment="1">
      <alignment horizontal="right" vertical="top"/>
    </xf>
    <xf numFmtId="1" fontId="0" fillId="0" borderId="36" xfId="0" applyNumberFormat="1" applyFont="1" applyFill="1" applyBorder="1" applyAlignment="1">
      <alignment horizontal="center" vertical="top"/>
    </xf>
    <xf numFmtId="0" fontId="0" fillId="0" borderId="60" xfId="0" applyNumberFormat="1" applyFont="1" applyFill="1" applyBorder="1" applyAlignment="1">
      <alignment horizontal="left" vertical="top"/>
    </xf>
    <xf numFmtId="0" fontId="0" fillId="0" borderId="13" xfId="82" applyFont="1" applyFill="1" applyBorder="1" applyAlignment="1">
      <alignment horizontal="left" vertical="top"/>
      <protection/>
    </xf>
    <xf numFmtId="0" fontId="5" fillId="0" borderId="13" xfId="82" applyFont="1" applyFill="1" applyBorder="1" applyAlignment="1">
      <alignment horizontal="center" vertical="top" wrapText="1"/>
      <protection/>
    </xf>
    <xf numFmtId="0" fontId="0" fillId="0" borderId="13" xfId="82" applyFont="1" applyFill="1" applyBorder="1" applyAlignment="1">
      <alignment horizontal="right" vertical="top"/>
      <protection/>
    </xf>
    <xf numFmtId="0" fontId="0" fillId="0" borderId="36" xfId="82" applyFont="1" applyFill="1" applyBorder="1" applyAlignment="1">
      <alignment horizontal="left" vertical="top" wrapText="1"/>
      <protection/>
    </xf>
    <xf numFmtId="1" fontId="0" fillId="0" borderId="23" xfId="0" applyNumberFormat="1" applyFont="1" applyFill="1" applyBorder="1" applyAlignment="1">
      <alignment horizontal="right" vertical="top"/>
    </xf>
    <xf numFmtId="1" fontId="0" fillId="0" borderId="38" xfId="0" applyNumberFormat="1" applyFont="1" applyFill="1" applyBorder="1" applyAlignment="1">
      <alignment horizontal="right" vertical="top"/>
    </xf>
    <xf numFmtId="1" fontId="0" fillId="0" borderId="37" xfId="0" applyNumberFormat="1" applyFont="1" applyFill="1" applyBorder="1" applyAlignment="1">
      <alignment horizontal="center" vertical="top"/>
    </xf>
    <xf numFmtId="0" fontId="0" fillId="0" borderId="66" xfId="0" applyNumberFormat="1" applyFont="1" applyFill="1" applyBorder="1" applyAlignment="1">
      <alignment horizontal="left" vertical="top"/>
    </xf>
    <xf numFmtId="0" fontId="0" fillId="0" borderId="12" xfId="82" applyFont="1" applyFill="1" applyBorder="1" applyAlignment="1">
      <alignment horizontal="left" vertical="top"/>
      <protection/>
    </xf>
    <xf numFmtId="0" fontId="5" fillId="0" borderId="12" xfId="82" applyFont="1" applyFill="1" applyBorder="1" applyAlignment="1">
      <alignment horizontal="center" vertical="top" wrapText="1"/>
      <protection/>
    </xf>
    <xf numFmtId="0" fontId="0" fillId="0" borderId="12" xfId="82" applyFont="1" applyFill="1" applyBorder="1" applyAlignment="1">
      <alignment horizontal="right" vertical="top"/>
      <protection/>
    </xf>
    <xf numFmtId="0" fontId="0" fillId="0" borderId="37" xfId="82" applyFont="1" applyFill="1" applyBorder="1" applyAlignment="1">
      <alignment horizontal="left" vertical="top" wrapText="1"/>
      <protection/>
    </xf>
    <xf numFmtId="0" fontId="0" fillId="0" borderId="14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 horizontal="right" vertical="top" wrapText="1"/>
    </xf>
    <xf numFmtId="181" fontId="14" fillId="0" borderId="56" xfId="0" applyNumberFormat="1" applyFont="1" applyFill="1" applyBorder="1" applyAlignment="1">
      <alignment vertical="top"/>
    </xf>
    <xf numFmtId="178" fontId="0" fillId="0" borderId="62" xfId="0" applyNumberFormat="1" applyFont="1" applyBorder="1" applyAlignment="1">
      <alignment vertical="top"/>
    </xf>
    <xf numFmtId="181" fontId="14" fillId="0" borderId="54" xfId="0" applyNumberFormat="1" applyFont="1" applyFill="1" applyBorder="1" applyAlignment="1">
      <alignment horizontal="right" vertical="top"/>
    </xf>
    <xf numFmtId="0" fontId="0" fillId="0" borderId="89" xfId="0" applyBorder="1" applyAlignment="1">
      <alignment horizontal="right" vertical="top"/>
    </xf>
    <xf numFmtId="1" fontId="35" fillId="0" borderId="62" xfId="0" applyNumberFormat="1" applyFont="1" applyBorder="1" applyAlignment="1">
      <alignment horizontal="right" vertical="top"/>
    </xf>
    <xf numFmtId="0" fontId="0" fillId="0" borderId="49" xfId="0" applyFont="1" applyFill="1" applyBorder="1" applyAlignment="1">
      <alignment horizontal="center" vertical="top"/>
    </xf>
    <xf numFmtId="0" fontId="0" fillId="5" borderId="43" xfId="0" applyNumberFormat="1" applyFont="1" applyFill="1" applyBorder="1" applyAlignment="1">
      <alignment vertical="top"/>
    </xf>
    <xf numFmtId="49" fontId="0" fillId="0" borderId="14" xfId="0" applyNumberFormat="1" applyFont="1" applyFill="1" applyBorder="1" applyAlignment="1">
      <alignment vertical="top"/>
    </xf>
    <xf numFmtId="49" fontId="0" fillId="0" borderId="15" xfId="0" applyNumberFormat="1" applyFont="1" applyFill="1" applyBorder="1" applyAlignment="1">
      <alignment horizontal="right" vertical="top"/>
    </xf>
    <xf numFmtId="179" fontId="0" fillId="0" borderId="11" xfId="0" applyNumberFormat="1" applyFont="1" applyBorder="1" applyAlignment="1">
      <alignment horizontal="left" vertical="top" wrapText="1"/>
    </xf>
    <xf numFmtId="0" fontId="0" fillId="0" borderId="36" xfId="0" applyNumberFormat="1" applyFont="1" applyBorder="1" applyAlignment="1">
      <alignment vertical="top"/>
    </xf>
    <xf numFmtId="0" fontId="0" fillId="0" borderId="37" xfId="0" applyNumberFormat="1" applyFont="1" applyBorder="1" applyAlignment="1">
      <alignment vertical="top"/>
    </xf>
    <xf numFmtId="1" fontId="0" fillId="2" borderId="23" xfId="0" applyNumberFormat="1" applyFont="1" applyFill="1" applyBorder="1" applyAlignment="1">
      <alignment horizontal="right" vertical="top"/>
    </xf>
    <xf numFmtId="0" fontId="0" fillId="2" borderId="32" xfId="0" applyNumberFormat="1" applyFont="1" applyFill="1" applyBorder="1" applyAlignment="1">
      <alignment vertical="top"/>
    </xf>
    <xf numFmtId="0" fontId="0" fillId="2" borderId="10" xfId="0" applyNumberFormat="1" applyFont="1" applyFill="1" applyBorder="1" applyAlignment="1">
      <alignment horizontal="left" vertical="top"/>
    </xf>
    <xf numFmtId="181" fontId="14" fillId="2" borderId="32" xfId="0" applyNumberFormat="1" applyFont="1" applyFill="1" applyBorder="1" applyAlignment="1">
      <alignment horizontal="right" vertical="top"/>
    </xf>
    <xf numFmtId="181" fontId="14" fillId="2" borderId="59" xfId="0" applyNumberFormat="1" applyFont="1" applyFill="1" applyBorder="1" applyAlignment="1">
      <alignment vertical="top"/>
    </xf>
    <xf numFmtId="1" fontId="0" fillId="2" borderId="41" xfId="0" applyNumberFormat="1" applyFont="1" applyFill="1" applyBorder="1" applyAlignment="1">
      <alignment vertical="top" wrapText="1"/>
    </xf>
    <xf numFmtId="0" fontId="0" fillId="2" borderId="23" xfId="0" applyFont="1" applyFill="1" applyBorder="1" applyAlignment="1">
      <alignment horizontal="left" vertical="top"/>
    </xf>
    <xf numFmtId="0" fontId="0" fillId="2" borderId="40" xfId="0" applyFont="1" applyFill="1" applyBorder="1" applyAlignment="1">
      <alignment vertical="top"/>
    </xf>
    <xf numFmtId="0" fontId="0" fillId="2" borderId="82" xfId="0" applyNumberFormat="1" applyFont="1" applyFill="1" applyBorder="1" applyAlignment="1">
      <alignment vertical="top" wrapText="1"/>
    </xf>
    <xf numFmtId="1" fontId="0" fillId="2" borderId="56" xfId="0" applyNumberFormat="1" applyFont="1" applyFill="1" applyBorder="1" applyAlignment="1">
      <alignment horizontal="right" vertical="top"/>
    </xf>
    <xf numFmtId="0" fontId="0" fillId="2" borderId="83" xfId="0" applyFont="1" applyFill="1" applyBorder="1" applyAlignment="1">
      <alignment vertical="top"/>
    </xf>
    <xf numFmtId="1" fontId="0" fillId="2" borderId="58" xfId="0" applyNumberFormat="1" applyFont="1" applyFill="1" applyBorder="1" applyAlignment="1">
      <alignment horizontal="right" vertical="top"/>
    </xf>
    <xf numFmtId="0" fontId="0" fillId="2" borderId="83" xfId="0" applyNumberFormat="1" applyFont="1" applyFill="1" applyBorder="1" applyAlignment="1">
      <alignment vertical="top" wrapText="1"/>
    </xf>
    <xf numFmtId="0" fontId="0" fillId="2" borderId="90" xfId="0" applyNumberFormat="1" applyFont="1" applyFill="1" applyBorder="1" applyAlignment="1">
      <alignment vertical="top" wrapText="1"/>
    </xf>
    <xf numFmtId="1" fontId="0" fillId="2" borderId="86" xfId="0" applyNumberFormat="1" applyFont="1" applyFill="1" applyBorder="1" applyAlignment="1">
      <alignment horizontal="right" vertical="top"/>
    </xf>
    <xf numFmtId="0" fontId="0" fillId="0" borderId="81" xfId="0" applyNumberFormat="1" applyFont="1" applyBorder="1" applyAlignment="1">
      <alignment horizontal="left" vertical="top"/>
    </xf>
    <xf numFmtId="1" fontId="0" fillId="0" borderId="81" xfId="0" applyNumberFormat="1" applyFont="1" applyBorder="1" applyAlignment="1">
      <alignment horizontal="right" vertical="top"/>
    </xf>
    <xf numFmtId="0" fontId="0" fillId="0" borderId="81" xfId="0" applyNumberFormat="1" applyFont="1" applyBorder="1" applyAlignment="1">
      <alignment horizontal="right" vertical="top"/>
    </xf>
    <xf numFmtId="0" fontId="15" fillId="2" borderId="10" xfId="0" applyFont="1" applyFill="1" applyBorder="1" applyAlignment="1">
      <alignment horizontal="center" vertical="top" wrapText="1"/>
    </xf>
    <xf numFmtId="0" fontId="0" fillId="2" borderId="23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/>
    </xf>
    <xf numFmtId="0" fontId="16" fillId="0" borderId="14" xfId="0" applyNumberFormat="1" applyFont="1" applyFill="1" applyBorder="1" applyAlignment="1">
      <alignment horizontal="center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7 2" xfId="64"/>
    <cellStyle name="Обычный 18" xfId="65"/>
    <cellStyle name="Обычный 19" xfId="66"/>
    <cellStyle name="Обычный 2" xfId="67"/>
    <cellStyle name="Обычный 3" xfId="68"/>
    <cellStyle name="Обычный 4" xfId="69"/>
    <cellStyle name="Обычный 4 2" xfId="70"/>
    <cellStyle name="Обычный 43" xfId="71"/>
    <cellStyle name="Обычный 5" xfId="72"/>
    <cellStyle name="Обычный 6" xfId="73"/>
    <cellStyle name="Обычный 7" xfId="74"/>
    <cellStyle name="Обычный 7 2" xfId="75"/>
    <cellStyle name="Обычный 8" xfId="76"/>
    <cellStyle name="Обычный 8 2" xfId="77"/>
    <cellStyle name="Обычный 9" xfId="78"/>
    <cellStyle name="Обычный 9 2" xfId="79"/>
    <cellStyle name="Обычный_Лист2" xfId="80"/>
    <cellStyle name="Обычный_Лист3" xfId="81"/>
    <cellStyle name="Обычный_новинки" xfId="82"/>
    <cellStyle name="Обычный_Прайс-лист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10" xfId="89"/>
    <cellStyle name="Процентный 11" xfId="90"/>
    <cellStyle name="Процентный 12" xfId="91"/>
    <cellStyle name="Процентный 13" xfId="92"/>
    <cellStyle name="Процентный 14" xfId="93"/>
    <cellStyle name="Процентный 15" xfId="94"/>
    <cellStyle name="Процентный 16" xfId="95"/>
    <cellStyle name="Процентный 17" xfId="96"/>
    <cellStyle name="Процентный 2" xfId="97"/>
    <cellStyle name="Процентный 3" xfId="98"/>
    <cellStyle name="Процентный 4" xfId="99"/>
    <cellStyle name="Процентный 5" xfId="100"/>
    <cellStyle name="Процентный 6" xfId="101"/>
    <cellStyle name="Процентный 7" xfId="102"/>
    <cellStyle name="Процентный 8" xfId="103"/>
    <cellStyle name="Процентный 9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247650</xdr:colOff>
      <xdr:row>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457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312</xdr:row>
      <xdr:rowOff>0</xdr:rowOff>
    </xdr:from>
    <xdr:to>
      <xdr:col>10</xdr:col>
      <xdr:colOff>0</xdr:colOff>
      <xdr:row>312</xdr:row>
      <xdr:rowOff>342900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0" y="106118025"/>
          <a:ext cx="0" cy="342900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10</xdr:col>
      <xdr:colOff>0</xdr:colOff>
      <xdr:row>265</xdr:row>
      <xdr:rowOff>0</xdr:rowOff>
    </xdr:from>
    <xdr:to>
      <xdr:col>10</xdr:col>
      <xdr:colOff>0</xdr:colOff>
      <xdr:row>265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0" y="90001725"/>
          <a:ext cx="0" cy="0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press.ru/Pages/Book.aspx?id=762" TargetMode="External" /><Relationship Id="rId2" Type="http://schemas.openxmlformats.org/officeDocument/2006/relationships/hyperlink" Target="http://www.astpress.ru/Pages/Book.aspx?id=1150" TargetMode="External" /><Relationship Id="rId3" Type="http://schemas.openxmlformats.org/officeDocument/2006/relationships/hyperlink" Target="http://www.astpress.ru/Pages/Book.aspx?id=1008" TargetMode="External" /><Relationship Id="rId4" Type="http://schemas.openxmlformats.org/officeDocument/2006/relationships/hyperlink" Target="http://www.astpress.ru/Pages/Book.aspx?id=1043" TargetMode="External" /><Relationship Id="rId5" Type="http://schemas.openxmlformats.org/officeDocument/2006/relationships/hyperlink" Target="http://www.astpress.ru/Pages/Book.aspx?id=1041" TargetMode="External" /><Relationship Id="rId6" Type="http://schemas.openxmlformats.org/officeDocument/2006/relationships/hyperlink" Target="http://www.astpress.ru/Pages/Book.aspx?id=924" TargetMode="External" /><Relationship Id="rId7" Type="http://schemas.openxmlformats.org/officeDocument/2006/relationships/hyperlink" Target="http://astpress.ru/Pages/Book.aspx?id=1204" TargetMode="External" /><Relationship Id="rId8" Type="http://schemas.openxmlformats.org/officeDocument/2006/relationships/hyperlink" Target="http://www.astpress.ru/Pages/Book.aspx?id=1049" TargetMode="External" /><Relationship Id="rId9" Type="http://schemas.openxmlformats.org/officeDocument/2006/relationships/hyperlink" Target="http://www.astpress.ru/Pages/Book.aspx?id=898" TargetMode="External" /><Relationship Id="rId10" Type="http://schemas.openxmlformats.org/officeDocument/2006/relationships/hyperlink" Target="http://www.astpress.ru/Pages/Book.aspx?id=1051" TargetMode="External" /><Relationship Id="rId11" Type="http://schemas.openxmlformats.org/officeDocument/2006/relationships/hyperlink" Target="http://www.astpress.ru/Pages/Book.aspx?id=1272" TargetMode="External" /><Relationship Id="rId12" Type="http://schemas.openxmlformats.org/officeDocument/2006/relationships/hyperlink" Target="http://www.astpress.ru/Pages/Book.aspx?id=1262" TargetMode="External" /><Relationship Id="rId13" Type="http://schemas.openxmlformats.org/officeDocument/2006/relationships/hyperlink" Target="http://www.astpress.ru/Pages/Book.aspx?id=1252" TargetMode="External" /><Relationship Id="rId14" Type="http://schemas.openxmlformats.org/officeDocument/2006/relationships/hyperlink" Target="http://www.astpress.ru/Pages/Book.aspx?id=1265" TargetMode="External" /><Relationship Id="rId15" Type="http://schemas.openxmlformats.org/officeDocument/2006/relationships/hyperlink" Target="http://www.astpress.ru/Pages/Book.aspx?id=929" TargetMode="External" /><Relationship Id="rId16" Type="http://schemas.openxmlformats.org/officeDocument/2006/relationships/hyperlink" Target="http://www.astpress.ru/Pages/Book.aspx?id=60" TargetMode="External" /><Relationship Id="rId17" Type="http://schemas.openxmlformats.org/officeDocument/2006/relationships/hyperlink" Target="http://www.astpress.ru/Pages/Book.aspx?id=1290" TargetMode="External" /><Relationship Id="rId18" Type="http://schemas.openxmlformats.org/officeDocument/2006/relationships/hyperlink" Target="http://www.astpress.ru/Pages/Book.aspx?id=1287" TargetMode="External" /><Relationship Id="rId19" Type="http://schemas.openxmlformats.org/officeDocument/2006/relationships/hyperlink" Target="http://www.astpress.ru/Pages/Book.aspx?id=1273" TargetMode="External" /><Relationship Id="rId20" Type="http://schemas.openxmlformats.org/officeDocument/2006/relationships/hyperlink" Target="http://www.astpress.ru/Pages/Book.aspx?id=1268" TargetMode="External" /><Relationship Id="rId21" Type="http://schemas.openxmlformats.org/officeDocument/2006/relationships/hyperlink" Target="http://www.astpress.ru/Pages/Book.aspx?id=1275" TargetMode="External" /><Relationship Id="rId22" Type="http://schemas.openxmlformats.org/officeDocument/2006/relationships/hyperlink" Target="http://www.astpress.ru/Pages/Book.aspx?id=1274" TargetMode="External" /><Relationship Id="rId23" Type="http://schemas.openxmlformats.org/officeDocument/2006/relationships/hyperlink" Target="http://www.astpress.ru/Pages/Book.aspx?id=41" TargetMode="External" /><Relationship Id="rId24" Type="http://schemas.openxmlformats.org/officeDocument/2006/relationships/hyperlink" Target="http://www.astpress.ru/Pages/Book.aspx?id=1263" TargetMode="External" /><Relationship Id="rId25" Type="http://schemas.openxmlformats.org/officeDocument/2006/relationships/hyperlink" Target="http://www.astpress.ru/Pages/Book.aspx?id=150" TargetMode="External" /><Relationship Id="rId26" Type="http://schemas.openxmlformats.org/officeDocument/2006/relationships/hyperlink" Target="http://www.astpress.ru/Pages/Book.aspx?id=1136" TargetMode="External" /><Relationship Id="rId27" Type="http://schemas.openxmlformats.org/officeDocument/2006/relationships/hyperlink" Target="http://www.astpress.ru/Pages/Book.aspx?id=1250" TargetMode="External" /><Relationship Id="rId28" Type="http://schemas.openxmlformats.org/officeDocument/2006/relationships/hyperlink" Target="http://www.astpress.ru/Pages/Book.aspx?id=1254" TargetMode="External" /><Relationship Id="rId29" Type="http://schemas.openxmlformats.org/officeDocument/2006/relationships/hyperlink" Target="http://www.astpress.ru/Pages/Book.aspx?id=1260" TargetMode="External" /><Relationship Id="rId30" Type="http://schemas.openxmlformats.org/officeDocument/2006/relationships/hyperlink" Target="http://www.astpress.ru/Pages/Book.aspx?id=1259" TargetMode="External" /><Relationship Id="rId31" Type="http://schemas.openxmlformats.org/officeDocument/2006/relationships/hyperlink" Target="http://www.astpress.ru/Pages/Book.aspx?id=1253" TargetMode="External" /><Relationship Id="rId32" Type="http://schemas.openxmlformats.org/officeDocument/2006/relationships/hyperlink" Target="http://www.astpress.ru/Pages/Book.aspx?id=1257" TargetMode="External" /><Relationship Id="rId33" Type="http://schemas.openxmlformats.org/officeDocument/2006/relationships/hyperlink" Target="http://www.astpress.ru/Pages/Book.aspx?id=1269" TargetMode="External" /><Relationship Id="rId34" Type="http://schemas.openxmlformats.org/officeDocument/2006/relationships/hyperlink" Target="http://www.astpress.ru/Pages/Book.aspx?id=1264" TargetMode="External" /><Relationship Id="rId35" Type="http://schemas.openxmlformats.org/officeDocument/2006/relationships/hyperlink" Target="http://www.astpress.ru/Pages/Book.aspx?id=1266" TargetMode="External" /><Relationship Id="rId36" Type="http://schemas.openxmlformats.org/officeDocument/2006/relationships/hyperlink" Target="http://www.astpress.ru/Pages/Book.aspx?id=853" TargetMode="External" /><Relationship Id="rId37" Type="http://schemas.openxmlformats.org/officeDocument/2006/relationships/hyperlink" Target="http://www.astpress.ru/Pages/Book.aspx?id=1176" TargetMode="External" /><Relationship Id="rId38" Type="http://schemas.openxmlformats.org/officeDocument/2006/relationships/hyperlink" Target="http://www.astpress.ru/Pages/Book.aspx?id=411" TargetMode="External" /><Relationship Id="rId39" Type="http://schemas.openxmlformats.org/officeDocument/2006/relationships/hyperlink" Target="http://www.astpress.ru/Pages/Book.aspx?id=408" TargetMode="External" /><Relationship Id="rId40" Type="http://schemas.openxmlformats.org/officeDocument/2006/relationships/hyperlink" Target="http://www.astpress.ru/Pages/Book.aspx?id=258" TargetMode="External" /><Relationship Id="rId41" Type="http://schemas.openxmlformats.org/officeDocument/2006/relationships/hyperlink" Target="http://www.astpress.ru/Pages/Book.aspx?id=699" TargetMode="External" /><Relationship Id="rId42" Type="http://schemas.openxmlformats.org/officeDocument/2006/relationships/hyperlink" Target="http://www.astpress.ru/Pages/Book.aspx?id=847" TargetMode="External" /><Relationship Id="rId43" Type="http://schemas.openxmlformats.org/officeDocument/2006/relationships/hyperlink" Target="http://www.astpress.ru/Pages/Book.aspx?id=1059" TargetMode="External" /><Relationship Id="rId44" Type="http://schemas.openxmlformats.org/officeDocument/2006/relationships/hyperlink" Target="http://www.astpress.ru/Pages/Book.aspx?id=111" TargetMode="External" /><Relationship Id="rId45" Type="http://schemas.openxmlformats.org/officeDocument/2006/relationships/hyperlink" Target="http://www.astpress.ru/Pages/Book.aspx?id=1247" TargetMode="External" /><Relationship Id="rId46" Type="http://schemas.openxmlformats.org/officeDocument/2006/relationships/hyperlink" Target="http://www.astpress.ru/Pages/Book.aspx?id=1248" TargetMode="External" /><Relationship Id="rId47" Type="http://schemas.openxmlformats.org/officeDocument/2006/relationships/hyperlink" Target="http://www.astpress.ru/Pages/Book.aspx?id=1072" TargetMode="External" /><Relationship Id="rId48" Type="http://schemas.openxmlformats.org/officeDocument/2006/relationships/hyperlink" Target="http://www.astpress.ru/Pages/Book.aspx?id=1245" TargetMode="External" /><Relationship Id="rId49" Type="http://schemas.openxmlformats.org/officeDocument/2006/relationships/hyperlink" Target="http://www.astpress.ru/Pages/Book.aspx?id=1244" TargetMode="External" /><Relationship Id="rId50" Type="http://schemas.openxmlformats.org/officeDocument/2006/relationships/hyperlink" Target="http://www.astpress.ru/Pages/Book.aspx?id=1243" TargetMode="External" /><Relationship Id="rId51" Type="http://schemas.openxmlformats.org/officeDocument/2006/relationships/hyperlink" Target="http://www.astpress.ru/Pages/Book.aspx?id=1242" TargetMode="External" /><Relationship Id="rId52" Type="http://schemas.openxmlformats.org/officeDocument/2006/relationships/hyperlink" Target="http://www.astpress.ru/Pages/Book.aspx?id=1241" TargetMode="External" /><Relationship Id="rId53" Type="http://schemas.openxmlformats.org/officeDocument/2006/relationships/hyperlink" Target="http://www.astpress.ru/Pages/Book.aspx?id=1167" TargetMode="External" /><Relationship Id="rId54" Type="http://schemas.openxmlformats.org/officeDocument/2006/relationships/hyperlink" Target="http://www.astpress.ru/Pages/Book.aspx?id=1236" TargetMode="External" /><Relationship Id="rId55" Type="http://schemas.openxmlformats.org/officeDocument/2006/relationships/hyperlink" Target="http://www.astpress.ru/Pages/Book.aspx?id=1237" TargetMode="External" /><Relationship Id="rId56" Type="http://schemas.openxmlformats.org/officeDocument/2006/relationships/hyperlink" Target="http://www.astpress.ru/Pages/Book.aspx?id=1238" TargetMode="External" /><Relationship Id="rId57" Type="http://schemas.openxmlformats.org/officeDocument/2006/relationships/hyperlink" Target="http://www.astpress.ru/Pages/Book.aspx?id=1162" TargetMode="External" /><Relationship Id="rId58" Type="http://schemas.openxmlformats.org/officeDocument/2006/relationships/hyperlink" Target="http://www.astpress.ru/Pages/Book.aspx?id=1240" TargetMode="External" /><Relationship Id="rId59" Type="http://schemas.openxmlformats.org/officeDocument/2006/relationships/hyperlink" Target="http://www.astpress.ru/Pages/Book.aspx?id=1239" TargetMode="External" /><Relationship Id="rId60" Type="http://schemas.openxmlformats.org/officeDocument/2006/relationships/hyperlink" Target="http://www.astpress.ru/Pages/Book.aspx?id=1067" TargetMode="External" /><Relationship Id="rId61" Type="http://schemas.openxmlformats.org/officeDocument/2006/relationships/hyperlink" Target="http://astpress.ru/Pages/Book.aspx?id=313" TargetMode="External" /><Relationship Id="rId62" Type="http://schemas.openxmlformats.org/officeDocument/2006/relationships/hyperlink" Target="http://astpress.ru/Pages/Book.aspx?id=1232" TargetMode="External" /><Relationship Id="rId63" Type="http://schemas.openxmlformats.org/officeDocument/2006/relationships/hyperlink" Target="http://www.astpress.ru/Pages/Book.aspx?id=1172" TargetMode="External" /><Relationship Id="rId64" Type="http://schemas.openxmlformats.org/officeDocument/2006/relationships/hyperlink" Target="http://www.astpress.ru/Pages/Book.aspx?id=1226" TargetMode="External" /><Relationship Id="rId65" Type="http://schemas.openxmlformats.org/officeDocument/2006/relationships/hyperlink" Target="http://www.astpress.ru/Pages/Book.aspx?id=1223" TargetMode="External" /><Relationship Id="rId66" Type="http://schemas.openxmlformats.org/officeDocument/2006/relationships/hyperlink" Target="http://www.astpress.ru/Pages/Book.aspx?id=1222" TargetMode="External" /><Relationship Id="rId67" Type="http://schemas.openxmlformats.org/officeDocument/2006/relationships/hyperlink" Target="http://www.astpress.ru/Pages/Book.aspx?id=1110" TargetMode="External" /><Relationship Id="rId68" Type="http://schemas.openxmlformats.org/officeDocument/2006/relationships/hyperlink" Target="http://www.astpress.ru/Pages/Book.aspx?id=1038" TargetMode="External" /><Relationship Id="rId69" Type="http://schemas.openxmlformats.org/officeDocument/2006/relationships/hyperlink" Target="http://www.astpress.ru/Pages/Book.aspx?id=355" TargetMode="External" /><Relationship Id="rId70" Type="http://schemas.openxmlformats.org/officeDocument/2006/relationships/hyperlink" Target="http://www.astpress.ru/Pages/Book.aspx?id=1119" TargetMode="External" /><Relationship Id="rId71" Type="http://schemas.openxmlformats.org/officeDocument/2006/relationships/hyperlink" Target="http://www.astpress.ru/Pages/Book.aspx?id=1117" TargetMode="External" /><Relationship Id="rId72" Type="http://schemas.openxmlformats.org/officeDocument/2006/relationships/hyperlink" Target="http://www.astpress.ru/Pages/Book.aspx?id=1120" TargetMode="External" /><Relationship Id="rId73" Type="http://schemas.openxmlformats.org/officeDocument/2006/relationships/hyperlink" Target="http://www.astpress.ru/Pages/Book.aspx?id=1217" TargetMode="External" /><Relationship Id="rId74" Type="http://schemas.openxmlformats.org/officeDocument/2006/relationships/hyperlink" Target="http://www.astpress.ru/Pages/Book.aspx?id=1210" TargetMode="External" /><Relationship Id="rId75" Type="http://schemas.openxmlformats.org/officeDocument/2006/relationships/hyperlink" Target="http://www.astpress.ru/Pages/Book.aspx?id=1216" TargetMode="External" /><Relationship Id="rId76" Type="http://schemas.openxmlformats.org/officeDocument/2006/relationships/hyperlink" Target="http://www.astpress.ru/Pages/Book.aspx?id=808" TargetMode="External" /><Relationship Id="rId77" Type="http://schemas.openxmlformats.org/officeDocument/2006/relationships/hyperlink" Target="http://www.astpress.ru/Pages/Book.aspx?id=1214" TargetMode="External" /><Relationship Id="rId78" Type="http://schemas.openxmlformats.org/officeDocument/2006/relationships/hyperlink" Target="http://astpress.ru/Pages/Book.aspx?id=1213" TargetMode="External" /><Relationship Id="rId79" Type="http://schemas.openxmlformats.org/officeDocument/2006/relationships/hyperlink" Target="http://astpress.ru/Pages/Book.aspx?id=1212" TargetMode="External" /><Relationship Id="rId80" Type="http://schemas.openxmlformats.org/officeDocument/2006/relationships/hyperlink" Target="http://astpress.ru/Pages/Book.aspx?id=1211" TargetMode="External" /><Relationship Id="rId81" Type="http://schemas.openxmlformats.org/officeDocument/2006/relationships/hyperlink" Target="http://www.astpress.ru/Pages/Book.aspx?id=1209" TargetMode="External" /><Relationship Id="rId82" Type="http://schemas.openxmlformats.org/officeDocument/2006/relationships/hyperlink" Target="http://astpress.ru/Pages/Book.aspx?id=91" TargetMode="External" /><Relationship Id="rId83" Type="http://schemas.openxmlformats.org/officeDocument/2006/relationships/hyperlink" Target="http://astpress.ru/Pages/Book.aspx?id=1205" TargetMode="External" /><Relationship Id="rId84" Type="http://schemas.openxmlformats.org/officeDocument/2006/relationships/hyperlink" Target="http://astpress.ru/Pages/Book.aspx?id=1204" TargetMode="External" /><Relationship Id="rId85" Type="http://schemas.openxmlformats.org/officeDocument/2006/relationships/hyperlink" Target="http://astpress.ru/Pages/Book.aspx?id=1206" TargetMode="External" /><Relationship Id="rId86" Type="http://schemas.openxmlformats.org/officeDocument/2006/relationships/hyperlink" Target="http://www.astpress.ru/Pages/Book.aspx?id=978" TargetMode="External" /><Relationship Id="rId87" Type="http://schemas.openxmlformats.org/officeDocument/2006/relationships/hyperlink" Target="http://www.astpress.ru/Pages/Book.aspx?id=1193" TargetMode="External" /><Relationship Id="rId88" Type="http://schemas.openxmlformats.org/officeDocument/2006/relationships/hyperlink" Target="http://www.astpress.ru/Pages/Book.aspx?id=1081" TargetMode="External" /><Relationship Id="rId89" Type="http://schemas.openxmlformats.org/officeDocument/2006/relationships/hyperlink" Target="http://www.astpress.ru/Pages/Book.aspx?id=1180" TargetMode="External" /><Relationship Id="rId90" Type="http://schemas.openxmlformats.org/officeDocument/2006/relationships/hyperlink" Target="http://www.astpress.ru/Pages/Book.aspx?id=1179" TargetMode="External" /><Relationship Id="rId91" Type="http://schemas.openxmlformats.org/officeDocument/2006/relationships/hyperlink" Target="http://www.astpress.ru/Pages/Book.aspx?id=1181" TargetMode="External" /><Relationship Id="rId92" Type="http://schemas.openxmlformats.org/officeDocument/2006/relationships/hyperlink" Target="http://www.astpress.ru/Pages/Book.aspx?id=1182" TargetMode="External" /><Relationship Id="rId93" Type="http://schemas.openxmlformats.org/officeDocument/2006/relationships/hyperlink" Target="http://www.astpress.ru/Pages/Book.aspx?id=1183" TargetMode="External" /><Relationship Id="rId94" Type="http://schemas.openxmlformats.org/officeDocument/2006/relationships/hyperlink" Target="http://www.astpress.ru/Pages/Book.aspx?id=1185" TargetMode="External" /><Relationship Id="rId95" Type="http://schemas.openxmlformats.org/officeDocument/2006/relationships/hyperlink" Target="http://www.astpress.ru/Pages/Book.aspx?id=1186" TargetMode="External" /><Relationship Id="rId96" Type="http://schemas.openxmlformats.org/officeDocument/2006/relationships/hyperlink" Target="http://www.astpress.ru/Pages/Book.aspx?id=1187" TargetMode="External" /><Relationship Id="rId97" Type="http://schemas.openxmlformats.org/officeDocument/2006/relationships/hyperlink" Target="http://www.astpress.ru/Pages/Book.aspx?id=1188" TargetMode="External" /><Relationship Id="rId98" Type="http://schemas.openxmlformats.org/officeDocument/2006/relationships/hyperlink" Target="http://www.astpress.ru/Pages/Book.aspx?id=1189" TargetMode="External" /><Relationship Id="rId99" Type="http://schemas.openxmlformats.org/officeDocument/2006/relationships/hyperlink" Target="http://www.astpress.ru/Pages/Book.aspx?id=1178" TargetMode="External" /><Relationship Id="rId100" Type="http://schemas.openxmlformats.org/officeDocument/2006/relationships/hyperlink" Target="http://www.astpress.ru/Pages/Book.aspx?id=1184" TargetMode="External" /><Relationship Id="rId101" Type="http://schemas.openxmlformats.org/officeDocument/2006/relationships/hyperlink" Target="http://www.astpress.ru/Pages/Book.aspx?id=1191" TargetMode="External" /><Relationship Id="rId102" Type="http://schemas.openxmlformats.org/officeDocument/2006/relationships/hyperlink" Target="http://www.astpress.ru/Pages/Book.aspx?id=1190" TargetMode="External" /><Relationship Id="rId103" Type="http://schemas.openxmlformats.org/officeDocument/2006/relationships/hyperlink" Target="http://www.astpress.ru/Pages/Book.aspx?id=1177" TargetMode="External" /><Relationship Id="rId104" Type="http://schemas.openxmlformats.org/officeDocument/2006/relationships/hyperlink" Target="http://www.astpress.ru/Pages/Book.aspx?id=1039" TargetMode="External" /><Relationship Id="rId105" Type="http://schemas.openxmlformats.org/officeDocument/2006/relationships/hyperlink" Target="http://www.astpress.ru/Pages/Book.aspx?id=87" TargetMode="External" /><Relationship Id="rId106" Type="http://schemas.openxmlformats.org/officeDocument/2006/relationships/hyperlink" Target="http://www.astpress.ru/Pages/Book.aspx?id=89" TargetMode="External" /><Relationship Id="rId107" Type="http://schemas.openxmlformats.org/officeDocument/2006/relationships/hyperlink" Target="http://www.astpress.ru/Pages/Book.aspx?id=1159" TargetMode="External" /><Relationship Id="rId108" Type="http://schemas.openxmlformats.org/officeDocument/2006/relationships/hyperlink" Target="http://www.astpress.ru/Pages/Book.aspx?id=1171" TargetMode="External" /><Relationship Id="rId109" Type="http://schemas.openxmlformats.org/officeDocument/2006/relationships/hyperlink" Target="http://www.astpress.ru/Pages/Book.aspx?id=1170" TargetMode="External" /><Relationship Id="rId110" Type="http://schemas.openxmlformats.org/officeDocument/2006/relationships/hyperlink" Target="http://www.astpress.ru/Pages/Book.aspx?id=395" TargetMode="External" /><Relationship Id="rId111" Type="http://schemas.openxmlformats.org/officeDocument/2006/relationships/hyperlink" Target="http://www.astpress.ru/Pages/Book.aspx?id=1163" TargetMode="External" /><Relationship Id="rId112" Type="http://schemas.openxmlformats.org/officeDocument/2006/relationships/hyperlink" Target="http://www.astpress.ru/Pages/Book.aspx?id=1161" TargetMode="External" /><Relationship Id="rId113" Type="http://schemas.openxmlformats.org/officeDocument/2006/relationships/hyperlink" Target="http://www.astpress.ru/Pages/Book.aspx?id=397" TargetMode="External" /><Relationship Id="rId114" Type="http://schemas.openxmlformats.org/officeDocument/2006/relationships/hyperlink" Target="http://www.astpress.ru/Pages/Book.aspx?id=1143" TargetMode="External" /><Relationship Id="rId115" Type="http://schemas.openxmlformats.org/officeDocument/2006/relationships/hyperlink" Target="http://www.astpress.ru/Pages/Book.aspx?id=665" TargetMode="External" /><Relationship Id="rId116" Type="http://schemas.openxmlformats.org/officeDocument/2006/relationships/hyperlink" Target="http://www.astpress.ru/Pages/Book.aspx?id=667" TargetMode="External" /><Relationship Id="rId117" Type="http://schemas.openxmlformats.org/officeDocument/2006/relationships/hyperlink" Target="http://www.astpress.ru/Pages/Book.aspx?id=668" TargetMode="External" /><Relationship Id="rId118" Type="http://schemas.openxmlformats.org/officeDocument/2006/relationships/hyperlink" Target="http://www.astpress.ru/Pages/Book.aspx?id=638" TargetMode="External" /><Relationship Id="rId119" Type="http://schemas.openxmlformats.org/officeDocument/2006/relationships/hyperlink" Target="http://www.astpress.ru/Pages/Book.aspx?id=637" TargetMode="External" /><Relationship Id="rId120" Type="http://schemas.openxmlformats.org/officeDocument/2006/relationships/hyperlink" Target="http://www.astpress.ru/Pages/Book.aspx?id=639" TargetMode="External" /><Relationship Id="rId121" Type="http://schemas.openxmlformats.org/officeDocument/2006/relationships/hyperlink" Target="http://www.astpress.ru/Pages/Book.aspx?id=636" TargetMode="External" /><Relationship Id="rId122" Type="http://schemas.openxmlformats.org/officeDocument/2006/relationships/hyperlink" Target="http://www.astpress.ru/Pages/Book.aspx?id=633" TargetMode="External" /><Relationship Id="rId123" Type="http://schemas.openxmlformats.org/officeDocument/2006/relationships/hyperlink" Target="http://www.astpress.ru/Pages/Book.aspx?id=634" TargetMode="External" /><Relationship Id="rId124" Type="http://schemas.openxmlformats.org/officeDocument/2006/relationships/hyperlink" Target="http://www.astpress.ru/Pages/Book.aspx?id=631" TargetMode="External" /><Relationship Id="rId125" Type="http://schemas.openxmlformats.org/officeDocument/2006/relationships/hyperlink" Target="http://www.astpress.ru/Pages/Book.aspx?id=628" TargetMode="External" /><Relationship Id="rId126" Type="http://schemas.openxmlformats.org/officeDocument/2006/relationships/hyperlink" Target="http://www.astpress.ru/Pages/Book.aspx?id=626" TargetMode="External" /><Relationship Id="rId127" Type="http://schemas.openxmlformats.org/officeDocument/2006/relationships/hyperlink" Target="http://www.astpress.ru/Pages/Book.aspx?id=622" TargetMode="External" /><Relationship Id="rId128" Type="http://schemas.openxmlformats.org/officeDocument/2006/relationships/hyperlink" Target="http://www.astpress.ru/Pages/Book.aspx?id=620" TargetMode="External" /><Relationship Id="rId129" Type="http://schemas.openxmlformats.org/officeDocument/2006/relationships/hyperlink" Target="http://www.astpress.ru/Pages/Book.aspx?id=1137" TargetMode="External" /><Relationship Id="rId130" Type="http://schemas.openxmlformats.org/officeDocument/2006/relationships/hyperlink" Target="http://www.astpress.ru/Pages/Book.aspx?id=615" TargetMode="External" /><Relationship Id="rId131" Type="http://schemas.openxmlformats.org/officeDocument/2006/relationships/hyperlink" Target="http://www.astpress.ru/Pages/Book.aspx?id=616" TargetMode="External" /><Relationship Id="rId132" Type="http://schemas.openxmlformats.org/officeDocument/2006/relationships/hyperlink" Target="http://www.astpress.ru/Pages/Book.aspx?id=806" TargetMode="External" /><Relationship Id="rId133" Type="http://schemas.openxmlformats.org/officeDocument/2006/relationships/hyperlink" Target="http://www.astpress.ru/Pages/Book.aspx?id=415" TargetMode="External" /><Relationship Id="rId134" Type="http://schemas.openxmlformats.org/officeDocument/2006/relationships/hyperlink" Target="http://www.astpress.ru/Pages/Book.aspx?id=414" TargetMode="External" /><Relationship Id="rId135" Type="http://schemas.openxmlformats.org/officeDocument/2006/relationships/hyperlink" Target="http://www.astpress.ru/Pages/Book.aspx?id=413" TargetMode="External" /><Relationship Id="rId136" Type="http://schemas.openxmlformats.org/officeDocument/2006/relationships/hyperlink" Target="http://www.astpress.ru/Pages/Book.aspx?id=396" TargetMode="External" /><Relationship Id="rId137" Type="http://schemas.openxmlformats.org/officeDocument/2006/relationships/hyperlink" Target="http://www.astpress.ru/Pages/Book.aspx?id=223" TargetMode="External" /><Relationship Id="rId138" Type="http://schemas.openxmlformats.org/officeDocument/2006/relationships/hyperlink" Target="http://www.astpress.ru/Pages/Book.aspx?id=222" TargetMode="External" /><Relationship Id="rId139" Type="http://schemas.openxmlformats.org/officeDocument/2006/relationships/hyperlink" Target="http://www.astpress.ru/Pages/Book.aspx?id=221" TargetMode="External" /><Relationship Id="rId140" Type="http://schemas.openxmlformats.org/officeDocument/2006/relationships/hyperlink" Target="http://www.astpress.ru/Pages/Book.aspx?id=881" TargetMode="External" /><Relationship Id="rId141" Type="http://schemas.openxmlformats.org/officeDocument/2006/relationships/hyperlink" Target="http://www.astpress.ru/Pages/Book.aspx?id=884" TargetMode="External" /><Relationship Id="rId142" Type="http://schemas.openxmlformats.org/officeDocument/2006/relationships/hyperlink" Target="http://www.astpress.ru/Pages/Book.aspx?id=915" TargetMode="External" /><Relationship Id="rId143" Type="http://schemas.openxmlformats.org/officeDocument/2006/relationships/hyperlink" Target="http://www.astpress.ru/Pages/Book.aspx?id=427" TargetMode="External" /><Relationship Id="rId144" Type="http://schemas.openxmlformats.org/officeDocument/2006/relationships/hyperlink" Target="http://www.astpress.ru/Pages/Book.aspx?id=1031" TargetMode="External" /><Relationship Id="rId145" Type="http://schemas.openxmlformats.org/officeDocument/2006/relationships/hyperlink" Target="http://www.astpress.ru/Pages/Book.aspx?id=1031" TargetMode="External" /><Relationship Id="rId146" Type="http://schemas.openxmlformats.org/officeDocument/2006/relationships/hyperlink" Target="http://www.astpress.ru/Pages/Book.aspx?id=832" TargetMode="External" /><Relationship Id="rId147" Type="http://schemas.openxmlformats.org/officeDocument/2006/relationships/hyperlink" Target="http://www.astpress.ru/Pages/Book.aspx?id=837" TargetMode="External" /><Relationship Id="rId148" Type="http://schemas.openxmlformats.org/officeDocument/2006/relationships/hyperlink" Target="http://www.astpress.ru/Pages/Book.aspx?id=834" TargetMode="External" /><Relationship Id="rId149" Type="http://schemas.openxmlformats.org/officeDocument/2006/relationships/hyperlink" Target="http://www.astpress.ru/Pages/Book.aspx?id=826" TargetMode="External" /><Relationship Id="rId150" Type="http://schemas.openxmlformats.org/officeDocument/2006/relationships/hyperlink" Target="http://www.astpress.ru/Pages/Book.aspx?id=892" TargetMode="External" /><Relationship Id="rId151" Type="http://schemas.openxmlformats.org/officeDocument/2006/relationships/hyperlink" Target="http://www.astpress.ru/Pages/Book.aspx?id=888" TargetMode="External" /><Relationship Id="rId152" Type="http://schemas.openxmlformats.org/officeDocument/2006/relationships/hyperlink" Target="http://www.astpress.ru/Pages/Book.aspx?id=845" TargetMode="External" /><Relationship Id="rId153" Type="http://schemas.openxmlformats.org/officeDocument/2006/relationships/hyperlink" Target="http://www.astpress.ru/Pages/Book.aspx?id=784" TargetMode="External" /><Relationship Id="rId154" Type="http://schemas.openxmlformats.org/officeDocument/2006/relationships/hyperlink" Target="http://www.astpress.ru/Pages/Book.aspx?id=999" TargetMode="External" /><Relationship Id="rId155" Type="http://schemas.openxmlformats.org/officeDocument/2006/relationships/hyperlink" Target="http://www.astpress.ru/Pages/Book.aspx?id=998" TargetMode="External" /><Relationship Id="rId156" Type="http://schemas.openxmlformats.org/officeDocument/2006/relationships/hyperlink" Target="http://www.astpress.ru/Pages/Book.aspx?id=997" TargetMode="External" /><Relationship Id="rId157" Type="http://schemas.openxmlformats.org/officeDocument/2006/relationships/hyperlink" Target="http://www.astpress.ru/Pages/Book.aspx?id=996" TargetMode="External" /><Relationship Id="rId158" Type="http://schemas.openxmlformats.org/officeDocument/2006/relationships/hyperlink" Target="http://www.astpress.ru/Pages/Book.aspx?id=995" TargetMode="External" /><Relationship Id="rId159" Type="http://schemas.openxmlformats.org/officeDocument/2006/relationships/hyperlink" Target="http://www.astpress.ru/Pages/Book.aspx?id=994" TargetMode="External" /><Relationship Id="rId160" Type="http://schemas.openxmlformats.org/officeDocument/2006/relationships/hyperlink" Target="http://www.astpress.ru/Pages/Book.aspx?id=993" TargetMode="External" /><Relationship Id="rId161" Type="http://schemas.openxmlformats.org/officeDocument/2006/relationships/hyperlink" Target="http://www.astpress.ru/Pages/Book.aspx?id=992" TargetMode="External" /><Relationship Id="rId162" Type="http://schemas.openxmlformats.org/officeDocument/2006/relationships/hyperlink" Target="http://www.astpress.ru/Pages/Book.aspx?id=991" TargetMode="External" /><Relationship Id="rId163" Type="http://schemas.openxmlformats.org/officeDocument/2006/relationships/hyperlink" Target="http://www.astpress.ru/Pages/Book.aspx?id=777" TargetMode="External" /><Relationship Id="rId164" Type="http://schemas.openxmlformats.org/officeDocument/2006/relationships/hyperlink" Target="http://www.astpress.ru/Pages/Book.aspx?id=989" TargetMode="External" /><Relationship Id="rId165" Type="http://schemas.openxmlformats.org/officeDocument/2006/relationships/hyperlink" Target="http://www.astpress.ru/Pages/Book.aspx?id=1058" TargetMode="External" /><Relationship Id="rId166" Type="http://schemas.openxmlformats.org/officeDocument/2006/relationships/hyperlink" Target="http://www.astpress.ru/Pages/Book.aspx?id=3" TargetMode="External" /><Relationship Id="rId167" Type="http://schemas.openxmlformats.org/officeDocument/2006/relationships/hyperlink" Target="http://www.astpress.ru/Pages/Book.aspx?id=944" TargetMode="External" /><Relationship Id="rId168" Type="http://schemas.openxmlformats.org/officeDocument/2006/relationships/hyperlink" Target="http://www.astpress.ru/Pages/Book.aspx?id=931" TargetMode="External" /><Relationship Id="rId169" Type="http://schemas.openxmlformats.org/officeDocument/2006/relationships/hyperlink" Target="http://www.astpress.ru/Pages/Book.aspx?id=928" TargetMode="External" /><Relationship Id="rId170" Type="http://schemas.openxmlformats.org/officeDocument/2006/relationships/hyperlink" Target="http://www.astpress.ru/Pages/Book.aspx?id=934" TargetMode="External" /><Relationship Id="rId171" Type="http://schemas.openxmlformats.org/officeDocument/2006/relationships/hyperlink" Target="http://www.astpress.ru/Pages/Book.aspx?id=927" TargetMode="External" /><Relationship Id="rId172" Type="http://schemas.openxmlformats.org/officeDocument/2006/relationships/hyperlink" Target="http://www.astpress.ru/Pages/Book.aspx?id=930" TargetMode="External" /><Relationship Id="rId173" Type="http://schemas.openxmlformats.org/officeDocument/2006/relationships/hyperlink" Target="http://www.astpress.ru/Pages/Book.aspx?id=926" TargetMode="External" /><Relationship Id="rId174" Type="http://schemas.openxmlformats.org/officeDocument/2006/relationships/hyperlink" Target="http://www.astpress.ru/Pages/Book.aspx?id=933" TargetMode="External" /><Relationship Id="rId175" Type="http://schemas.openxmlformats.org/officeDocument/2006/relationships/hyperlink" Target="http://www.astpress.ru/Pages/Book.aspx?id=935" TargetMode="External" /><Relationship Id="rId176" Type="http://schemas.openxmlformats.org/officeDocument/2006/relationships/hyperlink" Target="http://www.astpress.ru/Pages/Book.aspx?id=925" TargetMode="External" /><Relationship Id="rId177" Type="http://schemas.openxmlformats.org/officeDocument/2006/relationships/hyperlink" Target="http://www.astpress.ru/Pages/Book.aspx?id=1056" TargetMode="External" /><Relationship Id="rId178" Type="http://schemas.openxmlformats.org/officeDocument/2006/relationships/hyperlink" Target="http://www.astpress.ru/Pages/Book.aspx?id=1055" TargetMode="External" /><Relationship Id="rId179" Type="http://schemas.openxmlformats.org/officeDocument/2006/relationships/hyperlink" Target="http://www.astpress.ru/Pages/Book.aspx?id=916" TargetMode="External" /><Relationship Id="rId180" Type="http://schemas.openxmlformats.org/officeDocument/2006/relationships/hyperlink" Target="http://www.astpress.ru/Pages/Book.aspx?id=1111" TargetMode="External" /><Relationship Id="rId181" Type="http://schemas.openxmlformats.org/officeDocument/2006/relationships/hyperlink" Target="http://www.astpress.ru/Pages/Book.aspx?id=1096" TargetMode="External" /><Relationship Id="rId182" Type="http://schemas.openxmlformats.org/officeDocument/2006/relationships/hyperlink" Target="http://www.astpress.ru/Pages/Book.aspx?id=948" TargetMode="External" /><Relationship Id="rId183" Type="http://schemas.openxmlformats.org/officeDocument/2006/relationships/hyperlink" Target="http://www.astpress.ru/Pages/Book.aspx?id=92" TargetMode="External" /><Relationship Id="rId184" Type="http://schemas.openxmlformats.org/officeDocument/2006/relationships/hyperlink" Target="http://www.astpress.ru/Pages/Book.aspx?id=754" TargetMode="External" /><Relationship Id="rId185" Type="http://schemas.openxmlformats.org/officeDocument/2006/relationships/hyperlink" Target="http://www.astpress.ru/Pages/Book.aspx?id=1122" TargetMode="External" /><Relationship Id="rId186" Type="http://schemas.openxmlformats.org/officeDocument/2006/relationships/hyperlink" Target="http://www.astpress.ru/Pages/Book.aspx?id=36" TargetMode="External" /><Relationship Id="rId187" Type="http://schemas.openxmlformats.org/officeDocument/2006/relationships/hyperlink" Target="http://www.astpress.ru/Pages/Book.aspx?id=90" TargetMode="External" /><Relationship Id="rId188" Type="http://schemas.openxmlformats.org/officeDocument/2006/relationships/hyperlink" Target="http://www.astpress.ru/Pages/Book.aspx?id=1069" TargetMode="External" /><Relationship Id="rId189" Type="http://schemas.openxmlformats.org/officeDocument/2006/relationships/hyperlink" Target="http://www.astpress.ru/Pages/Book.aspx?id=1034" TargetMode="External" /><Relationship Id="rId190" Type="http://schemas.openxmlformats.org/officeDocument/2006/relationships/hyperlink" Target="http://www.astpress.ru/Pages/Book.aspx?id=88" TargetMode="External" /><Relationship Id="rId191" Type="http://schemas.openxmlformats.org/officeDocument/2006/relationships/hyperlink" Target="http://www.astpress.ru/Pages/Book.aspx?id=40" TargetMode="External" /><Relationship Id="rId192" Type="http://schemas.openxmlformats.org/officeDocument/2006/relationships/hyperlink" Target="http://www.astpress.ru/Pages/Book.aspx?id=988" TargetMode="External" /><Relationship Id="rId193" Type="http://schemas.openxmlformats.org/officeDocument/2006/relationships/hyperlink" Target="http://www.astpress.ru/Pages/Book.aspx?id=863" TargetMode="External" /><Relationship Id="rId194" Type="http://schemas.openxmlformats.org/officeDocument/2006/relationships/hyperlink" Target="http://www.astpress.ru/Pages/Book.aspx?id=52" TargetMode="External" /><Relationship Id="rId195" Type="http://schemas.openxmlformats.org/officeDocument/2006/relationships/hyperlink" Target="http://www.astpress.ru/Pages/Book.aspx?id=821" TargetMode="External" /><Relationship Id="rId196" Type="http://schemas.openxmlformats.org/officeDocument/2006/relationships/hyperlink" Target="http://www.astpress.ru/Pages/Book.aspx?id=58" TargetMode="External" /><Relationship Id="rId197" Type="http://schemas.openxmlformats.org/officeDocument/2006/relationships/hyperlink" Target="http://www.astpress.ru/Pages/Book.aspx?id=70" TargetMode="External" /><Relationship Id="rId198" Type="http://schemas.openxmlformats.org/officeDocument/2006/relationships/hyperlink" Target="http://www.astpress.ru/Pages/Book.aspx?id=1158" TargetMode="External" /><Relationship Id="rId199" Type="http://schemas.openxmlformats.org/officeDocument/2006/relationships/hyperlink" Target="http://www.astpress.ru/Pages/Book.aspx?id=1148" TargetMode="External" /><Relationship Id="rId200" Type="http://schemas.openxmlformats.org/officeDocument/2006/relationships/hyperlink" Target="http://www.astpress.ru/Pages/Book.aspx?id=1103" TargetMode="External" /><Relationship Id="rId201" Type="http://schemas.openxmlformats.org/officeDocument/2006/relationships/hyperlink" Target="http://www.astpress.ru/Pages/Book.aspx?id=1061" TargetMode="External" /><Relationship Id="rId202" Type="http://schemas.openxmlformats.org/officeDocument/2006/relationships/hyperlink" Target="http://www.astpress.ru/Pages/Book.aspx?id=906" TargetMode="External" /><Relationship Id="rId203" Type="http://schemas.openxmlformats.org/officeDocument/2006/relationships/hyperlink" Target="http://www.astpress.ru/Pages/Book.aspx?id=788" TargetMode="External" /><Relationship Id="rId204" Type="http://schemas.openxmlformats.org/officeDocument/2006/relationships/hyperlink" Target="http://www.astpress.ru/Pages/Book.aspx?id=1068" TargetMode="External" /><Relationship Id="rId205" Type="http://schemas.openxmlformats.org/officeDocument/2006/relationships/hyperlink" Target="http://www.astpress.ru/Pages/Book.aspx?id=1112" TargetMode="External" /><Relationship Id="rId206" Type="http://schemas.openxmlformats.org/officeDocument/2006/relationships/hyperlink" Target="http://www.astpress.ru/Pages/Book.aspx?id=987" TargetMode="External" /><Relationship Id="rId207" Type="http://schemas.openxmlformats.org/officeDocument/2006/relationships/hyperlink" Target="http://www.astpress.ru/Pages/Book.aspx?id=904" TargetMode="External" /><Relationship Id="rId208" Type="http://schemas.openxmlformats.org/officeDocument/2006/relationships/hyperlink" Target="http://www.astpress.ru/Pages/Book.aspx?id=903" TargetMode="External" /><Relationship Id="rId209" Type="http://schemas.openxmlformats.org/officeDocument/2006/relationships/hyperlink" Target="http://www.astpress.ru/Pages/Book.aspx?id=901" TargetMode="External" /><Relationship Id="rId210" Type="http://schemas.openxmlformats.org/officeDocument/2006/relationships/hyperlink" Target="http://www.astpress.ru/Pages/Book.aspx?id=900" TargetMode="External" /><Relationship Id="rId211" Type="http://schemas.openxmlformats.org/officeDocument/2006/relationships/hyperlink" Target="http://www.astpress.ru/Pages/Book.aspx?id=897" TargetMode="External" /><Relationship Id="rId212" Type="http://schemas.openxmlformats.org/officeDocument/2006/relationships/hyperlink" Target="http://www.astpress.ru/Pages/Book.aspx?id=896" TargetMode="External" /><Relationship Id="rId213" Type="http://schemas.openxmlformats.org/officeDocument/2006/relationships/hyperlink" Target="http://www.astpress.ru/Pages/Book.aspx?id=819" TargetMode="External" /><Relationship Id="rId214" Type="http://schemas.openxmlformats.org/officeDocument/2006/relationships/hyperlink" Target="http://www.astpress.ru/Pages/Book.aspx?id=802" TargetMode="External" /><Relationship Id="rId215" Type="http://schemas.openxmlformats.org/officeDocument/2006/relationships/hyperlink" Target="http://www.astpress.ru/Pages/Book.aspx?id=825" TargetMode="External" /><Relationship Id="rId216" Type="http://schemas.openxmlformats.org/officeDocument/2006/relationships/hyperlink" Target="http://www.astpress.ru/Pages/Book.aspx?id=973" TargetMode="External" /><Relationship Id="rId217" Type="http://schemas.openxmlformats.org/officeDocument/2006/relationships/hyperlink" Target="http://www.astpress.ru/Pages/Book.aspx?id=1033" TargetMode="External" /><Relationship Id="rId218" Type="http://schemas.openxmlformats.org/officeDocument/2006/relationships/hyperlink" Target="http://www.astpress.ru/Pages/Book.aspx?id=971" TargetMode="External" /><Relationship Id="rId219" Type="http://schemas.openxmlformats.org/officeDocument/2006/relationships/hyperlink" Target="http://www.astpress.ru/Pages/Book.aspx?id=941" TargetMode="External" /><Relationship Id="rId220" Type="http://schemas.openxmlformats.org/officeDocument/2006/relationships/hyperlink" Target="http://www.astpress.ru/Pages/Book.aspx?id=799" TargetMode="External" /><Relationship Id="rId221" Type="http://schemas.openxmlformats.org/officeDocument/2006/relationships/hyperlink" Target="http://www.astpress.ru/Pages/Book.aspx?id=1015" TargetMode="External" /><Relationship Id="rId222" Type="http://schemas.openxmlformats.org/officeDocument/2006/relationships/hyperlink" Target="http://www.astpress.ru/Gallery/972/main.jpeg" TargetMode="External" /><Relationship Id="rId223" Type="http://schemas.openxmlformats.org/officeDocument/2006/relationships/hyperlink" Target="http://www.astpress.ru/Pages/Book.aspx?id=945" TargetMode="External" /><Relationship Id="rId224" Type="http://schemas.openxmlformats.org/officeDocument/2006/relationships/hyperlink" Target="http://www.astpress.ru/Pages/Book.aspx?id=766" TargetMode="External" /><Relationship Id="rId225" Type="http://schemas.openxmlformats.org/officeDocument/2006/relationships/hyperlink" Target="http://www.astpress.ru/Pages/Book.aspx?id=1066" TargetMode="External" /><Relationship Id="rId226" Type="http://schemas.openxmlformats.org/officeDocument/2006/relationships/hyperlink" Target="http://www.astpress.ru/Pages/Book.aspx?id=1060" TargetMode="External" /><Relationship Id="rId227" Type="http://schemas.openxmlformats.org/officeDocument/2006/relationships/hyperlink" Target="http://www.astpress.ru/Pages/Book.aspx?id=755" TargetMode="External" /><Relationship Id="rId228" Type="http://schemas.openxmlformats.org/officeDocument/2006/relationships/hyperlink" Target="http://www.astpress.ru/Pages/Book.aspx?id=200" TargetMode="External" /><Relationship Id="rId229" Type="http://schemas.openxmlformats.org/officeDocument/2006/relationships/hyperlink" Target="http://www.astpress.ru/Pages/Book.aspx?id=199" TargetMode="External" /><Relationship Id="rId230" Type="http://schemas.openxmlformats.org/officeDocument/2006/relationships/hyperlink" Target="http://www.astpress.ru/Pages/Book.aspx?id=33" TargetMode="External" /><Relationship Id="rId231" Type="http://schemas.openxmlformats.org/officeDocument/2006/relationships/hyperlink" Target="http://www.astpress.ru/Pages/Book.aspx?id=923" TargetMode="External" /><Relationship Id="rId232" Type="http://schemas.openxmlformats.org/officeDocument/2006/relationships/hyperlink" Target="http://www.astpress.ru/Pages/Book.aspx?id=858" TargetMode="External" /><Relationship Id="rId233" Type="http://schemas.openxmlformats.org/officeDocument/2006/relationships/hyperlink" Target="http://www.astpress.ru/Pages/Book.aspx?id=1046" TargetMode="External" /><Relationship Id="rId234" Type="http://schemas.openxmlformats.org/officeDocument/2006/relationships/hyperlink" Target="http://www.astpress.ru/Pages/Book.aspx?id=121" TargetMode="External" /><Relationship Id="rId235" Type="http://schemas.openxmlformats.org/officeDocument/2006/relationships/hyperlink" Target="http://www.astpress.ru/Pages/Book.aspx?id=1147" TargetMode="External" /><Relationship Id="rId236" Type="http://schemas.openxmlformats.org/officeDocument/2006/relationships/hyperlink" Target="http://www.astpress.ru/Pages/Book.aspx?id=885" TargetMode="External" /><Relationship Id="rId237" Type="http://schemas.openxmlformats.org/officeDocument/2006/relationships/hyperlink" Target="http://www.astpress.ru/Pages/Book.aspx?id=1109" TargetMode="External" /><Relationship Id="rId238" Type="http://schemas.openxmlformats.org/officeDocument/2006/relationships/hyperlink" Target="http://www.astpress.ru/Pages/Book.aspx?id=120" TargetMode="External" /><Relationship Id="rId239" Type="http://schemas.openxmlformats.org/officeDocument/2006/relationships/hyperlink" Target="http://www.astpress.ru/Pages/Book.aspx?id=985" TargetMode="External" /><Relationship Id="rId240" Type="http://schemas.openxmlformats.org/officeDocument/2006/relationships/hyperlink" Target="http://www.astpress.ru/Pages/Book.aspx?id=1040" TargetMode="External" /><Relationship Id="rId241" Type="http://schemas.openxmlformats.org/officeDocument/2006/relationships/hyperlink" Target="http://www.astpress.ru/Pages/Book.aspx?id=1144" TargetMode="External" /><Relationship Id="rId242" Type="http://schemas.openxmlformats.org/officeDocument/2006/relationships/hyperlink" Target="http://www.astpress.ru/Pages/Book.aspx?id=1145" TargetMode="External" /><Relationship Id="rId243" Type="http://schemas.openxmlformats.org/officeDocument/2006/relationships/hyperlink" Target="http://www.astpress.ru/Pages/Book.aspx?id=975" TargetMode="External" /><Relationship Id="rId244" Type="http://schemas.openxmlformats.org/officeDocument/2006/relationships/hyperlink" Target="http://www.astpress.ru/Pages/Book.aspx?id=118" TargetMode="External" /><Relationship Id="rId245" Type="http://schemas.openxmlformats.org/officeDocument/2006/relationships/hyperlink" Target="http://www.astpress.ru/Pages/Book.aspx?id=1107" TargetMode="External" /><Relationship Id="rId246" Type="http://schemas.openxmlformats.org/officeDocument/2006/relationships/hyperlink" Target="http://www.astpress.ru/Pages/Book.aspx?id=1146" TargetMode="External" /><Relationship Id="rId247" Type="http://schemas.openxmlformats.org/officeDocument/2006/relationships/hyperlink" Target="http://www.astpress.ru/Pages/Book.aspx?id=1149" TargetMode="External" /><Relationship Id="rId248" Type="http://schemas.openxmlformats.org/officeDocument/2006/relationships/hyperlink" Target="http://www.astpress.ru/Pages/Book.aspx?id=783" TargetMode="External" /><Relationship Id="rId249" Type="http://schemas.openxmlformats.org/officeDocument/2006/relationships/hyperlink" Target="http://www.astpress.ru/Pages/Book.aspx?id=507" TargetMode="External" /><Relationship Id="rId250" Type="http://schemas.openxmlformats.org/officeDocument/2006/relationships/hyperlink" Target="http://www.astpress.ru/Pages/Book.aspx?id=1104" TargetMode="External" /><Relationship Id="rId251" Type="http://schemas.openxmlformats.org/officeDocument/2006/relationships/hyperlink" Target="http://www.astpress.ru/Pages/Book.aspx?id=1151" TargetMode="External" /><Relationship Id="rId252" Type="http://schemas.openxmlformats.org/officeDocument/2006/relationships/hyperlink" Target="http://www.astpress.ru/Pages/Book.aspx?id=1014" TargetMode="External" /><Relationship Id="rId253" Type="http://schemas.openxmlformats.org/officeDocument/2006/relationships/hyperlink" Target="http://www.astpress.ru/Pages/Book.aspx?id=1128" TargetMode="External" /><Relationship Id="rId254" Type="http://schemas.openxmlformats.org/officeDocument/2006/relationships/hyperlink" Target="http://www.astpress.ru/Pages/Book.aspx?id=1079" TargetMode="External" /><Relationship Id="rId255" Type="http://schemas.openxmlformats.org/officeDocument/2006/relationships/hyperlink" Target="http://www.astpress.ru/Pages/Book.aspx?id=1106" TargetMode="External" /><Relationship Id="rId256" Type="http://schemas.openxmlformats.org/officeDocument/2006/relationships/hyperlink" Target="http://www.astpress.ru/Pages/Book.aspx?id=1108" TargetMode="External" /><Relationship Id="rId257" Type="http://schemas.openxmlformats.org/officeDocument/2006/relationships/hyperlink" Target="http://www.astpress.ru/Pages/Book.aspx?id=918" TargetMode="External" /><Relationship Id="rId258" Type="http://schemas.openxmlformats.org/officeDocument/2006/relationships/hyperlink" Target="http://www.astpress.ru/Pages/Book.aspx?id=503" TargetMode="External" /><Relationship Id="rId259" Type="http://schemas.openxmlformats.org/officeDocument/2006/relationships/hyperlink" Target="http://www.astpress.ru/Pages/Book.aspx?id=861" TargetMode="External" /><Relationship Id="rId260" Type="http://schemas.openxmlformats.org/officeDocument/2006/relationships/hyperlink" Target="http://www.astpress.ru/Pages/Book.aspx?id=1127" TargetMode="External" /><Relationship Id="rId261" Type="http://schemas.openxmlformats.org/officeDocument/2006/relationships/hyperlink" Target="http://www.astpress.ru/Pages/Book.aspx?id=1023" TargetMode="External" /><Relationship Id="rId262" Type="http://schemas.openxmlformats.org/officeDocument/2006/relationships/hyperlink" Target="http://www.astpress.ru/Pages/Book.aspx?id=1024" TargetMode="External" /><Relationship Id="rId263" Type="http://schemas.openxmlformats.org/officeDocument/2006/relationships/hyperlink" Target="http://www.astpress.ru/Pages/Book.aspx?id=1022" TargetMode="External" /><Relationship Id="rId264" Type="http://schemas.openxmlformats.org/officeDocument/2006/relationships/hyperlink" Target="http://www.astpress.ru/Pages/Book.aspx?id=1019" TargetMode="External" /><Relationship Id="rId265" Type="http://schemas.openxmlformats.org/officeDocument/2006/relationships/hyperlink" Target="http://www.astpress.ru/Pages/Book.aspx?id=1020" TargetMode="External" /><Relationship Id="rId266" Type="http://schemas.openxmlformats.org/officeDocument/2006/relationships/hyperlink" Target="http://www.astpress.ru/Pages/Book.aspx?id=1021" TargetMode="External" /><Relationship Id="rId267" Type="http://schemas.openxmlformats.org/officeDocument/2006/relationships/hyperlink" Target="http://www.astpress.ru/Pages/Book.aspx?id=1012" TargetMode="External" /><Relationship Id="rId268" Type="http://schemas.openxmlformats.org/officeDocument/2006/relationships/hyperlink" Target="http://www.astpress.ru/Pages/Book.aspx?id=1018" TargetMode="External" /><Relationship Id="rId269" Type="http://schemas.openxmlformats.org/officeDocument/2006/relationships/hyperlink" Target="http://www.astpress.ru/Pages/Book.aspx?id=1017" TargetMode="External" /><Relationship Id="rId270" Type="http://schemas.openxmlformats.org/officeDocument/2006/relationships/hyperlink" Target="http://www.astpress.ru/Pages/Book.aspx?id=1016" TargetMode="External" /><Relationship Id="rId271" Type="http://schemas.openxmlformats.org/officeDocument/2006/relationships/hyperlink" Target="http://www.astpress.ru/Pages/Book.aspx?id=1011" TargetMode="External" /><Relationship Id="rId272" Type="http://schemas.openxmlformats.org/officeDocument/2006/relationships/hyperlink" Target="http://www.astpress.ru/Pages/Book.aspx?id=1013" TargetMode="External" /><Relationship Id="rId273" Type="http://schemas.openxmlformats.org/officeDocument/2006/relationships/hyperlink" Target="http://www.astpress.ru/Pages/Book.aspx?id=1134" TargetMode="External" /><Relationship Id="rId274" Type="http://schemas.openxmlformats.org/officeDocument/2006/relationships/hyperlink" Target="http://www.astpress.ru/Pages/Book.aspx?id=1132" TargetMode="External" /><Relationship Id="rId275" Type="http://schemas.openxmlformats.org/officeDocument/2006/relationships/hyperlink" Target="http://www.astpress.ru/Pages/Book.aspx?id=1130" TargetMode="External" /><Relationship Id="rId276" Type="http://schemas.openxmlformats.org/officeDocument/2006/relationships/hyperlink" Target="http://www.astpress.ru/Pages/Book.aspx?id=1131" TargetMode="External" /><Relationship Id="rId277" Type="http://schemas.openxmlformats.org/officeDocument/2006/relationships/hyperlink" Target="http://www.astpress.ru/Pages/Book.aspx?id=1157" TargetMode="External" /><Relationship Id="rId278" Type="http://schemas.openxmlformats.org/officeDocument/2006/relationships/hyperlink" Target="http://www.astpress.ru/Pages/Book.aspx?id=1156" TargetMode="External" /><Relationship Id="rId279" Type="http://schemas.openxmlformats.org/officeDocument/2006/relationships/hyperlink" Target="http://www.astpress.ru/Pages/Book.aspx?id=1155" TargetMode="External" /><Relationship Id="rId280" Type="http://schemas.openxmlformats.org/officeDocument/2006/relationships/hyperlink" Target="http://www.astpress.ru/Pages/Book.aspx?id=1154" TargetMode="External" /><Relationship Id="rId281" Type="http://schemas.openxmlformats.org/officeDocument/2006/relationships/hyperlink" Target="http://www.astpress.ru/Pages/Book.aspx?id=1153" TargetMode="External" /><Relationship Id="rId282" Type="http://schemas.openxmlformats.org/officeDocument/2006/relationships/hyperlink" Target="http://www.astpress.ru/Pages/Book.aspx?id=1152" TargetMode="External" /><Relationship Id="rId283" Type="http://schemas.openxmlformats.org/officeDocument/2006/relationships/hyperlink" Target="http://www.astpress.ru/Pages/Book.aspx?id=409" TargetMode="External" /><Relationship Id="rId284" Type="http://schemas.openxmlformats.org/officeDocument/2006/relationships/hyperlink" Target="http://www.astpress.ru/Pages/Book.aspx?id=689" TargetMode="External" /><Relationship Id="rId285" Type="http://schemas.openxmlformats.org/officeDocument/2006/relationships/hyperlink" Target="http://www.astpress.ru/Pages/Book.aspx?id=683" TargetMode="External" /><Relationship Id="rId286" Type="http://schemas.openxmlformats.org/officeDocument/2006/relationships/hyperlink" Target="http://www.astpress.ru/Pages/Book.aspx?id=680" TargetMode="External" /><Relationship Id="rId287" Type="http://schemas.openxmlformats.org/officeDocument/2006/relationships/hyperlink" Target="http://www.astpress.ru/Pages/Book.aspx?id=686" TargetMode="External" /><Relationship Id="rId288" Type="http://schemas.openxmlformats.org/officeDocument/2006/relationships/hyperlink" Target="http://www.astpress.ru/Pages/Book.aspx?id=677" TargetMode="External" /><Relationship Id="rId289" Type="http://schemas.openxmlformats.org/officeDocument/2006/relationships/hyperlink" Target="http://www.astpress.ru/Pages/Book.aspx?id=674" TargetMode="External" /><Relationship Id="rId290" Type="http://schemas.openxmlformats.org/officeDocument/2006/relationships/comments" Target="../comments1.xml" /><Relationship Id="rId291" Type="http://schemas.openxmlformats.org/officeDocument/2006/relationships/vmlDrawing" Target="../drawings/vmlDrawing1.vml" /><Relationship Id="rId292" Type="http://schemas.openxmlformats.org/officeDocument/2006/relationships/drawing" Target="../drawings/drawing1.xml" /><Relationship Id="rId2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9"/>
  <sheetViews>
    <sheetView tabSelected="1" zoomScale="80" zoomScaleNormal="80" zoomScalePageLayoutView="0" workbookViewId="0" topLeftCell="A1">
      <pane xSplit="5" ySplit="9" topLeftCell="F24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77" sqref="H177"/>
    </sheetView>
  </sheetViews>
  <sheetFormatPr defaultColWidth="9.140625" defaultRowHeight="12.75"/>
  <cols>
    <col min="1" max="1" width="7.421875" style="96" customWidth="1"/>
    <col min="2" max="2" width="7.421875" style="993" customWidth="1"/>
    <col min="3" max="3" width="18.57421875" style="348" customWidth="1"/>
    <col min="4" max="4" width="36.421875" style="348" customWidth="1"/>
    <col min="5" max="5" width="20.7109375" style="381" customWidth="1"/>
    <col min="6" max="6" width="52.00390625" style="348" customWidth="1"/>
    <col min="7" max="7" width="12.57421875" style="381" customWidth="1"/>
    <col min="8" max="8" width="22.140625" style="381" customWidth="1"/>
    <col min="9" max="9" width="7.28125" style="993" customWidth="1"/>
    <col min="10" max="10" width="8.28125" style="348" customWidth="1"/>
    <col min="11" max="11" width="10.28125" style="378" customWidth="1"/>
    <col min="12" max="12" width="8.8515625" style="331" customWidth="1"/>
    <col min="13" max="13" width="6.140625" style="379" customWidth="1"/>
    <col min="14" max="14" width="5.57421875" style="379" customWidth="1"/>
    <col min="15" max="15" width="14.00390625" style="379" customWidth="1"/>
    <col min="16" max="16" width="7.8515625" style="379" customWidth="1"/>
    <col min="17" max="17" width="9.00390625" style="379" customWidth="1"/>
    <col min="18" max="18" width="17.7109375" style="331" customWidth="1"/>
    <col min="19" max="19" width="26.7109375" style="96" customWidth="1"/>
    <col min="20" max="20" width="12.7109375" style="380" customWidth="1"/>
    <col min="21" max="21" width="26.28125" style="380" customWidth="1"/>
    <col min="22" max="22" width="0" style="242" hidden="1" customWidth="1"/>
    <col min="23" max="16384" width="9.140625" style="348" customWidth="1"/>
  </cols>
  <sheetData>
    <row r="1" spans="1:13" ht="12.75">
      <c r="A1" s="86"/>
      <c r="B1" s="992"/>
      <c r="C1" s="96"/>
      <c r="D1" s="375"/>
      <c r="E1" s="376"/>
      <c r="F1" s="376"/>
      <c r="G1" s="377"/>
      <c r="H1" s="86"/>
      <c r="I1" s="1050" t="s">
        <v>1206</v>
      </c>
      <c r="J1" s="1"/>
      <c r="M1" s="331"/>
    </row>
    <row r="2" spans="1:20" ht="12.75">
      <c r="A2" s="86"/>
      <c r="B2" s="992"/>
      <c r="C2" s="96"/>
      <c r="F2" s="376"/>
      <c r="G2" s="377"/>
      <c r="H2" s="86"/>
      <c r="I2" s="1051" t="s">
        <v>1207</v>
      </c>
      <c r="J2" s="2"/>
      <c r="M2" s="331"/>
      <c r="T2" s="382"/>
    </row>
    <row r="3" spans="1:20" ht="16.5" thickBot="1">
      <c r="A3" s="86"/>
      <c r="B3" s="992"/>
      <c r="C3" s="96"/>
      <c r="D3" s="375"/>
      <c r="E3" s="376"/>
      <c r="F3" s="3"/>
      <c r="G3" s="383"/>
      <c r="H3" s="86"/>
      <c r="I3" s="1051" t="s">
        <v>1208</v>
      </c>
      <c r="J3" s="2"/>
      <c r="M3" s="331"/>
      <c r="R3" s="373"/>
      <c r="T3" s="382"/>
    </row>
    <row r="4" spans="1:20" ht="21" thickBot="1">
      <c r="A4" s="86"/>
      <c r="B4" s="992"/>
      <c r="C4" s="96"/>
      <c r="E4" s="376"/>
      <c r="F4" s="384" t="s">
        <v>1209</v>
      </c>
      <c r="G4" s="154">
        <v>0.03</v>
      </c>
      <c r="H4" s="331"/>
      <c r="I4" s="1052" t="s">
        <v>1210</v>
      </c>
      <c r="J4" s="4"/>
      <c r="M4" s="331"/>
      <c r="R4" s="373"/>
      <c r="T4" s="382"/>
    </row>
    <row r="5" spans="1:13" ht="21" thickBot="1">
      <c r="A5" s="86"/>
      <c r="B5" s="992"/>
      <c r="C5" s="131" t="s">
        <v>969</v>
      </c>
      <c r="D5" s="375"/>
      <c r="E5" s="376"/>
      <c r="F5" s="385" t="s">
        <v>1211</v>
      </c>
      <c r="G5" s="386">
        <f>SUMPRODUCT($J$9:$J$629,$K$9:$K$629)</f>
        <v>0</v>
      </c>
      <c r="I5" s="1052" t="s">
        <v>1212</v>
      </c>
      <c r="J5" s="4"/>
      <c r="M5" s="331"/>
    </row>
    <row r="6" ht="13.5" thickBot="1"/>
    <row r="7" spans="1:21" ht="47.25" customHeight="1" thickBot="1">
      <c r="A7" s="1119" t="s">
        <v>1213</v>
      </c>
      <c r="B7" s="994" t="s">
        <v>1484</v>
      </c>
      <c r="C7" s="1120" t="s">
        <v>1214</v>
      </c>
      <c r="D7" s="1121" t="s">
        <v>1215</v>
      </c>
      <c r="E7" s="1122" t="s">
        <v>1216</v>
      </c>
      <c r="F7" s="1122" t="s">
        <v>1217</v>
      </c>
      <c r="G7" s="387" t="s">
        <v>1218</v>
      </c>
      <c r="H7" s="1123" t="s">
        <v>1219</v>
      </c>
      <c r="I7" s="1053" t="s">
        <v>1220</v>
      </c>
      <c r="J7" s="1118" t="s">
        <v>1221</v>
      </c>
      <c r="K7" s="1117" t="s">
        <v>1222</v>
      </c>
      <c r="L7" s="994" t="s">
        <v>1223</v>
      </c>
      <c r="M7" s="994" t="s">
        <v>1224</v>
      </c>
      <c r="N7" s="183" t="s">
        <v>472</v>
      </c>
      <c r="O7" s="1115" t="s">
        <v>1225</v>
      </c>
      <c r="P7" s="374" t="s">
        <v>1226</v>
      </c>
      <c r="Q7" s="1116" t="s">
        <v>1227</v>
      </c>
      <c r="R7" s="1114" t="s">
        <v>1571</v>
      </c>
      <c r="S7" s="1115" t="s">
        <v>1923</v>
      </c>
      <c r="T7" s="144" t="s">
        <v>1572</v>
      </c>
      <c r="U7" s="144" t="s">
        <v>311</v>
      </c>
    </row>
    <row r="8" spans="1:21" ht="21" customHeight="1" thickBot="1">
      <c r="A8" s="1558"/>
      <c r="B8" s="1559" t="s">
        <v>937</v>
      </c>
      <c r="C8" s="1560"/>
      <c r="D8" s="1561"/>
      <c r="E8" s="1562"/>
      <c r="F8" s="1563" t="s">
        <v>939</v>
      </c>
      <c r="G8" s="1564"/>
      <c r="H8" s="1565"/>
      <c r="I8" s="1566"/>
      <c r="J8" s="1566"/>
      <c r="K8" s="1567"/>
      <c r="L8" s="1568" t="s">
        <v>938</v>
      </c>
      <c r="M8" s="1569"/>
      <c r="N8" s="1570"/>
      <c r="O8" s="1571"/>
      <c r="P8" s="1572"/>
      <c r="Q8" s="1572"/>
      <c r="R8" s="1573"/>
      <c r="S8" s="1574"/>
      <c r="T8" s="1575"/>
      <c r="U8" s="1579"/>
    </row>
    <row r="9" spans="1:21" ht="35.25" customHeight="1" thickBot="1">
      <c r="A9" s="1109" t="s">
        <v>1228</v>
      </c>
      <c r="B9" s="995"/>
      <c r="C9" s="105"/>
      <c r="D9" s="106"/>
      <c r="E9" s="106"/>
      <c r="F9" s="155"/>
      <c r="G9" s="388"/>
      <c r="H9" s="107" t="s">
        <v>1229</v>
      </c>
      <c r="I9" s="107"/>
      <c r="J9" s="108"/>
      <c r="K9" s="187"/>
      <c r="L9" s="109"/>
      <c r="M9" s="109"/>
      <c r="N9" s="109"/>
      <c r="O9" s="110"/>
      <c r="P9" s="110"/>
      <c r="Q9" s="110"/>
      <c r="R9" s="109"/>
      <c r="S9" s="105"/>
      <c r="T9" s="113"/>
      <c r="U9" s="914"/>
    </row>
    <row r="10" spans="1:22" ht="26.25" customHeight="1">
      <c r="A10" s="1302">
        <v>71858</v>
      </c>
      <c r="B10" s="996"/>
      <c r="C10" s="1742" t="s">
        <v>803</v>
      </c>
      <c r="D10" s="1792" t="s">
        <v>1379</v>
      </c>
      <c r="E10" s="1795" t="s">
        <v>805</v>
      </c>
      <c r="F10" s="909" t="s">
        <v>802</v>
      </c>
      <c r="G10" s="1303"/>
      <c r="H10" s="1304" t="s">
        <v>1238</v>
      </c>
      <c r="I10" s="1305" t="s">
        <v>1239</v>
      </c>
      <c r="J10" s="1306"/>
      <c r="K10" s="960">
        <f>ROUND(344*(1-$G$4),2)</f>
        <v>333.68</v>
      </c>
      <c r="L10" s="715">
        <v>2017</v>
      </c>
      <c r="M10" s="715" t="s">
        <v>1231</v>
      </c>
      <c r="N10" s="715">
        <v>10</v>
      </c>
      <c r="O10" s="1307" t="s">
        <v>806</v>
      </c>
      <c r="P10" s="961">
        <v>80</v>
      </c>
      <c r="Q10" s="1307" t="s">
        <v>1235</v>
      </c>
      <c r="R10" s="1796" t="s">
        <v>804</v>
      </c>
      <c r="S10" s="714" t="s">
        <v>1888</v>
      </c>
      <c r="T10" s="1308">
        <v>0.39</v>
      </c>
      <c r="U10" s="962" t="s">
        <v>313</v>
      </c>
      <c r="V10" s="360"/>
    </row>
    <row r="11" spans="1:22" ht="26.25" customHeight="1">
      <c r="A11" s="897">
        <v>71784</v>
      </c>
      <c r="B11" s="998"/>
      <c r="C11" s="1743" t="s">
        <v>620</v>
      </c>
      <c r="D11" s="1641" t="s">
        <v>390</v>
      </c>
      <c r="E11" s="1797" t="s">
        <v>621</v>
      </c>
      <c r="F11" s="247" t="s">
        <v>619</v>
      </c>
      <c r="G11" s="883"/>
      <c r="H11" s="257" t="s">
        <v>1238</v>
      </c>
      <c r="I11" s="1055" t="s">
        <v>1239</v>
      </c>
      <c r="J11" s="230"/>
      <c r="K11" s="188">
        <v>186</v>
      </c>
      <c r="L11" s="278">
        <v>2017</v>
      </c>
      <c r="M11" s="319" t="s">
        <v>1231</v>
      </c>
      <c r="N11" s="278">
        <v>25</v>
      </c>
      <c r="O11" s="884" t="s">
        <v>1255</v>
      </c>
      <c r="P11" s="278">
        <v>64</v>
      </c>
      <c r="Q11" s="279" t="s">
        <v>1235</v>
      </c>
      <c r="R11" s="1798">
        <v>9785990752764</v>
      </c>
      <c r="S11" s="885" t="s">
        <v>1888</v>
      </c>
      <c r="T11" s="966">
        <v>0.19</v>
      </c>
      <c r="U11" s="964" t="s">
        <v>313</v>
      </c>
      <c r="V11" s="360"/>
    </row>
    <row r="12" spans="1:22" ht="26.25" customHeight="1">
      <c r="A12" s="910">
        <v>71856</v>
      </c>
      <c r="B12" s="997"/>
      <c r="C12" s="1744" t="s">
        <v>808</v>
      </c>
      <c r="D12" s="1641" t="s">
        <v>467</v>
      </c>
      <c r="E12" s="1799" t="s">
        <v>624</v>
      </c>
      <c r="F12" s="247" t="s">
        <v>807</v>
      </c>
      <c r="G12" s="390"/>
      <c r="H12" s="257" t="s">
        <v>1238</v>
      </c>
      <c r="I12" s="1054" t="s">
        <v>1546</v>
      </c>
      <c r="J12" s="230"/>
      <c r="K12" s="188">
        <f>ROUND(220*(1-$G$4),2)</f>
        <v>213.4</v>
      </c>
      <c r="L12" s="258">
        <v>2017</v>
      </c>
      <c r="M12" s="258" t="s">
        <v>1231</v>
      </c>
      <c r="N12" s="258">
        <v>20</v>
      </c>
      <c r="O12" s="389" t="s">
        <v>765</v>
      </c>
      <c r="P12" s="258">
        <v>32</v>
      </c>
      <c r="Q12" s="389" t="s">
        <v>1235</v>
      </c>
      <c r="R12" s="1798" t="s">
        <v>809</v>
      </c>
      <c r="S12" s="963" t="s">
        <v>1888</v>
      </c>
      <c r="T12" s="965">
        <v>0.3</v>
      </c>
      <c r="U12" s="964" t="s">
        <v>312</v>
      </c>
      <c r="V12" s="360"/>
    </row>
    <row r="13" spans="1:22" ht="26.25" customHeight="1">
      <c r="A13" s="910">
        <v>71855</v>
      </c>
      <c r="B13" s="997"/>
      <c r="C13" s="1744" t="s">
        <v>810</v>
      </c>
      <c r="D13" s="1641" t="s">
        <v>467</v>
      </c>
      <c r="E13" s="1799" t="s">
        <v>624</v>
      </c>
      <c r="F13" s="247" t="s">
        <v>812</v>
      </c>
      <c r="G13" s="390"/>
      <c r="H13" s="257" t="s">
        <v>1238</v>
      </c>
      <c r="I13" s="1054" t="s">
        <v>1546</v>
      </c>
      <c r="J13" s="230"/>
      <c r="K13" s="188">
        <f>ROUND(220*(1-$G$4),2)</f>
        <v>213.4</v>
      </c>
      <c r="L13" s="258">
        <v>2017</v>
      </c>
      <c r="M13" s="258" t="s">
        <v>1231</v>
      </c>
      <c r="N13" s="258">
        <v>20</v>
      </c>
      <c r="O13" s="389" t="s">
        <v>765</v>
      </c>
      <c r="P13" s="258">
        <v>32</v>
      </c>
      <c r="Q13" s="389" t="s">
        <v>1235</v>
      </c>
      <c r="R13" s="1798" t="s">
        <v>811</v>
      </c>
      <c r="S13" s="963" t="s">
        <v>1888</v>
      </c>
      <c r="T13" s="965">
        <v>0.3</v>
      </c>
      <c r="U13" s="964" t="s">
        <v>312</v>
      </c>
      <c r="V13" s="360"/>
    </row>
    <row r="14" spans="1:22" ht="26.25" customHeight="1">
      <c r="A14" s="910">
        <v>71854</v>
      </c>
      <c r="B14" s="997"/>
      <c r="C14" s="1744" t="s">
        <v>814</v>
      </c>
      <c r="D14" s="1641" t="s">
        <v>467</v>
      </c>
      <c r="E14" s="1799" t="s">
        <v>816</v>
      </c>
      <c r="F14" s="247" t="s">
        <v>813</v>
      </c>
      <c r="G14" s="390"/>
      <c r="H14" s="257" t="s">
        <v>1238</v>
      </c>
      <c r="I14" s="1054" t="s">
        <v>1546</v>
      </c>
      <c r="J14" s="230"/>
      <c r="K14" s="188">
        <f>ROUND(100*(1-$G$4),2)</f>
        <v>97</v>
      </c>
      <c r="L14" s="258">
        <v>2017</v>
      </c>
      <c r="M14" s="258" t="s">
        <v>1231</v>
      </c>
      <c r="N14" s="258">
        <v>30</v>
      </c>
      <c r="O14" s="389" t="s">
        <v>1255</v>
      </c>
      <c r="P14" s="258">
        <v>32</v>
      </c>
      <c r="Q14" s="389" t="s">
        <v>1235</v>
      </c>
      <c r="R14" s="1798" t="s">
        <v>815</v>
      </c>
      <c r="S14" s="963" t="s">
        <v>1888</v>
      </c>
      <c r="T14" s="965">
        <v>0.15</v>
      </c>
      <c r="U14" s="964" t="s">
        <v>312</v>
      </c>
      <c r="V14" s="360"/>
    </row>
    <row r="15" spans="1:22" ht="26.25" customHeight="1">
      <c r="A15" s="910">
        <v>71860</v>
      </c>
      <c r="B15" s="997"/>
      <c r="C15" s="1744" t="s">
        <v>818</v>
      </c>
      <c r="D15" s="1641" t="s">
        <v>467</v>
      </c>
      <c r="E15" s="1799" t="s">
        <v>816</v>
      </c>
      <c r="F15" s="247" t="s">
        <v>817</v>
      </c>
      <c r="G15" s="390"/>
      <c r="H15" s="257" t="s">
        <v>1238</v>
      </c>
      <c r="I15" s="1054" t="s">
        <v>1546</v>
      </c>
      <c r="J15" s="230"/>
      <c r="K15" s="188">
        <f>ROUND(100*(1-$G$4),2)</f>
        <v>97</v>
      </c>
      <c r="L15" s="258">
        <v>2017</v>
      </c>
      <c r="M15" s="258" t="s">
        <v>1231</v>
      </c>
      <c r="N15" s="258">
        <v>30</v>
      </c>
      <c r="O15" s="389" t="s">
        <v>1255</v>
      </c>
      <c r="P15" s="258">
        <v>32</v>
      </c>
      <c r="Q15" s="389" t="s">
        <v>1235</v>
      </c>
      <c r="R15" s="1798" t="s">
        <v>819</v>
      </c>
      <c r="S15" s="963" t="s">
        <v>1888</v>
      </c>
      <c r="T15" s="965">
        <v>0.15</v>
      </c>
      <c r="U15" s="964" t="s">
        <v>312</v>
      </c>
      <c r="V15" s="360"/>
    </row>
    <row r="16" spans="1:22" ht="26.25" customHeight="1">
      <c r="A16" s="910">
        <v>71853</v>
      </c>
      <c r="B16" s="997"/>
      <c r="C16" s="1744" t="s">
        <v>820</v>
      </c>
      <c r="D16" s="1641" t="s">
        <v>467</v>
      </c>
      <c r="E16" s="1799" t="s">
        <v>816</v>
      </c>
      <c r="F16" s="247" t="s">
        <v>910</v>
      </c>
      <c r="G16" s="390"/>
      <c r="H16" s="257" t="s">
        <v>1238</v>
      </c>
      <c r="I16" s="1054" t="s">
        <v>1546</v>
      </c>
      <c r="J16" s="230"/>
      <c r="K16" s="188">
        <f>ROUND(100*(1-$G$4),2)</f>
        <v>97</v>
      </c>
      <c r="L16" s="258">
        <v>2017</v>
      </c>
      <c r="M16" s="258" t="s">
        <v>1231</v>
      </c>
      <c r="N16" s="258">
        <v>30</v>
      </c>
      <c r="O16" s="389" t="s">
        <v>1255</v>
      </c>
      <c r="P16" s="258">
        <v>32</v>
      </c>
      <c r="Q16" s="389" t="s">
        <v>1235</v>
      </c>
      <c r="R16" s="1798" t="s">
        <v>821</v>
      </c>
      <c r="S16" s="963" t="s">
        <v>1888</v>
      </c>
      <c r="T16" s="965">
        <v>0.15</v>
      </c>
      <c r="U16" s="964" t="s">
        <v>312</v>
      </c>
      <c r="V16" s="360"/>
    </row>
    <row r="17" spans="1:22" ht="26.25" customHeight="1">
      <c r="A17" s="910">
        <v>71859</v>
      </c>
      <c r="B17" s="997"/>
      <c r="C17" s="1744" t="s">
        <v>823</v>
      </c>
      <c r="D17" s="1641" t="s">
        <v>467</v>
      </c>
      <c r="E17" s="1799" t="s">
        <v>816</v>
      </c>
      <c r="F17" s="247" t="s">
        <v>822</v>
      </c>
      <c r="G17" s="390"/>
      <c r="H17" s="257" t="s">
        <v>1238</v>
      </c>
      <c r="I17" s="1054" t="s">
        <v>1546</v>
      </c>
      <c r="J17" s="230"/>
      <c r="K17" s="188">
        <f>ROUND(100*(1-$G$4),2)</f>
        <v>97</v>
      </c>
      <c r="L17" s="258">
        <v>2017</v>
      </c>
      <c r="M17" s="258" t="s">
        <v>1231</v>
      </c>
      <c r="N17" s="258">
        <v>30</v>
      </c>
      <c r="O17" s="389" t="s">
        <v>1255</v>
      </c>
      <c r="P17" s="258">
        <v>32</v>
      </c>
      <c r="Q17" s="389" t="s">
        <v>1235</v>
      </c>
      <c r="R17" s="1798" t="s">
        <v>824</v>
      </c>
      <c r="S17" s="963" t="s">
        <v>1888</v>
      </c>
      <c r="T17" s="965">
        <v>0.15</v>
      </c>
      <c r="U17" s="964" t="s">
        <v>312</v>
      </c>
      <c r="V17" s="360"/>
    </row>
    <row r="18" spans="1:22" ht="26.25" customHeight="1">
      <c r="A18" s="1740">
        <v>71969</v>
      </c>
      <c r="B18" s="998"/>
      <c r="C18" s="1743" t="s">
        <v>945</v>
      </c>
      <c r="D18" s="1641" t="s">
        <v>962</v>
      </c>
      <c r="E18" s="1797" t="s">
        <v>944</v>
      </c>
      <c r="F18" s="247" t="s">
        <v>947</v>
      </c>
      <c r="G18" s="883"/>
      <c r="H18" s="257" t="s">
        <v>1238</v>
      </c>
      <c r="I18" s="1055" t="s">
        <v>1546</v>
      </c>
      <c r="J18" s="230"/>
      <c r="K18" s="188">
        <f>ROUND(80*(1-$G$4),2)</f>
        <v>77.6</v>
      </c>
      <c r="L18" s="278">
        <v>2017</v>
      </c>
      <c r="M18" s="319">
        <v>0.1</v>
      </c>
      <c r="N18" s="278">
        <v>50</v>
      </c>
      <c r="O18" s="884" t="s">
        <v>1233</v>
      </c>
      <c r="P18" s="278">
        <v>24</v>
      </c>
      <c r="Q18" s="279" t="s">
        <v>1235</v>
      </c>
      <c r="R18" s="1798">
        <v>9785990940994</v>
      </c>
      <c r="S18" s="885" t="s">
        <v>1888</v>
      </c>
      <c r="T18" s="965">
        <v>0.1</v>
      </c>
      <c r="U18" s="964" t="s">
        <v>312</v>
      </c>
      <c r="V18" s="360"/>
    </row>
    <row r="19" spans="1:22" ht="26.25" customHeight="1">
      <c r="A19" s="1740">
        <v>71867</v>
      </c>
      <c r="B19" s="998"/>
      <c r="C19" s="1743" t="s">
        <v>968</v>
      </c>
      <c r="D19" s="1806" t="s">
        <v>1006</v>
      </c>
      <c r="E19" s="1797" t="s">
        <v>904</v>
      </c>
      <c r="F19" s="247" t="s">
        <v>967</v>
      </c>
      <c r="G19" s="883"/>
      <c r="H19" s="257" t="s">
        <v>1238</v>
      </c>
      <c r="I19" s="1055"/>
      <c r="J19" s="230"/>
      <c r="K19" s="188">
        <f>ROUND(500*(1-$G$4),2)</f>
        <v>485</v>
      </c>
      <c r="L19" s="278">
        <v>2017</v>
      </c>
      <c r="M19" s="319" t="s">
        <v>1231</v>
      </c>
      <c r="N19" s="278">
        <v>16</v>
      </c>
      <c r="O19" s="884" t="s">
        <v>1469</v>
      </c>
      <c r="P19" s="278">
        <v>368</v>
      </c>
      <c r="Q19" s="279" t="s">
        <v>1010</v>
      </c>
      <c r="R19" s="1798">
        <v>9785990926219</v>
      </c>
      <c r="S19" s="885" t="s">
        <v>1808</v>
      </c>
      <c r="T19" s="965">
        <v>0.2</v>
      </c>
      <c r="U19" s="964" t="s">
        <v>309</v>
      </c>
      <c r="V19" s="360"/>
    </row>
    <row r="20" spans="1:22" ht="26.25" customHeight="1">
      <c r="A20" s="1740">
        <v>71971</v>
      </c>
      <c r="B20" s="998"/>
      <c r="C20" s="1743" t="s">
        <v>948</v>
      </c>
      <c r="D20" s="1641" t="s">
        <v>962</v>
      </c>
      <c r="E20" s="1797" t="s">
        <v>944</v>
      </c>
      <c r="F20" s="247" t="s">
        <v>950</v>
      </c>
      <c r="G20" s="883"/>
      <c r="H20" s="257" t="s">
        <v>1238</v>
      </c>
      <c r="I20" s="1055" t="s">
        <v>1546</v>
      </c>
      <c r="J20" s="230"/>
      <c r="K20" s="188">
        <f>ROUND(80*(1-$G$4),2)</f>
        <v>77.6</v>
      </c>
      <c r="L20" s="278">
        <v>2017</v>
      </c>
      <c r="M20" s="319">
        <v>0.1</v>
      </c>
      <c r="N20" s="278">
        <v>50</v>
      </c>
      <c r="O20" s="884" t="s">
        <v>1233</v>
      </c>
      <c r="P20" s="278">
        <v>24</v>
      </c>
      <c r="Q20" s="279" t="s">
        <v>1235</v>
      </c>
      <c r="R20" s="1798">
        <v>9785990940963</v>
      </c>
      <c r="S20" s="885" t="s">
        <v>1888</v>
      </c>
      <c r="T20" s="965">
        <v>0.1</v>
      </c>
      <c r="U20" s="964" t="s">
        <v>312</v>
      </c>
      <c r="V20" s="360"/>
    </row>
    <row r="21" spans="1:22" ht="26.25" customHeight="1">
      <c r="A21" s="1740">
        <v>71972</v>
      </c>
      <c r="B21" s="998"/>
      <c r="C21" s="1743" t="s">
        <v>951</v>
      </c>
      <c r="D21" s="1641" t="s">
        <v>962</v>
      </c>
      <c r="E21" s="1797" t="s">
        <v>944</v>
      </c>
      <c r="F21" s="247" t="s">
        <v>953</v>
      </c>
      <c r="G21" s="883"/>
      <c r="H21" s="257" t="s">
        <v>1238</v>
      </c>
      <c r="I21" s="1055" t="s">
        <v>1546</v>
      </c>
      <c r="J21" s="230"/>
      <c r="K21" s="188">
        <f>ROUND(80*(1-$G$4),2)</f>
        <v>77.6</v>
      </c>
      <c r="L21" s="278">
        <v>2017</v>
      </c>
      <c r="M21" s="319">
        <v>0.1</v>
      </c>
      <c r="N21" s="278">
        <v>50</v>
      </c>
      <c r="O21" s="884" t="s">
        <v>1233</v>
      </c>
      <c r="P21" s="278">
        <v>24</v>
      </c>
      <c r="Q21" s="279" t="s">
        <v>1235</v>
      </c>
      <c r="R21" s="1798">
        <v>9785990940970</v>
      </c>
      <c r="S21" s="885" t="s">
        <v>1888</v>
      </c>
      <c r="T21" s="965">
        <v>0.1</v>
      </c>
      <c r="U21" s="964" t="s">
        <v>312</v>
      </c>
      <c r="V21" s="360"/>
    </row>
    <row r="22" spans="1:22" ht="26.25" customHeight="1">
      <c r="A22" s="1740">
        <v>71973</v>
      </c>
      <c r="B22" s="998"/>
      <c r="C22" s="1743" t="s">
        <v>954</v>
      </c>
      <c r="D22" s="1641" t="s">
        <v>962</v>
      </c>
      <c r="E22" s="1797" t="s">
        <v>944</v>
      </c>
      <c r="F22" s="247" t="s">
        <v>956</v>
      </c>
      <c r="G22" s="883"/>
      <c r="H22" s="257" t="s">
        <v>1238</v>
      </c>
      <c r="I22" s="1055" t="s">
        <v>1546</v>
      </c>
      <c r="J22" s="230"/>
      <c r="K22" s="188">
        <f>ROUND(80*(1-$G$4),2)</f>
        <v>77.6</v>
      </c>
      <c r="L22" s="278">
        <v>2017</v>
      </c>
      <c r="M22" s="319">
        <v>0.1</v>
      </c>
      <c r="N22" s="278">
        <v>50</v>
      </c>
      <c r="O22" s="884" t="s">
        <v>1233</v>
      </c>
      <c r="P22" s="278">
        <v>24</v>
      </c>
      <c r="Q22" s="279" t="s">
        <v>1235</v>
      </c>
      <c r="R22" s="1798">
        <v>9785990940987</v>
      </c>
      <c r="S22" s="885" t="s">
        <v>1888</v>
      </c>
      <c r="T22" s="965">
        <v>0.1</v>
      </c>
      <c r="U22" s="964" t="s">
        <v>312</v>
      </c>
      <c r="V22" s="360"/>
    </row>
    <row r="23" spans="1:22" ht="26.25" customHeight="1">
      <c r="A23" s="1787">
        <v>71977</v>
      </c>
      <c r="B23" s="997"/>
      <c r="C23" s="1788" t="s">
        <v>964</v>
      </c>
      <c r="D23" s="1643" t="s">
        <v>305</v>
      </c>
      <c r="E23" s="1799" t="s">
        <v>282</v>
      </c>
      <c r="F23" s="247" t="s">
        <v>963</v>
      </c>
      <c r="G23" s="1789"/>
      <c r="H23" s="1805" t="s">
        <v>1238</v>
      </c>
      <c r="I23" s="1727" t="s">
        <v>1239</v>
      </c>
      <c r="J23" s="230"/>
      <c r="K23" s="188">
        <f>ROUND(219*(1-$G$4),2)</f>
        <v>212.43</v>
      </c>
      <c r="L23" s="258">
        <v>2017</v>
      </c>
      <c r="M23" s="319">
        <v>0.1</v>
      </c>
      <c r="N23" s="258">
        <v>20</v>
      </c>
      <c r="O23" s="389" t="s">
        <v>1255</v>
      </c>
      <c r="P23" s="258">
        <v>32</v>
      </c>
      <c r="Q23" s="389" t="s">
        <v>1235</v>
      </c>
      <c r="R23" s="1798">
        <v>9785990940864</v>
      </c>
      <c r="S23" s="1647" t="s">
        <v>1888</v>
      </c>
      <c r="T23" s="1790">
        <v>0.235</v>
      </c>
      <c r="U23" s="1791" t="s">
        <v>312</v>
      </c>
      <c r="V23" s="360"/>
    </row>
    <row r="24" spans="1:22" ht="26.25" customHeight="1">
      <c r="A24" s="1787">
        <v>71978</v>
      </c>
      <c r="B24" s="997"/>
      <c r="C24" s="1788" t="s">
        <v>966</v>
      </c>
      <c r="D24" s="1643" t="s">
        <v>305</v>
      </c>
      <c r="E24" s="1799" t="s">
        <v>282</v>
      </c>
      <c r="F24" s="247" t="s">
        <v>965</v>
      </c>
      <c r="G24" s="1789"/>
      <c r="H24" s="1805" t="s">
        <v>1238</v>
      </c>
      <c r="I24" s="1727" t="s">
        <v>1239</v>
      </c>
      <c r="J24" s="230"/>
      <c r="K24" s="188">
        <f>ROUND(219*(1-$G$4),2)</f>
        <v>212.43</v>
      </c>
      <c r="L24" s="258">
        <v>2017</v>
      </c>
      <c r="M24" s="319">
        <v>0.1</v>
      </c>
      <c r="N24" s="258">
        <v>20</v>
      </c>
      <c r="O24" s="389" t="s">
        <v>1255</v>
      </c>
      <c r="P24" s="258">
        <v>32</v>
      </c>
      <c r="Q24" s="389" t="s">
        <v>1235</v>
      </c>
      <c r="R24" s="1798">
        <v>9785990940840</v>
      </c>
      <c r="S24" s="1647" t="s">
        <v>1888</v>
      </c>
      <c r="T24" s="1790">
        <v>0.235</v>
      </c>
      <c r="U24" s="1791" t="s">
        <v>312</v>
      </c>
      <c r="V24" s="360"/>
    </row>
    <row r="25" spans="1:22" ht="26.25" customHeight="1">
      <c r="A25" s="1641">
        <v>71948</v>
      </c>
      <c r="B25" s="1642"/>
      <c r="C25" s="1643" t="s">
        <v>914</v>
      </c>
      <c r="D25" s="1793" t="s">
        <v>791</v>
      </c>
      <c r="E25" s="1797" t="s">
        <v>530</v>
      </c>
      <c r="F25" s="1644" t="s">
        <v>913</v>
      </c>
      <c r="G25" s="1645"/>
      <c r="H25" s="1640" t="s">
        <v>1238</v>
      </c>
      <c r="I25" s="1054" t="s">
        <v>1546</v>
      </c>
      <c r="J25" s="1645"/>
      <c r="K25" s="188">
        <f>ROUND(149*(1-$G$4),2)</f>
        <v>144.53</v>
      </c>
      <c r="L25" s="258">
        <v>2017</v>
      </c>
      <c r="M25" s="319">
        <v>0.1</v>
      </c>
      <c r="N25" s="1646">
        <v>30</v>
      </c>
      <c r="O25" s="279" t="s">
        <v>1255</v>
      </c>
      <c r="P25" s="279">
        <v>8</v>
      </c>
      <c r="Q25" s="279" t="s">
        <v>1235</v>
      </c>
      <c r="R25" s="1798">
        <v>9785944642844</v>
      </c>
      <c r="S25" s="1647" t="s">
        <v>454</v>
      </c>
      <c r="T25" s="965">
        <v>0.11</v>
      </c>
      <c r="U25" s="1648" t="s">
        <v>453</v>
      </c>
      <c r="V25" s="360"/>
    </row>
    <row r="26" spans="1:22" ht="26.25" customHeight="1">
      <c r="A26" s="1641">
        <v>71949</v>
      </c>
      <c r="B26" s="1642"/>
      <c r="C26" s="1643" t="s">
        <v>916</v>
      </c>
      <c r="D26" s="1793" t="s">
        <v>791</v>
      </c>
      <c r="E26" s="1797" t="s">
        <v>530</v>
      </c>
      <c r="F26" s="1644" t="s">
        <v>915</v>
      </c>
      <c r="G26" s="1645"/>
      <c r="H26" s="1640" t="s">
        <v>1238</v>
      </c>
      <c r="I26" s="1054" t="s">
        <v>1546</v>
      </c>
      <c r="J26" s="1645"/>
      <c r="K26" s="188">
        <f>ROUND(149*(1-$G$4),2)</f>
        <v>144.53</v>
      </c>
      <c r="L26" s="258">
        <v>2017</v>
      </c>
      <c r="M26" s="319">
        <v>0.1</v>
      </c>
      <c r="N26" s="1646">
        <v>30</v>
      </c>
      <c r="O26" s="279" t="s">
        <v>1255</v>
      </c>
      <c r="P26" s="279">
        <v>8</v>
      </c>
      <c r="Q26" s="279" t="s">
        <v>1235</v>
      </c>
      <c r="R26" s="1798">
        <v>9785944642820</v>
      </c>
      <c r="S26" s="1647" t="s">
        <v>454</v>
      </c>
      <c r="T26" s="965">
        <v>0.11</v>
      </c>
      <c r="U26" s="1648" t="s">
        <v>453</v>
      </c>
      <c r="V26" s="360"/>
    </row>
    <row r="27" spans="1:22" ht="26.25" customHeight="1">
      <c r="A27" s="897">
        <v>71822</v>
      </c>
      <c r="B27" s="998"/>
      <c r="C27" s="1743" t="s">
        <v>793</v>
      </c>
      <c r="D27" s="1641" t="s">
        <v>791</v>
      </c>
      <c r="E27" s="1797" t="s">
        <v>778</v>
      </c>
      <c r="F27" s="247" t="s">
        <v>792</v>
      </c>
      <c r="G27" s="883"/>
      <c r="H27" s="257" t="s">
        <v>1238</v>
      </c>
      <c r="I27" s="1055" t="s">
        <v>1546</v>
      </c>
      <c r="J27" s="230"/>
      <c r="K27" s="188">
        <f>ROUND(149*(1-$G$4),2)</f>
        <v>144.53</v>
      </c>
      <c r="L27" s="278">
        <v>2017</v>
      </c>
      <c r="M27" s="319">
        <v>0.1</v>
      </c>
      <c r="N27" s="278">
        <v>50</v>
      </c>
      <c r="O27" s="884" t="s">
        <v>1255</v>
      </c>
      <c r="P27" s="278">
        <v>8</v>
      </c>
      <c r="Q27" s="279" t="s">
        <v>1235</v>
      </c>
      <c r="R27" s="1798">
        <v>9785944642790</v>
      </c>
      <c r="S27" s="885" t="s">
        <v>454</v>
      </c>
      <c r="T27" s="965">
        <v>0.11</v>
      </c>
      <c r="U27" s="964" t="s">
        <v>453</v>
      </c>
      <c r="V27" s="360"/>
    </row>
    <row r="28" spans="1:22" ht="26.25" customHeight="1">
      <c r="A28" s="1740">
        <v>71823</v>
      </c>
      <c r="B28" s="998"/>
      <c r="C28" s="1743" t="s">
        <v>795</v>
      </c>
      <c r="D28" s="1641" t="s">
        <v>791</v>
      </c>
      <c r="E28" s="1797" t="s">
        <v>778</v>
      </c>
      <c r="F28" s="247" t="s">
        <v>794</v>
      </c>
      <c r="G28" s="883"/>
      <c r="H28" s="257" t="s">
        <v>1238</v>
      </c>
      <c r="I28" s="1055" t="s">
        <v>1546</v>
      </c>
      <c r="J28" s="230"/>
      <c r="K28" s="188">
        <f>ROUND(149*(1-$G$4),2)</f>
        <v>144.53</v>
      </c>
      <c r="L28" s="278">
        <v>2017</v>
      </c>
      <c r="M28" s="319">
        <v>0.1</v>
      </c>
      <c r="N28" s="278">
        <v>50</v>
      </c>
      <c r="O28" s="884" t="s">
        <v>1255</v>
      </c>
      <c r="P28" s="278">
        <v>8</v>
      </c>
      <c r="Q28" s="279" t="s">
        <v>1235</v>
      </c>
      <c r="R28" s="1798">
        <v>9785944642806</v>
      </c>
      <c r="S28" s="885" t="s">
        <v>454</v>
      </c>
      <c r="T28" s="965">
        <v>0.11</v>
      </c>
      <c r="U28" s="964" t="s">
        <v>453</v>
      </c>
      <c r="V28" s="360"/>
    </row>
    <row r="29" spans="1:22" ht="26.25" customHeight="1">
      <c r="A29" s="1741">
        <v>71975</v>
      </c>
      <c r="B29" s="997"/>
      <c r="C29" s="1744" t="s">
        <v>957</v>
      </c>
      <c r="D29" s="1641" t="s">
        <v>241</v>
      </c>
      <c r="E29" s="1799" t="s">
        <v>958</v>
      </c>
      <c r="F29" s="247" t="s">
        <v>959</v>
      </c>
      <c r="G29" s="1726"/>
      <c r="H29" s="257" t="s">
        <v>1238</v>
      </c>
      <c r="I29" s="1727" t="s">
        <v>1546</v>
      </c>
      <c r="J29" s="230"/>
      <c r="K29" s="188">
        <f>ROUND(120*(1-$G$4),2)</f>
        <v>116.4</v>
      </c>
      <c r="L29" s="278">
        <v>2017</v>
      </c>
      <c r="M29" s="319">
        <v>0.18</v>
      </c>
      <c r="N29" s="258">
        <v>30</v>
      </c>
      <c r="O29" s="389" t="s">
        <v>1255</v>
      </c>
      <c r="P29" s="258">
        <v>32</v>
      </c>
      <c r="Q29" s="389" t="s">
        <v>1235</v>
      </c>
      <c r="R29" s="1798">
        <v>9785990940758</v>
      </c>
      <c r="S29" s="1647" t="s">
        <v>1888</v>
      </c>
      <c r="T29" s="966">
        <v>0.13</v>
      </c>
      <c r="U29" s="964" t="s">
        <v>312</v>
      </c>
      <c r="V29" s="360"/>
    </row>
    <row r="30" spans="1:22" ht="26.25" customHeight="1" thickBot="1">
      <c r="A30" s="1728">
        <v>71976</v>
      </c>
      <c r="B30" s="1729"/>
      <c r="C30" s="1730" t="s">
        <v>960</v>
      </c>
      <c r="D30" s="1794" t="s">
        <v>241</v>
      </c>
      <c r="E30" s="1800" t="s">
        <v>245</v>
      </c>
      <c r="F30" s="1745" t="s">
        <v>961</v>
      </c>
      <c r="G30" s="1731"/>
      <c r="H30" s="1725" t="s">
        <v>1238</v>
      </c>
      <c r="I30" s="1732" t="s">
        <v>1546</v>
      </c>
      <c r="J30" s="1733"/>
      <c r="K30" s="1734">
        <f>ROUND(120*(1-$G$4),2)</f>
        <v>116.4</v>
      </c>
      <c r="L30" s="1735">
        <v>2017</v>
      </c>
      <c r="M30" s="1736">
        <v>0.18</v>
      </c>
      <c r="N30" s="1735">
        <v>30</v>
      </c>
      <c r="O30" s="1737" t="s">
        <v>1255</v>
      </c>
      <c r="P30" s="1735">
        <v>32</v>
      </c>
      <c r="Q30" s="1737" t="s">
        <v>1235</v>
      </c>
      <c r="R30" s="1801">
        <v>9785990940772</v>
      </c>
      <c r="S30" s="1738" t="s">
        <v>1888</v>
      </c>
      <c r="T30" s="1739">
        <v>0.13</v>
      </c>
      <c r="U30" s="1724" t="s">
        <v>312</v>
      </c>
      <c r="V30" s="360"/>
    </row>
    <row r="31" spans="1:22" ht="29.25" customHeight="1" thickBot="1">
      <c r="A31" s="1105" t="s">
        <v>1887</v>
      </c>
      <c r="B31" s="1039"/>
      <c r="C31" s="814"/>
      <c r="D31" s="68"/>
      <c r="E31" s="68"/>
      <c r="F31" s="208"/>
      <c r="G31" s="650"/>
      <c r="H31" s="69"/>
      <c r="I31" s="69"/>
      <c r="J31" s="67"/>
      <c r="K31" s="208"/>
      <c r="L31" s="70"/>
      <c r="M31" s="866"/>
      <c r="N31" s="70"/>
      <c r="O31" s="71"/>
      <c r="P31" s="71"/>
      <c r="Q31" s="71"/>
      <c r="R31" s="71"/>
      <c r="S31" s="294"/>
      <c r="T31" s="1295"/>
      <c r="U31" s="1301"/>
      <c r="V31" s="360" t="e">
        <f>VLOOKUP(#REF!,#REF!,10,FALSE)</f>
        <v>#REF!</v>
      </c>
    </row>
    <row r="32" spans="1:22" ht="27" customHeight="1">
      <c r="A32" s="789">
        <v>71325</v>
      </c>
      <c r="B32" s="1031">
        <v>78</v>
      </c>
      <c r="C32" s="790" t="s">
        <v>1892</v>
      </c>
      <c r="D32" s="748" t="s">
        <v>1887</v>
      </c>
      <c r="E32" s="567" t="s">
        <v>1895</v>
      </c>
      <c r="F32" s="567" t="s">
        <v>1899</v>
      </c>
      <c r="G32" s="1390"/>
      <c r="H32" s="1392" t="s">
        <v>1320</v>
      </c>
      <c r="I32" s="1393" t="s">
        <v>1239</v>
      </c>
      <c r="J32" s="1396"/>
      <c r="K32" s="1101">
        <f>ROUND(142.5*(1-$G$4),2)</f>
        <v>138.23</v>
      </c>
      <c r="L32" s="341">
        <v>2015</v>
      </c>
      <c r="M32" s="439">
        <v>0.18</v>
      </c>
      <c r="N32" s="341">
        <v>20</v>
      </c>
      <c r="O32" s="568" t="s">
        <v>1255</v>
      </c>
      <c r="P32" s="341">
        <v>32</v>
      </c>
      <c r="Q32" s="568" t="s">
        <v>1235</v>
      </c>
      <c r="R32" s="477" t="s">
        <v>54</v>
      </c>
      <c r="S32" s="1339" t="s">
        <v>1888</v>
      </c>
      <c r="T32" s="1296">
        <v>0.2</v>
      </c>
      <c r="U32" s="944" t="s">
        <v>313</v>
      </c>
      <c r="V32" s="360" t="e">
        <f>VLOOKUP(A32,#REF!,10,FALSE)</f>
        <v>#REF!</v>
      </c>
    </row>
    <row r="33" spans="1:22" ht="27" customHeight="1">
      <c r="A33" s="721">
        <v>71392</v>
      </c>
      <c r="B33" s="1001">
        <v>240</v>
      </c>
      <c r="C33" s="557" t="s">
        <v>1995</v>
      </c>
      <c r="D33" s="124" t="s">
        <v>1887</v>
      </c>
      <c r="E33" s="158" t="s">
        <v>1996</v>
      </c>
      <c r="F33" s="158" t="s">
        <v>1997</v>
      </c>
      <c r="G33" s="405"/>
      <c r="H33" s="182"/>
      <c r="I33" s="1056" t="s">
        <v>1546</v>
      </c>
      <c r="J33" s="405"/>
      <c r="K33" s="190">
        <f>ROUND(135*(1-$G$4),2)</f>
        <v>130.95</v>
      </c>
      <c r="L33" s="148">
        <v>2016</v>
      </c>
      <c r="M33" s="395">
        <v>0.18</v>
      </c>
      <c r="N33" s="148">
        <v>25</v>
      </c>
      <c r="O33" s="311" t="s">
        <v>1249</v>
      </c>
      <c r="P33" s="148">
        <v>96</v>
      </c>
      <c r="Q33" s="311" t="s">
        <v>1235</v>
      </c>
      <c r="R33" s="322" t="s">
        <v>65</v>
      </c>
      <c r="S33" s="892" t="s">
        <v>1888</v>
      </c>
      <c r="T33" s="1297">
        <v>0.191</v>
      </c>
      <c r="U33" s="945" t="s">
        <v>313</v>
      </c>
      <c r="V33" s="360" t="e">
        <f>VLOOKUP(A33,#REF!,10,FALSE)</f>
        <v>#REF!</v>
      </c>
    </row>
    <row r="34" spans="1:22" ht="27" customHeight="1">
      <c r="A34" s="721">
        <v>71393</v>
      </c>
      <c r="B34" s="1001">
        <v>201</v>
      </c>
      <c r="C34" s="557" t="s">
        <v>1998</v>
      </c>
      <c r="D34" s="124" t="s">
        <v>1887</v>
      </c>
      <c r="E34" s="158" t="s">
        <v>1999</v>
      </c>
      <c r="F34" s="158" t="s">
        <v>2000</v>
      </c>
      <c r="G34" s="405"/>
      <c r="H34" s="182"/>
      <c r="I34" s="1056" t="s">
        <v>1546</v>
      </c>
      <c r="J34" s="405"/>
      <c r="K34" s="190">
        <f>ROUND(135*(1-$G$4),2)</f>
        <v>130.95</v>
      </c>
      <c r="L34" s="148">
        <v>2016</v>
      </c>
      <c r="M34" s="395">
        <v>0.18</v>
      </c>
      <c r="N34" s="148">
        <v>25</v>
      </c>
      <c r="O34" s="311" t="s">
        <v>1249</v>
      </c>
      <c r="P34" s="148">
        <v>96</v>
      </c>
      <c r="Q34" s="311" t="s">
        <v>1235</v>
      </c>
      <c r="R34" s="322" t="s">
        <v>66</v>
      </c>
      <c r="S34" s="892" t="s">
        <v>1888</v>
      </c>
      <c r="T34" s="1297">
        <v>0.191</v>
      </c>
      <c r="U34" s="945" t="s">
        <v>313</v>
      </c>
      <c r="V34" s="360" t="e">
        <f>VLOOKUP(A34,#REF!,10,FALSE)</f>
        <v>#REF!</v>
      </c>
    </row>
    <row r="35" spans="1:22" ht="27" customHeight="1">
      <c r="A35" s="789">
        <v>71300</v>
      </c>
      <c r="B35" s="1031">
        <v>504</v>
      </c>
      <c r="C35" s="1386" t="s">
        <v>1925</v>
      </c>
      <c r="D35" s="124" t="s">
        <v>1887</v>
      </c>
      <c r="E35" s="720" t="s">
        <v>1926</v>
      </c>
      <c r="F35" s="722" t="s">
        <v>1924</v>
      </c>
      <c r="G35" s="1391"/>
      <c r="H35" s="234" t="s">
        <v>1320</v>
      </c>
      <c r="I35" s="1394" t="s">
        <v>1239</v>
      </c>
      <c r="J35" s="85"/>
      <c r="K35" s="190">
        <f>ROUND(226*(1-$G$4),2)</f>
        <v>219.22</v>
      </c>
      <c r="L35" s="684">
        <v>2015</v>
      </c>
      <c r="M35" s="395">
        <v>0.18</v>
      </c>
      <c r="N35" s="684">
        <v>10</v>
      </c>
      <c r="O35" s="311" t="s">
        <v>1233</v>
      </c>
      <c r="P35" s="684">
        <v>64</v>
      </c>
      <c r="Q35" s="311" t="s">
        <v>1235</v>
      </c>
      <c r="R35" s="684" t="s">
        <v>55</v>
      </c>
      <c r="S35" s="1387" t="s">
        <v>1888</v>
      </c>
      <c r="T35" s="1298">
        <v>0.27</v>
      </c>
      <c r="U35" s="945" t="s">
        <v>313</v>
      </c>
      <c r="V35" s="360" t="e">
        <f>VLOOKUP(A35,#REF!,10,FALSE)</f>
        <v>#REF!</v>
      </c>
    </row>
    <row r="36" spans="1:22" ht="27" customHeight="1">
      <c r="A36" s="721">
        <v>71298</v>
      </c>
      <c r="B36" s="1001">
        <v>214</v>
      </c>
      <c r="C36" s="557" t="s">
        <v>1912</v>
      </c>
      <c r="D36" s="124" t="s">
        <v>1887</v>
      </c>
      <c r="E36" s="158" t="s">
        <v>1914</v>
      </c>
      <c r="F36" s="722" t="s">
        <v>1913</v>
      </c>
      <c r="G36" s="85"/>
      <c r="H36" s="182"/>
      <c r="I36" s="1057" t="s">
        <v>1239</v>
      </c>
      <c r="J36" s="85"/>
      <c r="K36" s="190">
        <f>ROUND(390*(1-$G$4),2)</f>
        <v>378.3</v>
      </c>
      <c r="L36" s="148">
        <v>2015</v>
      </c>
      <c r="M36" s="395">
        <v>0.18</v>
      </c>
      <c r="N36" s="148">
        <v>10</v>
      </c>
      <c r="O36" s="311" t="s">
        <v>1171</v>
      </c>
      <c r="P36" s="148">
        <v>48</v>
      </c>
      <c r="Q36" s="311" t="s">
        <v>1235</v>
      </c>
      <c r="R36" s="322" t="s">
        <v>56</v>
      </c>
      <c r="S36" s="615" t="s">
        <v>1888</v>
      </c>
      <c r="T36" s="1297">
        <v>0.43</v>
      </c>
      <c r="U36" s="945" t="s">
        <v>313</v>
      </c>
      <c r="V36" s="360" t="e">
        <f>VLOOKUP(A36,#REF!,10,FALSE)</f>
        <v>#REF!</v>
      </c>
    </row>
    <row r="37" spans="1:22" ht="27" customHeight="1">
      <c r="A37" s="724">
        <v>71432</v>
      </c>
      <c r="B37" s="1002">
        <v>70</v>
      </c>
      <c r="C37" s="689" t="s">
        <v>298</v>
      </c>
      <c r="D37" s="124" t="s">
        <v>1887</v>
      </c>
      <c r="E37" s="510" t="s">
        <v>1894</v>
      </c>
      <c r="F37" s="510" t="s">
        <v>304</v>
      </c>
      <c r="G37" s="400"/>
      <c r="H37" s="182"/>
      <c r="I37" s="1058" t="s">
        <v>1546</v>
      </c>
      <c r="J37" s="401"/>
      <c r="K37" s="190">
        <f>ROUND(142.5*(1-$G$4),2)</f>
        <v>138.23</v>
      </c>
      <c r="L37" s="261">
        <v>2016</v>
      </c>
      <c r="M37" s="402">
        <v>0.1</v>
      </c>
      <c r="N37" s="261">
        <v>20</v>
      </c>
      <c r="O37" s="283" t="s">
        <v>1255</v>
      </c>
      <c r="P37" s="261">
        <v>32</v>
      </c>
      <c r="Q37" s="283" t="s">
        <v>1235</v>
      </c>
      <c r="R37" s="310" t="s">
        <v>299</v>
      </c>
      <c r="S37" s="1340" t="s">
        <v>1888</v>
      </c>
      <c r="T37" s="1299">
        <v>0.155</v>
      </c>
      <c r="U37" s="1135" t="s">
        <v>313</v>
      </c>
      <c r="V37" s="360" t="e">
        <f>VLOOKUP(A37,#REF!,10,FALSE)</f>
        <v>#REF!</v>
      </c>
    </row>
    <row r="38" spans="1:22" ht="27" customHeight="1">
      <c r="A38" s="721">
        <v>71400</v>
      </c>
      <c r="B38" s="1001">
        <v>513</v>
      </c>
      <c r="C38" s="557" t="s">
        <v>2007</v>
      </c>
      <c r="D38" s="116" t="s">
        <v>2031</v>
      </c>
      <c r="E38" s="158" t="s">
        <v>2008</v>
      </c>
      <c r="F38" s="158" t="s">
        <v>2030</v>
      </c>
      <c r="G38" s="403"/>
      <c r="H38" s="169"/>
      <c r="I38" s="1056" t="s">
        <v>1239</v>
      </c>
      <c r="J38" s="404"/>
      <c r="K38" s="190">
        <f>ROUND(457.5*(1-$G$4),2)</f>
        <v>443.78</v>
      </c>
      <c r="L38" s="148">
        <v>2015</v>
      </c>
      <c r="M38" s="395">
        <v>0.18</v>
      </c>
      <c r="N38" s="148">
        <v>1</v>
      </c>
      <c r="O38" s="311" t="s">
        <v>1255</v>
      </c>
      <c r="P38" s="148">
        <v>128</v>
      </c>
      <c r="Q38" s="311" t="s">
        <v>1235</v>
      </c>
      <c r="R38" s="322" t="s">
        <v>57</v>
      </c>
      <c r="S38" s="615" t="s">
        <v>1888</v>
      </c>
      <c r="T38" s="1297">
        <v>0.8</v>
      </c>
      <c r="U38" s="945" t="s">
        <v>313</v>
      </c>
      <c r="V38" s="360" t="e">
        <f>VLOOKUP(A38,#REF!,10,FALSE)</f>
        <v>#REF!</v>
      </c>
    </row>
    <row r="39" spans="1:22" ht="27" customHeight="1">
      <c r="A39" s="718">
        <v>71311</v>
      </c>
      <c r="B39" s="1000">
        <v>125</v>
      </c>
      <c r="C39" s="719" t="s">
        <v>1882</v>
      </c>
      <c r="D39" s="124" t="s">
        <v>1887</v>
      </c>
      <c r="E39" s="158" t="s">
        <v>1991</v>
      </c>
      <c r="F39" s="158" t="s">
        <v>2026</v>
      </c>
      <c r="G39" s="85"/>
      <c r="H39" s="169" t="s">
        <v>1320</v>
      </c>
      <c r="I39" s="1056" t="s">
        <v>1546</v>
      </c>
      <c r="J39" s="85"/>
      <c r="K39" s="190">
        <f>ROUND(277.5*(1-$G$4),2)</f>
        <v>269.18</v>
      </c>
      <c r="L39" s="262">
        <v>2015</v>
      </c>
      <c r="M39" s="395">
        <v>0.18</v>
      </c>
      <c r="N39" s="262">
        <v>14</v>
      </c>
      <c r="O39" s="396" t="s">
        <v>1157</v>
      </c>
      <c r="P39" s="262">
        <v>128</v>
      </c>
      <c r="Q39" s="396" t="s">
        <v>1235</v>
      </c>
      <c r="R39" s="399" t="s">
        <v>58</v>
      </c>
      <c r="S39" s="357" t="s">
        <v>1888</v>
      </c>
      <c r="T39" s="1297">
        <v>0.5</v>
      </c>
      <c r="U39" s="945" t="s">
        <v>313</v>
      </c>
      <c r="V39" s="360" t="e">
        <f>VLOOKUP(A39,#REF!,10,FALSE)</f>
        <v>#REF!</v>
      </c>
    </row>
    <row r="40" spans="1:22" ht="27" customHeight="1">
      <c r="A40" s="793">
        <v>71391</v>
      </c>
      <c r="B40" s="1027">
        <v>64</v>
      </c>
      <c r="C40" s="1388" t="s">
        <v>1993</v>
      </c>
      <c r="D40" s="124" t="s">
        <v>1887</v>
      </c>
      <c r="E40" s="158" t="s">
        <v>1885</v>
      </c>
      <c r="F40" s="723" t="s">
        <v>1994</v>
      </c>
      <c r="G40" s="405"/>
      <c r="H40" s="182"/>
      <c r="I40" s="1056" t="s">
        <v>1546</v>
      </c>
      <c r="J40" s="1397"/>
      <c r="K40" s="190">
        <f>ROUND(135*(1-$G$4),2)</f>
        <v>130.95</v>
      </c>
      <c r="L40" s="148">
        <v>2016</v>
      </c>
      <c r="M40" s="395">
        <v>0.18</v>
      </c>
      <c r="N40" s="148">
        <v>25</v>
      </c>
      <c r="O40" s="311" t="s">
        <v>1249</v>
      </c>
      <c r="P40" s="148">
        <v>96</v>
      </c>
      <c r="Q40" s="311" t="s">
        <v>1235</v>
      </c>
      <c r="R40" s="322" t="s">
        <v>67</v>
      </c>
      <c r="S40" s="1399" t="s">
        <v>1888</v>
      </c>
      <c r="T40" s="1297">
        <v>0.191</v>
      </c>
      <c r="U40" s="945" t="s">
        <v>313</v>
      </c>
      <c r="V40" s="360" t="e">
        <f>VLOOKUP(A40,#REF!,10,FALSE)</f>
        <v>#REF!</v>
      </c>
    </row>
    <row r="41" spans="1:22" ht="27" customHeight="1">
      <c r="A41" s="721">
        <v>71291</v>
      </c>
      <c r="B41" s="1001">
        <v>143</v>
      </c>
      <c r="C41" s="557" t="s">
        <v>1893</v>
      </c>
      <c r="D41" s="124" t="s">
        <v>1887</v>
      </c>
      <c r="E41" s="158" t="s">
        <v>1896</v>
      </c>
      <c r="F41" s="158" t="s">
        <v>1900</v>
      </c>
      <c r="G41" s="403"/>
      <c r="H41" s="169"/>
      <c r="I41" s="1056" t="s">
        <v>1239</v>
      </c>
      <c r="J41" s="404"/>
      <c r="K41" s="190">
        <f>ROUND(142.5*(1-$G$4),2)</f>
        <v>138.23</v>
      </c>
      <c r="L41" s="148">
        <v>2015</v>
      </c>
      <c r="M41" s="395">
        <v>0.18</v>
      </c>
      <c r="N41" s="148">
        <v>20</v>
      </c>
      <c r="O41" s="311" t="s">
        <v>1255</v>
      </c>
      <c r="P41" s="148">
        <v>32</v>
      </c>
      <c r="Q41" s="311" t="s">
        <v>1235</v>
      </c>
      <c r="R41" s="322" t="s">
        <v>59</v>
      </c>
      <c r="S41" s="615" t="s">
        <v>1888</v>
      </c>
      <c r="T41" s="1297">
        <v>0.2</v>
      </c>
      <c r="U41" s="945" t="s">
        <v>313</v>
      </c>
      <c r="V41" s="360" t="e">
        <f>VLOOKUP(A41,#REF!,10,FALSE)</f>
        <v>#REF!</v>
      </c>
    </row>
    <row r="42" spans="1:22" ht="27" customHeight="1">
      <c r="A42" s="721">
        <v>71324</v>
      </c>
      <c r="B42" s="1001">
        <v>84</v>
      </c>
      <c r="C42" s="557" t="s">
        <v>1891</v>
      </c>
      <c r="D42" s="124" t="s">
        <v>1887</v>
      </c>
      <c r="E42" s="158" t="s">
        <v>1895</v>
      </c>
      <c r="F42" s="158" t="s">
        <v>1898</v>
      </c>
      <c r="G42" s="403"/>
      <c r="H42" s="169" t="s">
        <v>1320</v>
      </c>
      <c r="I42" s="1056" t="s">
        <v>1239</v>
      </c>
      <c r="J42" s="404"/>
      <c r="K42" s="190">
        <f>ROUND(142.5*(1-$G$4),2)</f>
        <v>138.23</v>
      </c>
      <c r="L42" s="148">
        <v>2015</v>
      </c>
      <c r="M42" s="395">
        <v>0.18</v>
      </c>
      <c r="N42" s="148">
        <v>20</v>
      </c>
      <c r="O42" s="311" t="s">
        <v>1255</v>
      </c>
      <c r="P42" s="148">
        <v>32</v>
      </c>
      <c r="Q42" s="311" t="s">
        <v>1235</v>
      </c>
      <c r="R42" s="322" t="s">
        <v>60</v>
      </c>
      <c r="S42" s="615" t="s">
        <v>1888</v>
      </c>
      <c r="T42" s="1297">
        <v>0.2</v>
      </c>
      <c r="U42" s="945" t="s">
        <v>313</v>
      </c>
      <c r="V42" s="360" t="e">
        <f>VLOOKUP(A42,#REF!,10,FALSE)</f>
        <v>#REF!</v>
      </c>
    </row>
    <row r="43" spans="1:22" ht="27" customHeight="1">
      <c r="A43" s="721">
        <v>71537</v>
      </c>
      <c r="B43" s="1001">
        <v>231</v>
      </c>
      <c r="C43" s="557" t="s">
        <v>1880</v>
      </c>
      <c r="D43" s="124" t="s">
        <v>1887</v>
      </c>
      <c r="E43" s="158" t="s">
        <v>1885</v>
      </c>
      <c r="F43" s="722" t="s">
        <v>1881</v>
      </c>
      <c r="G43" s="85"/>
      <c r="H43" s="169" t="s">
        <v>1320</v>
      </c>
      <c r="I43" s="1057" t="s">
        <v>1546</v>
      </c>
      <c r="J43" s="85"/>
      <c r="K43" s="190">
        <f>ROUND(277.5*(1-$G$4),2)</f>
        <v>269.18</v>
      </c>
      <c r="L43" s="148">
        <v>2015</v>
      </c>
      <c r="M43" s="395">
        <v>0.18</v>
      </c>
      <c r="N43" s="148">
        <v>13</v>
      </c>
      <c r="O43" s="311" t="s">
        <v>1157</v>
      </c>
      <c r="P43" s="148">
        <v>128</v>
      </c>
      <c r="Q43" s="311" t="s">
        <v>1235</v>
      </c>
      <c r="R43" s="322" t="s">
        <v>61</v>
      </c>
      <c r="S43" s="615" t="s">
        <v>1888</v>
      </c>
      <c r="T43" s="1297">
        <v>0.5</v>
      </c>
      <c r="U43" s="945" t="s">
        <v>313</v>
      </c>
      <c r="V43" s="360" t="e">
        <f>VLOOKUP(A43,#REF!,10,FALSE)</f>
        <v>#REF!</v>
      </c>
    </row>
    <row r="44" spans="1:22" ht="27" customHeight="1">
      <c r="A44" s="721">
        <v>71288</v>
      </c>
      <c r="B44" s="1001">
        <v>48</v>
      </c>
      <c r="C44" s="557" t="s">
        <v>1890</v>
      </c>
      <c r="D44" s="124" t="s">
        <v>1887</v>
      </c>
      <c r="E44" s="158" t="s">
        <v>1894</v>
      </c>
      <c r="F44" s="158" t="s">
        <v>1897</v>
      </c>
      <c r="G44" s="403"/>
      <c r="H44" s="169" t="s">
        <v>1320</v>
      </c>
      <c r="I44" s="1056" t="s">
        <v>1239</v>
      </c>
      <c r="J44" s="404"/>
      <c r="K44" s="190">
        <f>ROUND(142.5*(1-$G$4),2)</f>
        <v>138.23</v>
      </c>
      <c r="L44" s="148">
        <v>2015</v>
      </c>
      <c r="M44" s="395">
        <v>0.18</v>
      </c>
      <c r="N44" s="148">
        <v>32</v>
      </c>
      <c r="O44" s="311" t="s">
        <v>1255</v>
      </c>
      <c r="P44" s="148">
        <v>32</v>
      </c>
      <c r="Q44" s="311" t="s">
        <v>1235</v>
      </c>
      <c r="R44" s="322" t="s">
        <v>62</v>
      </c>
      <c r="S44" s="615" t="s">
        <v>1888</v>
      </c>
      <c r="T44" s="1297">
        <v>0.2</v>
      </c>
      <c r="U44" s="945" t="s">
        <v>313</v>
      </c>
      <c r="V44" s="360" t="e">
        <f>VLOOKUP(A44,#REF!,10,FALSE)</f>
        <v>#REF!</v>
      </c>
    </row>
    <row r="45" spans="1:22" ht="27" customHeight="1">
      <c r="A45" s="716">
        <v>71390</v>
      </c>
      <c r="B45" s="999">
        <v>149</v>
      </c>
      <c r="C45" s="557" t="s">
        <v>1990</v>
      </c>
      <c r="D45" s="124" t="s">
        <v>1887</v>
      </c>
      <c r="E45" s="158" t="s">
        <v>1991</v>
      </c>
      <c r="F45" s="158" t="s">
        <v>1992</v>
      </c>
      <c r="G45" s="405"/>
      <c r="H45" s="178"/>
      <c r="I45" s="1056" t="s">
        <v>1546</v>
      </c>
      <c r="J45" s="405"/>
      <c r="K45" s="190">
        <f>ROUND(135*(1-$G$4),2)</f>
        <v>130.95</v>
      </c>
      <c r="L45" s="148">
        <v>2016</v>
      </c>
      <c r="M45" s="395">
        <v>0.18</v>
      </c>
      <c r="N45" s="148">
        <v>25</v>
      </c>
      <c r="O45" s="311" t="s">
        <v>1249</v>
      </c>
      <c r="P45" s="148">
        <v>96</v>
      </c>
      <c r="Q45" s="311" t="s">
        <v>1235</v>
      </c>
      <c r="R45" s="322" t="s">
        <v>68</v>
      </c>
      <c r="S45" s="892" t="s">
        <v>1888</v>
      </c>
      <c r="T45" s="1297">
        <v>0.191</v>
      </c>
      <c r="U45" s="945" t="s">
        <v>313</v>
      </c>
      <c r="V45" s="360" t="e">
        <f>VLOOKUP(A45,#REF!,10,FALSE)</f>
        <v>#REF!</v>
      </c>
    </row>
    <row r="46" spans="1:22" ht="27" customHeight="1">
      <c r="A46" s="718">
        <v>71433</v>
      </c>
      <c r="B46" s="1000">
        <v>437</v>
      </c>
      <c r="C46" s="719" t="s">
        <v>317</v>
      </c>
      <c r="D46" s="124" t="s">
        <v>1887</v>
      </c>
      <c r="E46" s="158" t="s">
        <v>318</v>
      </c>
      <c r="F46" s="158" t="s">
        <v>319</v>
      </c>
      <c r="G46" s="91"/>
      <c r="H46" s="985"/>
      <c r="I46" s="1056" t="s">
        <v>1546</v>
      </c>
      <c r="J46" s="85"/>
      <c r="K46" s="190">
        <f>ROUND(350*(1-$G$4),2)</f>
        <v>339.5</v>
      </c>
      <c r="L46" s="262">
        <v>2016</v>
      </c>
      <c r="M46" s="395">
        <v>0.18</v>
      </c>
      <c r="N46" s="262">
        <v>14</v>
      </c>
      <c r="O46" s="396" t="s">
        <v>1157</v>
      </c>
      <c r="P46" s="262">
        <v>128</v>
      </c>
      <c r="Q46" s="396" t="s">
        <v>1235</v>
      </c>
      <c r="R46" s="318" t="s">
        <v>324</v>
      </c>
      <c r="S46" s="357" t="s">
        <v>1888</v>
      </c>
      <c r="T46" s="1297">
        <v>0.515</v>
      </c>
      <c r="U46" s="945" t="s">
        <v>313</v>
      </c>
      <c r="V46" s="360" t="e">
        <f>VLOOKUP(A46,#REF!,10,FALSE)</f>
        <v>#REF!</v>
      </c>
    </row>
    <row r="47" spans="1:22" ht="27" customHeight="1">
      <c r="A47" s="718">
        <v>71434</v>
      </c>
      <c r="B47" s="1000">
        <v>333</v>
      </c>
      <c r="C47" s="719" t="s">
        <v>320</v>
      </c>
      <c r="D47" s="124" t="s">
        <v>1887</v>
      </c>
      <c r="E47" s="158" t="s">
        <v>321</v>
      </c>
      <c r="F47" s="158" t="s">
        <v>322</v>
      </c>
      <c r="G47" s="91"/>
      <c r="H47" s="182"/>
      <c r="I47" s="1056" t="s">
        <v>1546</v>
      </c>
      <c r="J47" s="85"/>
      <c r="K47" s="190">
        <f>ROUND(350*(1-$G$4),2)</f>
        <v>339.5</v>
      </c>
      <c r="L47" s="262">
        <v>2016</v>
      </c>
      <c r="M47" s="395">
        <v>0.18</v>
      </c>
      <c r="N47" s="262">
        <v>14</v>
      </c>
      <c r="O47" s="396" t="s">
        <v>1157</v>
      </c>
      <c r="P47" s="262">
        <v>128</v>
      </c>
      <c r="Q47" s="396" t="s">
        <v>1235</v>
      </c>
      <c r="R47" s="318" t="s">
        <v>325</v>
      </c>
      <c r="S47" s="357" t="s">
        <v>1888</v>
      </c>
      <c r="T47" s="1297">
        <v>0.515</v>
      </c>
      <c r="U47" s="945" t="s">
        <v>313</v>
      </c>
      <c r="V47" s="360" t="e">
        <f>VLOOKUP(A47,#REF!,10,FALSE)</f>
        <v>#REF!</v>
      </c>
    </row>
    <row r="48" spans="1:22" ht="27" customHeight="1">
      <c r="A48" s="718">
        <v>71409</v>
      </c>
      <c r="B48" s="1000">
        <v>276</v>
      </c>
      <c r="C48" s="719" t="s">
        <v>238</v>
      </c>
      <c r="D48" s="124" t="s">
        <v>1887</v>
      </c>
      <c r="E48" s="158" t="s">
        <v>240</v>
      </c>
      <c r="F48" s="158" t="s">
        <v>237</v>
      </c>
      <c r="G48" s="91"/>
      <c r="H48" s="182"/>
      <c r="I48" s="1056" t="s">
        <v>1239</v>
      </c>
      <c r="J48" s="1398"/>
      <c r="K48" s="190">
        <f>ROUND(192*(1-$G$4),2)</f>
        <v>186.24</v>
      </c>
      <c r="L48" s="148">
        <v>2016</v>
      </c>
      <c r="M48" s="395">
        <v>0.18</v>
      </c>
      <c r="N48" s="262">
        <v>22</v>
      </c>
      <c r="O48" s="396" t="s">
        <v>1503</v>
      </c>
      <c r="P48" s="262">
        <v>72</v>
      </c>
      <c r="Q48" s="396" t="s">
        <v>1235</v>
      </c>
      <c r="R48" s="318" t="s">
        <v>239</v>
      </c>
      <c r="S48" s="357" t="s">
        <v>1888</v>
      </c>
      <c r="T48" s="1297">
        <v>0.31</v>
      </c>
      <c r="U48" s="945" t="s">
        <v>313</v>
      </c>
      <c r="V48" s="360" t="e">
        <f>VLOOKUP(A48,#REF!,10,FALSE)</f>
        <v>#REF!</v>
      </c>
    </row>
    <row r="49" spans="1:22" ht="27" customHeight="1">
      <c r="A49" s="718">
        <v>71422</v>
      </c>
      <c r="B49" s="1000">
        <v>323</v>
      </c>
      <c r="C49" s="719" t="s">
        <v>314</v>
      </c>
      <c r="D49" s="124" t="s">
        <v>1887</v>
      </c>
      <c r="E49" s="158" t="s">
        <v>315</v>
      </c>
      <c r="F49" s="158" t="s">
        <v>316</v>
      </c>
      <c r="G49" s="91"/>
      <c r="H49" s="182"/>
      <c r="I49" s="1056" t="s">
        <v>1239</v>
      </c>
      <c r="J49" s="85"/>
      <c r="K49" s="190">
        <f>ROUND(330*(1-$G$4),2)</f>
        <v>320.1</v>
      </c>
      <c r="L49" s="262">
        <v>2016</v>
      </c>
      <c r="M49" s="395">
        <v>0.18</v>
      </c>
      <c r="N49" s="262">
        <v>10</v>
      </c>
      <c r="O49" s="396" t="s">
        <v>1171</v>
      </c>
      <c r="P49" s="262">
        <v>48</v>
      </c>
      <c r="Q49" s="396" t="s">
        <v>1235</v>
      </c>
      <c r="R49" s="318" t="s">
        <v>326</v>
      </c>
      <c r="S49" s="357" t="s">
        <v>1888</v>
      </c>
      <c r="T49" s="1297">
        <v>0.425</v>
      </c>
      <c r="U49" s="945" t="s">
        <v>313</v>
      </c>
      <c r="V49" s="360" t="e">
        <f>VLOOKUP(A49,#REF!,10,FALSE)</f>
        <v>#REF!</v>
      </c>
    </row>
    <row r="50" spans="1:22" ht="27" customHeight="1" thickBot="1">
      <c r="A50" s="725">
        <v>71538</v>
      </c>
      <c r="B50" s="1003">
        <v>244</v>
      </c>
      <c r="C50" s="726" t="s">
        <v>1883</v>
      </c>
      <c r="D50" s="466" t="s">
        <v>1887</v>
      </c>
      <c r="E50" s="406" t="s">
        <v>1886</v>
      </c>
      <c r="F50" s="1389" t="s">
        <v>1884</v>
      </c>
      <c r="G50" s="138"/>
      <c r="H50" s="170" t="s">
        <v>1320</v>
      </c>
      <c r="I50" s="1395" t="s">
        <v>1546</v>
      </c>
      <c r="J50" s="138"/>
      <c r="K50" s="191">
        <f>ROUND(277.5*(1-$G$4),2)</f>
        <v>269.18</v>
      </c>
      <c r="L50" s="149">
        <v>2015</v>
      </c>
      <c r="M50" s="408">
        <v>0.18</v>
      </c>
      <c r="N50" s="149">
        <v>13</v>
      </c>
      <c r="O50" s="244" t="s">
        <v>1157</v>
      </c>
      <c r="P50" s="149">
        <v>128</v>
      </c>
      <c r="Q50" s="244" t="s">
        <v>1235</v>
      </c>
      <c r="R50" s="324" t="s">
        <v>63</v>
      </c>
      <c r="S50" s="1331" t="s">
        <v>1888</v>
      </c>
      <c r="T50" s="1300">
        <v>0.5</v>
      </c>
      <c r="U50" s="947" t="s">
        <v>313</v>
      </c>
      <c r="V50" s="360" t="e">
        <f>VLOOKUP(A50,#REF!,10,FALSE)</f>
        <v>#REF!</v>
      </c>
    </row>
    <row r="51" spans="1:22" ht="25.5" customHeight="1" thickBot="1">
      <c r="A51" s="1102" t="s">
        <v>1536</v>
      </c>
      <c r="B51" s="1008"/>
      <c r="C51" s="744"/>
      <c r="D51" s="62"/>
      <c r="E51" s="62"/>
      <c r="F51" s="62"/>
      <c r="G51" s="432"/>
      <c r="H51" s="63" t="s">
        <v>1229</v>
      </c>
      <c r="I51" s="63"/>
      <c r="J51" s="61"/>
      <c r="K51" s="192"/>
      <c r="L51" s="64"/>
      <c r="M51" s="864"/>
      <c r="N51" s="64"/>
      <c r="O51" s="65"/>
      <c r="P51" s="65"/>
      <c r="Q51" s="65"/>
      <c r="R51" s="65"/>
      <c r="S51" s="1341"/>
      <c r="T51" s="297"/>
      <c r="U51" s="923"/>
      <c r="V51" s="360" t="e">
        <f>VLOOKUP(A51,#REF!,10,FALSE)</f>
        <v>#REF!</v>
      </c>
    </row>
    <row r="52" spans="1:22" ht="32.25" customHeight="1">
      <c r="A52" s="761">
        <v>71856</v>
      </c>
      <c r="B52" s="1015"/>
      <c r="C52" s="1333" t="s">
        <v>808</v>
      </c>
      <c r="D52" s="1376" t="s">
        <v>467</v>
      </c>
      <c r="E52" s="156" t="s">
        <v>624</v>
      </c>
      <c r="F52" s="156" t="s">
        <v>807</v>
      </c>
      <c r="G52" s="442"/>
      <c r="H52" s="281" t="s">
        <v>1238</v>
      </c>
      <c r="I52" s="1063" t="s">
        <v>1546</v>
      </c>
      <c r="J52" s="120"/>
      <c r="K52" s="189">
        <f>ROUND(220*(1-$G$4),2)</f>
        <v>213.4</v>
      </c>
      <c r="L52" s="327">
        <v>2017</v>
      </c>
      <c r="M52" s="327" t="s">
        <v>1231</v>
      </c>
      <c r="N52" s="146">
        <v>20</v>
      </c>
      <c r="O52" s="453" t="s">
        <v>765</v>
      </c>
      <c r="P52" s="327">
        <v>32</v>
      </c>
      <c r="Q52" s="453" t="s">
        <v>1235</v>
      </c>
      <c r="R52" s="463" t="s">
        <v>809</v>
      </c>
      <c r="S52" s="1133" t="s">
        <v>1888</v>
      </c>
      <c r="T52" s="443">
        <v>0.3</v>
      </c>
      <c r="U52" s="924" t="s">
        <v>312</v>
      </c>
      <c r="V52" s="360"/>
    </row>
    <row r="53" spans="1:22" ht="32.25" customHeight="1">
      <c r="A53" s="751">
        <v>71855</v>
      </c>
      <c r="B53" s="1012"/>
      <c r="C53" s="749" t="s">
        <v>810</v>
      </c>
      <c r="D53" s="1346" t="s">
        <v>467</v>
      </c>
      <c r="E53" s="157" t="s">
        <v>624</v>
      </c>
      <c r="F53" s="157" t="s">
        <v>812</v>
      </c>
      <c r="G53" s="444"/>
      <c r="H53" s="280" t="s">
        <v>1238</v>
      </c>
      <c r="I53" s="1061" t="s">
        <v>1546</v>
      </c>
      <c r="J53" s="121"/>
      <c r="K53" s="190">
        <f>ROUND(220*(1-$G$4),2)</f>
        <v>213.4</v>
      </c>
      <c r="L53" s="328">
        <v>2017</v>
      </c>
      <c r="M53" s="328" t="s">
        <v>1231</v>
      </c>
      <c r="N53" s="148">
        <v>20</v>
      </c>
      <c r="O53" s="445" t="s">
        <v>765</v>
      </c>
      <c r="P53" s="328">
        <v>32</v>
      </c>
      <c r="Q53" s="445" t="s">
        <v>1235</v>
      </c>
      <c r="R53" s="447" t="s">
        <v>811</v>
      </c>
      <c r="S53" s="1134" t="s">
        <v>1888</v>
      </c>
      <c r="T53" s="448">
        <v>0.3</v>
      </c>
      <c r="U53" s="917" t="s">
        <v>312</v>
      </c>
      <c r="V53" s="360"/>
    </row>
    <row r="54" spans="1:22" ht="24.75" customHeight="1">
      <c r="A54" s="751">
        <v>71854</v>
      </c>
      <c r="B54" s="1012"/>
      <c r="C54" s="749" t="s">
        <v>814</v>
      </c>
      <c r="D54" s="1346" t="s">
        <v>467</v>
      </c>
      <c r="E54" s="157" t="s">
        <v>816</v>
      </c>
      <c r="F54" s="157" t="s">
        <v>813</v>
      </c>
      <c r="G54" s="444"/>
      <c r="H54" s="280" t="s">
        <v>1238</v>
      </c>
      <c r="I54" s="1061" t="s">
        <v>1546</v>
      </c>
      <c r="J54" s="121"/>
      <c r="K54" s="190">
        <f>ROUND(100*(1-$G$4),2)</f>
        <v>97</v>
      </c>
      <c r="L54" s="328">
        <v>2017</v>
      </c>
      <c r="M54" s="328" t="s">
        <v>1231</v>
      </c>
      <c r="N54" s="148">
        <v>30</v>
      </c>
      <c r="O54" s="445" t="s">
        <v>1255</v>
      </c>
      <c r="P54" s="328">
        <v>32</v>
      </c>
      <c r="Q54" s="445" t="s">
        <v>1235</v>
      </c>
      <c r="R54" s="447" t="s">
        <v>815</v>
      </c>
      <c r="S54" s="1134" t="s">
        <v>1888</v>
      </c>
      <c r="T54" s="448">
        <v>0.15</v>
      </c>
      <c r="U54" s="917" t="s">
        <v>312</v>
      </c>
      <c r="V54" s="360"/>
    </row>
    <row r="55" spans="1:22" ht="24.75" customHeight="1">
      <c r="A55" s="751">
        <v>71860</v>
      </c>
      <c r="B55" s="1012"/>
      <c r="C55" s="749" t="s">
        <v>818</v>
      </c>
      <c r="D55" s="1346" t="s">
        <v>467</v>
      </c>
      <c r="E55" s="157" t="s">
        <v>816</v>
      </c>
      <c r="F55" s="157" t="s">
        <v>817</v>
      </c>
      <c r="G55" s="444"/>
      <c r="H55" s="280" t="s">
        <v>1238</v>
      </c>
      <c r="I55" s="1061" t="s">
        <v>1546</v>
      </c>
      <c r="J55" s="121"/>
      <c r="K55" s="190">
        <f>ROUND(100*(1-$G$4),2)</f>
        <v>97</v>
      </c>
      <c r="L55" s="328">
        <v>2017</v>
      </c>
      <c r="M55" s="328" t="s">
        <v>1231</v>
      </c>
      <c r="N55" s="148">
        <v>30</v>
      </c>
      <c r="O55" s="445" t="s">
        <v>1255</v>
      </c>
      <c r="P55" s="328">
        <v>32</v>
      </c>
      <c r="Q55" s="445" t="s">
        <v>1235</v>
      </c>
      <c r="R55" s="447" t="s">
        <v>819</v>
      </c>
      <c r="S55" s="1134" t="s">
        <v>1888</v>
      </c>
      <c r="T55" s="448">
        <v>0.15</v>
      </c>
      <c r="U55" s="917" t="s">
        <v>312</v>
      </c>
      <c r="V55" s="360"/>
    </row>
    <row r="56" spans="1:22" ht="24.75" customHeight="1">
      <c r="A56" s="751">
        <v>71853</v>
      </c>
      <c r="B56" s="1012"/>
      <c r="C56" s="749" t="s">
        <v>820</v>
      </c>
      <c r="D56" s="1346" t="s">
        <v>467</v>
      </c>
      <c r="E56" s="157" t="s">
        <v>816</v>
      </c>
      <c r="F56" s="157" t="s">
        <v>910</v>
      </c>
      <c r="G56" s="444"/>
      <c r="H56" s="280" t="s">
        <v>1238</v>
      </c>
      <c r="I56" s="1061" t="s">
        <v>1546</v>
      </c>
      <c r="J56" s="121"/>
      <c r="K56" s="190">
        <f>ROUND(100*(1-$G$4),2)</f>
        <v>97</v>
      </c>
      <c r="L56" s="328">
        <v>2017</v>
      </c>
      <c r="M56" s="328" t="s">
        <v>1231</v>
      </c>
      <c r="N56" s="148">
        <v>30</v>
      </c>
      <c r="O56" s="445" t="s">
        <v>1255</v>
      </c>
      <c r="P56" s="328">
        <v>32</v>
      </c>
      <c r="Q56" s="445" t="s">
        <v>1235</v>
      </c>
      <c r="R56" s="447" t="s">
        <v>821</v>
      </c>
      <c r="S56" s="1134" t="s">
        <v>1888</v>
      </c>
      <c r="T56" s="448">
        <v>0.15</v>
      </c>
      <c r="U56" s="917" t="s">
        <v>312</v>
      </c>
      <c r="V56" s="360"/>
    </row>
    <row r="57" spans="1:22" ht="24.75" customHeight="1">
      <c r="A57" s="751">
        <v>71859</v>
      </c>
      <c r="B57" s="1012"/>
      <c r="C57" s="749" t="s">
        <v>823</v>
      </c>
      <c r="D57" s="1346" t="s">
        <v>467</v>
      </c>
      <c r="E57" s="157" t="s">
        <v>816</v>
      </c>
      <c r="F57" s="157" t="s">
        <v>822</v>
      </c>
      <c r="G57" s="444"/>
      <c r="H57" s="280" t="s">
        <v>1238</v>
      </c>
      <c r="I57" s="1061" t="s">
        <v>1546</v>
      </c>
      <c r="J57" s="121"/>
      <c r="K57" s="190">
        <f>ROUND(100*(1-$G$4),2)</f>
        <v>97</v>
      </c>
      <c r="L57" s="328">
        <v>2017</v>
      </c>
      <c r="M57" s="328" t="s">
        <v>1231</v>
      </c>
      <c r="N57" s="148">
        <v>30</v>
      </c>
      <c r="O57" s="445" t="s">
        <v>1255</v>
      </c>
      <c r="P57" s="328">
        <v>32</v>
      </c>
      <c r="Q57" s="445" t="s">
        <v>1235</v>
      </c>
      <c r="R57" s="447" t="s">
        <v>824</v>
      </c>
      <c r="S57" s="1134" t="s">
        <v>1888</v>
      </c>
      <c r="T57" s="448">
        <v>0.15</v>
      </c>
      <c r="U57" s="917" t="s">
        <v>312</v>
      </c>
      <c r="V57" s="360"/>
    </row>
    <row r="58" spans="1:22" ht="24.75" customHeight="1">
      <c r="A58" s="751">
        <v>71782</v>
      </c>
      <c r="B58" s="1012"/>
      <c r="C58" s="1323" t="s">
        <v>626</v>
      </c>
      <c r="D58" s="1346" t="s">
        <v>467</v>
      </c>
      <c r="E58" s="753" t="s">
        <v>624</v>
      </c>
      <c r="F58" s="157" t="s">
        <v>625</v>
      </c>
      <c r="G58" s="444"/>
      <c r="H58" s="280" t="s">
        <v>1238</v>
      </c>
      <c r="I58" s="1061" t="s">
        <v>1546</v>
      </c>
      <c r="J58" s="121"/>
      <c r="K58" s="190">
        <f>ROUND(175*(1-$G$4),2)</f>
        <v>169.75</v>
      </c>
      <c r="L58" s="328">
        <v>2017</v>
      </c>
      <c r="M58" s="328" t="s">
        <v>1231</v>
      </c>
      <c r="N58" s="148">
        <v>50</v>
      </c>
      <c r="O58" s="271" t="s">
        <v>1233</v>
      </c>
      <c r="P58" s="328">
        <v>24</v>
      </c>
      <c r="Q58" s="445" t="s">
        <v>1235</v>
      </c>
      <c r="R58" s="322">
        <v>9785990885271</v>
      </c>
      <c r="S58" s="1134" t="s">
        <v>1888</v>
      </c>
      <c r="T58" s="448">
        <v>0.1</v>
      </c>
      <c r="U58" s="917" t="s">
        <v>312</v>
      </c>
      <c r="V58" s="360"/>
    </row>
    <row r="59" spans="1:22" ht="24.75" customHeight="1">
      <c r="A59" s="751">
        <v>71783</v>
      </c>
      <c r="B59" s="1012"/>
      <c r="C59" s="1323" t="s">
        <v>623</v>
      </c>
      <c r="D59" s="1346" t="s">
        <v>467</v>
      </c>
      <c r="E59" s="888" t="s">
        <v>624</v>
      </c>
      <c r="F59" s="157" t="s">
        <v>622</v>
      </c>
      <c r="G59" s="444"/>
      <c r="H59" s="280" t="s">
        <v>1238</v>
      </c>
      <c r="I59" s="1061" t="s">
        <v>1546</v>
      </c>
      <c r="J59" s="121"/>
      <c r="K59" s="190">
        <f>ROUND(175*(1-$G$4),2)</f>
        <v>169.75</v>
      </c>
      <c r="L59" s="328">
        <v>2017</v>
      </c>
      <c r="M59" s="328" t="s">
        <v>1231</v>
      </c>
      <c r="N59" s="148">
        <v>50</v>
      </c>
      <c r="O59" s="271" t="s">
        <v>1233</v>
      </c>
      <c r="P59" s="328">
        <v>24</v>
      </c>
      <c r="Q59" s="445" t="s">
        <v>1235</v>
      </c>
      <c r="R59" s="447">
        <v>9785990885257</v>
      </c>
      <c r="S59" s="1134" t="s">
        <v>1888</v>
      </c>
      <c r="T59" s="448">
        <v>0.1</v>
      </c>
      <c r="U59" s="917" t="s">
        <v>312</v>
      </c>
      <c r="V59" s="360"/>
    </row>
    <row r="60" spans="1:22" ht="24.75" customHeight="1">
      <c r="A60" s="751">
        <v>71753</v>
      </c>
      <c r="B60" s="1012"/>
      <c r="C60" s="749" t="s">
        <v>580</v>
      </c>
      <c r="D60" s="1346" t="s">
        <v>467</v>
      </c>
      <c r="E60" s="157" t="s">
        <v>528</v>
      </c>
      <c r="F60" s="157" t="s">
        <v>579</v>
      </c>
      <c r="G60" s="444"/>
      <c r="H60" s="280" t="s">
        <v>1238</v>
      </c>
      <c r="I60" s="1061" t="s">
        <v>1546</v>
      </c>
      <c r="J60" s="121"/>
      <c r="K60" s="190">
        <f>ROUND(150*(1-$G$4),2)</f>
        <v>145.5</v>
      </c>
      <c r="L60" s="328">
        <v>2016</v>
      </c>
      <c r="M60" s="328" t="s">
        <v>1231</v>
      </c>
      <c r="N60" s="148">
        <v>30</v>
      </c>
      <c r="O60" s="445" t="s">
        <v>1255</v>
      </c>
      <c r="P60" s="328">
        <v>48</v>
      </c>
      <c r="Q60" s="445" t="s">
        <v>1235</v>
      </c>
      <c r="R60" s="322" t="s">
        <v>581</v>
      </c>
      <c r="S60" s="1134" t="s">
        <v>1888</v>
      </c>
      <c r="T60" s="946">
        <v>0.18</v>
      </c>
      <c r="U60" s="917" t="s">
        <v>312</v>
      </c>
      <c r="V60" s="360"/>
    </row>
    <row r="61" spans="1:22" ht="27" customHeight="1">
      <c r="A61" s="751">
        <v>71754</v>
      </c>
      <c r="B61" s="1012"/>
      <c r="C61" s="749" t="s">
        <v>586</v>
      </c>
      <c r="D61" s="1346" t="s">
        <v>467</v>
      </c>
      <c r="E61" s="157" t="s">
        <v>528</v>
      </c>
      <c r="F61" s="157" t="s">
        <v>585</v>
      </c>
      <c r="G61" s="444"/>
      <c r="H61" s="280" t="s">
        <v>1238</v>
      </c>
      <c r="I61" s="1061" t="s">
        <v>1546</v>
      </c>
      <c r="J61" s="121"/>
      <c r="K61" s="190">
        <f>ROUND(150*(1-$G$4),2)</f>
        <v>145.5</v>
      </c>
      <c r="L61" s="328">
        <v>2016</v>
      </c>
      <c r="M61" s="328" t="s">
        <v>1231</v>
      </c>
      <c r="N61" s="148">
        <v>30</v>
      </c>
      <c r="O61" s="445" t="s">
        <v>1255</v>
      </c>
      <c r="P61" s="328">
        <v>48</v>
      </c>
      <c r="Q61" s="445" t="s">
        <v>1235</v>
      </c>
      <c r="R61" s="322" t="s">
        <v>587</v>
      </c>
      <c r="S61" s="1134" t="s">
        <v>1888</v>
      </c>
      <c r="T61" s="946">
        <v>0.18</v>
      </c>
      <c r="U61" s="917" t="s">
        <v>312</v>
      </c>
      <c r="V61" s="360"/>
    </row>
    <row r="62" spans="1:22" ht="27" customHeight="1">
      <c r="A62" s="751">
        <v>71755</v>
      </c>
      <c r="B62" s="1012"/>
      <c r="C62" s="749" t="s">
        <v>583</v>
      </c>
      <c r="D62" s="1346" t="s">
        <v>467</v>
      </c>
      <c r="E62" s="157" t="s">
        <v>528</v>
      </c>
      <c r="F62" s="157" t="s">
        <v>582</v>
      </c>
      <c r="G62" s="444"/>
      <c r="H62" s="280" t="s">
        <v>1238</v>
      </c>
      <c r="I62" s="1061" t="s">
        <v>1546</v>
      </c>
      <c r="J62" s="121"/>
      <c r="K62" s="190">
        <f>ROUND(150*(1-$G$4),2)</f>
        <v>145.5</v>
      </c>
      <c r="L62" s="328">
        <v>2016</v>
      </c>
      <c r="M62" s="328" t="s">
        <v>1231</v>
      </c>
      <c r="N62" s="148">
        <v>30</v>
      </c>
      <c r="O62" s="445" t="s">
        <v>1255</v>
      </c>
      <c r="P62" s="328">
        <v>48</v>
      </c>
      <c r="Q62" s="445" t="s">
        <v>1235</v>
      </c>
      <c r="R62" s="322" t="s">
        <v>584</v>
      </c>
      <c r="S62" s="1134" t="s">
        <v>1888</v>
      </c>
      <c r="T62" s="946">
        <v>0.18</v>
      </c>
      <c r="U62" s="917" t="s">
        <v>312</v>
      </c>
      <c r="V62" s="360"/>
    </row>
    <row r="63" spans="1:22" ht="27" customHeight="1">
      <c r="A63" s="751">
        <v>71756</v>
      </c>
      <c r="B63" s="1012"/>
      <c r="C63" s="749" t="s">
        <v>577</v>
      </c>
      <c r="D63" s="1346" t="s">
        <v>467</v>
      </c>
      <c r="E63" s="157" t="s">
        <v>528</v>
      </c>
      <c r="F63" s="157" t="s">
        <v>576</v>
      </c>
      <c r="G63" s="444"/>
      <c r="H63" s="280" t="s">
        <v>1238</v>
      </c>
      <c r="I63" s="1061" t="s">
        <v>1546</v>
      </c>
      <c r="J63" s="121"/>
      <c r="K63" s="190">
        <f>ROUND(150*(1-$G$4),2)</f>
        <v>145.5</v>
      </c>
      <c r="L63" s="328">
        <v>2016</v>
      </c>
      <c r="M63" s="328" t="s">
        <v>1231</v>
      </c>
      <c r="N63" s="148">
        <v>30</v>
      </c>
      <c r="O63" s="445" t="s">
        <v>1255</v>
      </c>
      <c r="P63" s="328">
        <v>48</v>
      </c>
      <c r="Q63" s="445" t="s">
        <v>1235</v>
      </c>
      <c r="R63" s="322" t="s">
        <v>578</v>
      </c>
      <c r="S63" s="1134" t="s">
        <v>1888</v>
      </c>
      <c r="T63" s="946">
        <v>0.18</v>
      </c>
      <c r="U63" s="917" t="s">
        <v>312</v>
      </c>
      <c r="V63" s="360"/>
    </row>
    <row r="64" spans="1:22" ht="27" customHeight="1">
      <c r="A64" s="751">
        <v>71974</v>
      </c>
      <c r="B64" s="1016"/>
      <c r="C64" s="1334" t="s">
        <v>459</v>
      </c>
      <c r="D64" s="1347" t="s">
        <v>467</v>
      </c>
      <c r="E64" s="157" t="s">
        <v>528</v>
      </c>
      <c r="F64" s="764" t="s">
        <v>460</v>
      </c>
      <c r="G64" s="269"/>
      <c r="H64" s="169" t="s">
        <v>1320</v>
      </c>
      <c r="I64" s="1064" t="s">
        <v>1546</v>
      </c>
      <c r="J64" s="85"/>
      <c r="K64" s="190">
        <f>ROUND(193*(1-$G$4),2)</f>
        <v>187.21</v>
      </c>
      <c r="L64" s="271">
        <v>2016</v>
      </c>
      <c r="M64" s="465">
        <v>0.1</v>
      </c>
      <c r="N64" s="271">
        <v>25</v>
      </c>
      <c r="O64" s="271" t="s">
        <v>1233</v>
      </c>
      <c r="P64" s="271" t="s">
        <v>2089</v>
      </c>
      <c r="Q64" s="272" t="s">
        <v>1235</v>
      </c>
      <c r="R64" s="322">
        <v>9785990830905</v>
      </c>
      <c r="S64" s="874" t="s">
        <v>1888</v>
      </c>
      <c r="T64" s="946">
        <v>0.18</v>
      </c>
      <c r="U64" s="917" t="s">
        <v>312</v>
      </c>
      <c r="V64" s="360" t="e">
        <f>VLOOKUP(A64,#REF!,10,FALSE)</f>
        <v>#REF!</v>
      </c>
    </row>
    <row r="65" spans="1:22" ht="27" customHeight="1">
      <c r="A65" s="762">
        <v>71543</v>
      </c>
      <c r="B65" s="1016"/>
      <c r="C65" s="1334" t="s">
        <v>461</v>
      </c>
      <c r="D65" s="1347" t="s">
        <v>467</v>
      </c>
      <c r="E65" s="157" t="s">
        <v>528</v>
      </c>
      <c r="F65" s="764" t="s">
        <v>462</v>
      </c>
      <c r="G65" s="269"/>
      <c r="H65" s="280"/>
      <c r="I65" s="1064" t="s">
        <v>1546</v>
      </c>
      <c r="J65" s="85"/>
      <c r="K65" s="190">
        <f>ROUND(193*(1-$G$4),2)</f>
        <v>187.21</v>
      </c>
      <c r="L65" s="271">
        <v>2016</v>
      </c>
      <c r="M65" s="465">
        <v>0.1</v>
      </c>
      <c r="N65" s="271" t="s">
        <v>458</v>
      </c>
      <c r="O65" s="271" t="s">
        <v>1233</v>
      </c>
      <c r="P65" s="271" t="s">
        <v>2089</v>
      </c>
      <c r="Q65" s="272" t="s">
        <v>1235</v>
      </c>
      <c r="R65" s="322">
        <v>9785990830929</v>
      </c>
      <c r="S65" s="874" t="s">
        <v>1888</v>
      </c>
      <c r="T65" s="946">
        <v>0.18</v>
      </c>
      <c r="U65" s="917" t="s">
        <v>312</v>
      </c>
      <c r="V65" s="360" t="e">
        <f>VLOOKUP(A65,#REF!,10,FALSE)</f>
        <v>#REF!</v>
      </c>
    </row>
    <row r="66" spans="1:22" s="96" customFormat="1" ht="27" customHeight="1">
      <c r="A66" s="762">
        <v>71544</v>
      </c>
      <c r="B66" s="1016"/>
      <c r="C66" s="1334" t="s">
        <v>463</v>
      </c>
      <c r="D66" s="1347" t="s">
        <v>467</v>
      </c>
      <c r="E66" s="157" t="s">
        <v>528</v>
      </c>
      <c r="F66" s="764" t="s">
        <v>464</v>
      </c>
      <c r="G66" s="269"/>
      <c r="H66" s="280"/>
      <c r="I66" s="1064" t="s">
        <v>1239</v>
      </c>
      <c r="J66" s="85"/>
      <c r="K66" s="190">
        <f>ROUND(193*(1-$G$4),2)</f>
        <v>187.21</v>
      </c>
      <c r="L66" s="271">
        <v>2016</v>
      </c>
      <c r="M66" s="465">
        <v>0.1</v>
      </c>
      <c r="N66" s="271" t="s">
        <v>458</v>
      </c>
      <c r="O66" s="271" t="s">
        <v>1233</v>
      </c>
      <c r="P66" s="271" t="s">
        <v>2089</v>
      </c>
      <c r="Q66" s="272" t="s">
        <v>1235</v>
      </c>
      <c r="R66" s="322">
        <v>9785990830943</v>
      </c>
      <c r="S66" s="874" t="s">
        <v>1888</v>
      </c>
      <c r="T66" s="946">
        <v>0.18</v>
      </c>
      <c r="U66" s="917" t="s">
        <v>312</v>
      </c>
      <c r="V66" s="360" t="e">
        <f>VLOOKUP(A66,#REF!,10,FALSE)</f>
        <v>#REF!</v>
      </c>
    </row>
    <row r="67" spans="1:22" s="96" customFormat="1" ht="27" customHeight="1">
      <c r="A67" s="762">
        <v>71560</v>
      </c>
      <c r="B67" s="1016"/>
      <c r="C67" s="1334" t="s">
        <v>465</v>
      </c>
      <c r="D67" s="1347" t="s">
        <v>467</v>
      </c>
      <c r="E67" s="157" t="s">
        <v>528</v>
      </c>
      <c r="F67" s="764" t="s">
        <v>466</v>
      </c>
      <c r="G67" s="269"/>
      <c r="H67" s="280"/>
      <c r="I67" s="1064" t="s">
        <v>1546</v>
      </c>
      <c r="J67" s="85"/>
      <c r="K67" s="190">
        <f>ROUND(193*(1-$G$4),2)</f>
        <v>187.21</v>
      </c>
      <c r="L67" s="271">
        <v>2016</v>
      </c>
      <c r="M67" s="465">
        <v>0.1</v>
      </c>
      <c r="N67" s="271" t="s">
        <v>458</v>
      </c>
      <c r="O67" s="271" t="s">
        <v>1233</v>
      </c>
      <c r="P67" s="271" t="s">
        <v>2089</v>
      </c>
      <c r="Q67" s="272" t="s">
        <v>1235</v>
      </c>
      <c r="R67" s="322">
        <v>9785990830967</v>
      </c>
      <c r="S67" s="874" t="s">
        <v>1888</v>
      </c>
      <c r="T67" s="946">
        <v>0.18</v>
      </c>
      <c r="U67" s="917" t="s">
        <v>312</v>
      </c>
      <c r="V67" s="360" t="e">
        <f>VLOOKUP(A67,#REF!,10,FALSE)</f>
        <v>#REF!</v>
      </c>
    </row>
    <row r="68" spans="1:22" s="96" customFormat="1" ht="27" customHeight="1">
      <c r="A68" s="880">
        <v>71727</v>
      </c>
      <c r="B68" s="974">
        <v>267</v>
      </c>
      <c r="C68" s="1323" t="s">
        <v>567</v>
      </c>
      <c r="D68" s="1347" t="s">
        <v>467</v>
      </c>
      <c r="E68" s="157" t="s">
        <v>528</v>
      </c>
      <c r="F68" s="877" t="s">
        <v>566</v>
      </c>
      <c r="G68" s="269"/>
      <c r="H68" s="280"/>
      <c r="I68" s="1064" t="s">
        <v>1546</v>
      </c>
      <c r="J68" s="85"/>
      <c r="K68" s="190">
        <f>ROUND(150*(1-$G$4),2)</f>
        <v>145.5</v>
      </c>
      <c r="L68" s="271">
        <v>2016</v>
      </c>
      <c r="M68" s="465">
        <v>0.1</v>
      </c>
      <c r="N68" s="271">
        <v>30</v>
      </c>
      <c r="O68" s="878" t="s">
        <v>1255</v>
      </c>
      <c r="P68" s="271">
        <v>48</v>
      </c>
      <c r="Q68" s="272" t="s">
        <v>1235</v>
      </c>
      <c r="R68" s="322">
        <v>9785990885097</v>
      </c>
      <c r="S68" s="874" t="s">
        <v>1888</v>
      </c>
      <c r="T68" s="276">
        <v>0.2</v>
      </c>
      <c r="U68" s="917" t="s">
        <v>312</v>
      </c>
      <c r="V68" s="360"/>
    </row>
    <row r="69" spans="1:22" s="96" customFormat="1" ht="27" customHeight="1">
      <c r="A69" s="880">
        <v>71728</v>
      </c>
      <c r="B69" s="974">
        <v>264</v>
      </c>
      <c r="C69" s="1323" t="s">
        <v>565</v>
      </c>
      <c r="D69" s="1347" t="s">
        <v>467</v>
      </c>
      <c r="E69" s="157" t="s">
        <v>528</v>
      </c>
      <c r="F69" s="877" t="s">
        <v>564</v>
      </c>
      <c r="G69" s="269"/>
      <c r="H69" s="280"/>
      <c r="I69" s="1064" t="s">
        <v>1546</v>
      </c>
      <c r="J69" s="85"/>
      <c r="K69" s="190">
        <f>ROUND(150*(1-$G$4),2)</f>
        <v>145.5</v>
      </c>
      <c r="L69" s="271">
        <v>2016</v>
      </c>
      <c r="M69" s="465">
        <v>0.1</v>
      </c>
      <c r="N69" s="271">
        <v>30</v>
      </c>
      <c r="O69" s="878" t="s">
        <v>1255</v>
      </c>
      <c r="P69" s="271">
        <v>48</v>
      </c>
      <c r="Q69" s="272" t="s">
        <v>1235</v>
      </c>
      <c r="R69" s="322">
        <v>9785990885103</v>
      </c>
      <c r="S69" s="874" t="s">
        <v>1888</v>
      </c>
      <c r="T69" s="276">
        <v>0.2</v>
      </c>
      <c r="U69" s="917" t="s">
        <v>312</v>
      </c>
      <c r="V69" s="360"/>
    </row>
    <row r="70" spans="1:22" ht="26.25" customHeight="1">
      <c r="A70" s="880">
        <v>71729</v>
      </c>
      <c r="B70" s="974">
        <v>265</v>
      </c>
      <c r="C70" s="1323" t="s">
        <v>569</v>
      </c>
      <c r="D70" s="1347" t="s">
        <v>467</v>
      </c>
      <c r="E70" s="157" t="s">
        <v>528</v>
      </c>
      <c r="F70" s="877" t="s">
        <v>568</v>
      </c>
      <c r="G70" s="269"/>
      <c r="H70" s="280"/>
      <c r="I70" s="1064" t="s">
        <v>1546</v>
      </c>
      <c r="J70" s="85"/>
      <c r="K70" s="190">
        <f>ROUND(150*(1-$G$4),2)</f>
        <v>145.5</v>
      </c>
      <c r="L70" s="271">
        <v>2016</v>
      </c>
      <c r="M70" s="465">
        <v>0.1</v>
      </c>
      <c r="N70" s="271">
        <v>30</v>
      </c>
      <c r="O70" s="878" t="s">
        <v>1255</v>
      </c>
      <c r="P70" s="271">
        <v>48</v>
      </c>
      <c r="Q70" s="272" t="s">
        <v>1235</v>
      </c>
      <c r="R70" s="322">
        <v>9785990885066</v>
      </c>
      <c r="S70" s="874" t="s">
        <v>1888</v>
      </c>
      <c r="T70" s="276">
        <v>0.2</v>
      </c>
      <c r="U70" s="917" t="s">
        <v>312</v>
      </c>
      <c r="V70" s="360"/>
    </row>
    <row r="71" spans="1:22" ht="26.25" customHeight="1" thickBot="1">
      <c r="A71" s="1752">
        <v>71730</v>
      </c>
      <c r="B71" s="1753">
        <v>266</v>
      </c>
      <c r="C71" s="1627" t="s">
        <v>571</v>
      </c>
      <c r="D71" s="1628" t="s">
        <v>467</v>
      </c>
      <c r="E71" s="184" t="s">
        <v>528</v>
      </c>
      <c r="F71" s="1754" t="s">
        <v>570</v>
      </c>
      <c r="G71" s="1430"/>
      <c r="H71" s="1755"/>
      <c r="I71" s="1756" t="s">
        <v>1546</v>
      </c>
      <c r="J71" s="235"/>
      <c r="K71" s="193">
        <f>ROUND(150*(1-$G$4),2)</f>
        <v>145.5</v>
      </c>
      <c r="L71" s="1431">
        <v>2016</v>
      </c>
      <c r="M71" s="485">
        <v>0.1</v>
      </c>
      <c r="N71" s="1431">
        <v>30</v>
      </c>
      <c r="O71" s="1757" t="s">
        <v>1255</v>
      </c>
      <c r="P71" s="1431">
        <v>48</v>
      </c>
      <c r="Q71" s="645" t="s">
        <v>1235</v>
      </c>
      <c r="R71" s="325">
        <v>9785990885080</v>
      </c>
      <c r="S71" s="1432" t="s">
        <v>1888</v>
      </c>
      <c r="T71" s="298">
        <v>0.2</v>
      </c>
      <c r="U71" s="930" t="s">
        <v>312</v>
      </c>
      <c r="V71" s="360"/>
    </row>
    <row r="72" spans="1:22" ht="26.25" customHeight="1">
      <c r="A72" s="1758" t="s">
        <v>946</v>
      </c>
      <c r="B72" s="1759"/>
      <c r="C72" s="1760" t="s">
        <v>945</v>
      </c>
      <c r="D72" s="727" t="s">
        <v>962</v>
      </c>
      <c r="E72" s="729" t="s">
        <v>944</v>
      </c>
      <c r="F72" s="492" t="s">
        <v>947</v>
      </c>
      <c r="G72" s="1761"/>
      <c r="H72" s="281" t="s">
        <v>1238</v>
      </c>
      <c r="I72" s="1762" t="s">
        <v>1546</v>
      </c>
      <c r="J72" s="356"/>
      <c r="K72" s="195">
        <f>ROUND(80*(1-$G$4),2)</f>
        <v>77.6</v>
      </c>
      <c r="L72" s="1763">
        <v>2017</v>
      </c>
      <c r="M72" s="412">
        <v>0.1</v>
      </c>
      <c r="N72" s="1763">
        <v>50</v>
      </c>
      <c r="O72" s="1179" t="s">
        <v>1233</v>
      </c>
      <c r="P72" s="1763">
        <v>24</v>
      </c>
      <c r="Q72" s="413" t="s">
        <v>1235</v>
      </c>
      <c r="R72" s="320">
        <v>9785990940994</v>
      </c>
      <c r="S72" s="1764" t="s">
        <v>1888</v>
      </c>
      <c r="T72" s="1468">
        <v>0.1</v>
      </c>
      <c r="U72" s="1370" t="s">
        <v>312</v>
      </c>
      <c r="V72" s="360"/>
    </row>
    <row r="73" spans="1:22" ht="26.25" customHeight="1">
      <c r="A73" s="1765" t="s">
        <v>949</v>
      </c>
      <c r="B73" s="1746"/>
      <c r="C73" s="1747" t="s">
        <v>948</v>
      </c>
      <c r="D73" s="730" t="s">
        <v>962</v>
      </c>
      <c r="E73" s="732" t="s">
        <v>944</v>
      </c>
      <c r="F73" s="510" t="s">
        <v>950</v>
      </c>
      <c r="G73" s="1748"/>
      <c r="H73" s="280" t="s">
        <v>1238</v>
      </c>
      <c r="I73" s="1749" t="s">
        <v>1546</v>
      </c>
      <c r="J73" s="80"/>
      <c r="K73" s="196">
        <f>ROUND(80*(1-$G$4),2)</f>
        <v>77.6</v>
      </c>
      <c r="L73" s="1750">
        <v>2017</v>
      </c>
      <c r="M73" s="402">
        <v>0.1</v>
      </c>
      <c r="N73" s="1750">
        <v>50</v>
      </c>
      <c r="O73" s="1190" t="s">
        <v>1233</v>
      </c>
      <c r="P73" s="1750">
        <v>24</v>
      </c>
      <c r="Q73" s="284" t="s">
        <v>1235</v>
      </c>
      <c r="R73" s="321">
        <v>9785990940963</v>
      </c>
      <c r="S73" s="1751" t="s">
        <v>1888</v>
      </c>
      <c r="T73" s="871">
        <v>0.1</v>
      </c>
      <c r="U73" s="1135" t="s">
        <v>312</v>
      </c>
      <c r="V73" s="360"/>
    </row>
    <row r="74" spans="1:22" ht="26.25" customHeight="1">
      <c r="A74" s="1765" t="s">
        <v>952</v>
      </c>
      <c r="B74" s="1746"/>
      <c r="C74" s="1747" t="s">
        <v>951</v>
      </c>
      <c r="D74" s="730" t="s">
        <v>962</v>
      </c>
      <c r="E74" s="732" t="s">
        <v>944</v>
      </c>
      <c r="F74" s="510" t="s">
        <v>953</v>
      </c>
      <c r="G74" s="1748"/>
      <c r="H74" s="280" t="s">
        <v>1238</v>
      </c>
      <c r="I74" s="1749" t="s">
        <v>1546</v>
      </c>
      <c r="J74" s="80"/>
      <c r="K74" s="196">
        <f>ROUND(80*(1-$G$4),2)</f>
        <v>77.6</v>
      </c>
      <c r="L74" s="1750">
        <v>2017</v>
      </c>
      <c r="M74" s="402">
        <v>0.1</v>
      </c>
      <c r="N74" s="1750">
        <v>50</v>
      </c>
      <c r="O74" s="1190" t="s">
        <v>1233</v>
      </c>
      <c r="P74" s="1750">
        <v>24</v>
      </c>
      <c r="Q74" s="284" t="s">
        <v>1235</v>
      </c>
      <c r="R74" s="321">
        <v>9785990940970</v>
      </c>
      <c r="S74" s="1751" t="s">
        <v>1888</v>
      </c>
      <c r="T74" s="871">
        <v>0.1</v>
      </c>
      <c r="U74" s="1135" t="s">
        <v>312</v>
      </c>
      <c r="V74" s="360"/>
    </row>
    <row r="75" spans="1:22" ht="26.25" customHeight="1" thickBot="1">
      <c r="A75" s="1766" t="s">
        <v>955</v>
      </c>
      <c r="B75" s="1767"/>
      <c r="C75" s="1768" t="s">
        <v>954</v>
      </c>
      <c r="D75" s="742" t="s">
        <v>962</v>
      </c>
      <c r="E75" s="733" t="s">
        <v>944</v>
      </c>
      <c r="F75" s="368" t="s">
        <v>956</v>
      </c>
      <c r="G75" s="1769"/>
      <c r="H75" s="282" t="s">
        <v>1238</v>
      </c>
      <c r="I75" s="1770" t="s">
        <v>1546</v>
      </c>
      <c r="J75" s="265"/>
      <c r="K75" s="200">
        <f>ROUND(80*(1-$G$4),2)</f>
        <v>77.6</v>
      </c>
      <c r="L75" s="1771">
        <v>2017</v>
      </c>
      <c r="M75" s="417">
        <v>0.1</v>
      </c>
      <c r="N75" s="1771">
        <v>50</v>
      </c>
      <c r="O75" s="1276" t="s">
        <v>1233</v>
      </c>
      <c r="P75" s="1771">
        <v>24</v>
      </c>
      <c r="Q75" s="289" t="s">
        <v>1235</v>
      </c>
      <c r="R75" s="513">
        <v>9785990940987</v>
      </c>
      <c r="S75" s="1772" t="s">
        <v>1888</v>
      </c>
      <c r="T75" s="872">
        <v>0.1</v>
      </c>
      <c r="U75" s="1371" t="s">
        <v>312</v>
      </c>
      <c r="V75" s="360"/>
    </row>
    <row r="76" spans="1:22" ht="26.25" customHeight="1">
      <c r="A76" s="734">
        <v>71771</v>
      </c>
      <c r="B76" s="1006"/>
      <c r="C76" s="1337" t="s">
        <v>617</v>
      </c>
      <c r="D76" s="734" t="s">
        <v>414</v>
      </c>
      <c r="E76" s="736" t="s">
        <v>415</v>
      </c>
      <c r="F76" s="736" t="s">
        <v>416</v>
      </c>
      <c r="G76" s="420"/>
      <c r="H76" s="1674" t="s">
        <v>1320</v>
      </c>
      <c r="I76" s="1070"/>
      <c r="J76" s="420"/>
      <c r="K76" s="198">
        <f>ROUND(142.4*(1-$G$4),2)</f>
        <v>138.13</v>
      </c>
      <c r="L76" s="260">
        <v>2016</v>
      </c>
      <c r="M76" s="421">
        <v>0.1</v>
      </c>
      <c r="N76" s="422">
        <v>20</v>
      </c>
      <c r="O76" s="422" t="s">
        <v>1233</v>
      </c>
      <c r="P76" s="422">
        <v>32</v>
      </c>
      <c r="Q76" s="422" t="s">
        <v>1235</v>
      </c>
      <c r="R76" s="477">
        <v>9785944642783</v>
      </c>
      <c r="S76" s="366" t="s">
        <v>454</v>
      </c>
      <c r="T76" s="509">
        <v>0.154</v>
      </c>
      <c r="U76" s="922" t="s">
        <v>453</v>
      </c>
      <c r="V76" s="360" t="e">
        <f>VLOOKUP(A76,#REF!,10,FALSE)</f>
        <v>#REF!</v>
      </c>
    </row>
    <row r="77" spans="1:22" ht="27" customHeight="1">
      <c r="A77" s="730">
        <v>71532</v>
      </c>
      <c r="B77" s="1005">
        <v>133</v>
      </c>
      <c r="C77" s="797" t="s">
        <v>767</v>
      </c>
      <c r="D77" s="730" t="s">
        <v>414</v>
      </c>
      <c r="E77" s="732" t="s">
        <v>415</v>
      </c>
      <c r="F77" s="732" t="s">
        <v>417</v>
      </c>
      <c r="G77" s="415"/>
      <c r="H77" s="221"/>
      <c r="I77" s="1071"/>
      <c r="J77" s="415"/>
      <c r="K77" s="196">
        <f>ROUND(142.4*(1-$G$4),2)</f>
        <v>138.13</v>
      </c>
      <c r="L77" s="148">
        <v>2016</v>
      </c>
      <c r="M77" s="402">
        <v>0.1</v>
      </c>
      <c r="N77" s="284">
        <v>20</v>
      </c>
      <c r="O77" s="284" t="s">
        <v>1233</v>
      </c>
      <c r="P77" s="284">
        <v>32</v>
      </c>
      <c r="Q77" s="284" t="s">
        <v>1235</v>
      </c>
      <c r="R77" s="322">
        <v>9785944642639</v>
      </c>
      <c r="S77" s="357" t="s">
        <v>454</v>
      </c>
      <c r="T77" s="288">
        <v>0.154</v>
      </c>
      <c r="U77" s="920" t="s">
        <v>453</v>
      </c>
      <c r="V77" s="360" t="e">
        <f>VLOOKUP(A77,#REF!,10,FALSE)</f>
        <v>#REF!</v>
      </c>
    </row>
    <row r="78" spans="1:22" ht="27" customHeight="1">
      <c r="A78" s="730">
        <v>71564</v>
      </c>
      <c r="B78" s="1005">
        <v>155</v>
      </c>
      <c r="C78" s="797" t="s">
        <v>899</v>
      </c>
      <c r="D78" s="730" t="s">
        <v>414</v>
      </c>
      <c r="E78" s="732" t="s">
        <v>415</v>
      </c>
      <c r="F78" s="732" t="s">
        <v>418</v>
      </c>
      <c r="G78" s="415"/>
      <c r="H78" s="167" t="s">
        <v>1799</v>
      </c>
      <c r="I78" s="1071"/>
      <c r="J78" s="415"/>
      <c r="K78" s="196"/>
      <c r="L78" s="148">
        <v>2016</v>
      </c>
      <c r="M78" s="402">
        <v>0.1</v>
      </c>
      <c r="N78" s="284">
        <v>20</v>
      </c>
      <c r="O78" s="284" t="s">
        <v>1233</v>
      </c>
      <c r="P78" s="284" t="s">
        <v>455</v>
      </c>
      <c r="Q78" s="284" t="s">
        <v>1235</v>
      </c>
      <c r="R78" s="322">
        <v>9785944642653</v>
      </c>
      <c r="S78" s="357" t="s">
        <v>454</v>
      </c>
      <c r="T78" s="288">
        <v>0.154</v>
      </c>
      <c r="U78" s="920" t="s">
        <v>453</v>
      </c>
      <c r="V78" s="360" t="e">
        <f>VLOOKUP(A78,#REF!,10,FALSE)</f>
        <v>#REF!</v>
      </c>
    </row>
    <row r="79" spans="1:22" ht="27" customHeight="1">
      <c r="A79" s="730">
        <v>71565</v>
      </c>
      <c r="B79" s="1005">
        <v>268</v>
      </c>
      <c r="C79" s="797" t="s">
        <v>766</v>
      </c>
      <c r="D79" s="730" t="s">
        <v>414</v>
      </c>
      <c r="E79" s="732" t="s">
        <v>415</v>
      </c>
      <c r="F79" s="732" t="s">
        <v>419</v>
      </c>
      <c r="G79" s="415"/>
      <c r="H79" s="167" t="s">
        <v>1799</v>
      </c>
      <c r="I79" s="1071"/>
      <c r="J79" s="415"/>
      <c r="K79" s="196"/>
      <c r="L79" s="148">
        <v>2016</v>
      </c>
      <c r="M79" s="402">
        <v>0.1</v>
      </c>
      <c r="N79" s="284">
        <v>12</v>
      </c>
      <c r="O79" s="284" t="s">
        <v>1233</v>
      </c>
      <c r="P79" s="284" t="s">
        <v>457</v>
      </c>
      <c r="Q79" s="284" t="s">
        <v>1235</v>
      </c>
      <c r="R79" s="322">
        <v>9785944642530</v>
      </c>
      <c r="S79" s="357" t="s">
        <v>454</v>
      </c>
      <c r="T79" s="288">
        <v>0.268</v>
      </c>
      <c r="U79" s="920" t="s">
        <v>453</v>
      </c>
      <c r="V79" s="360" t="e">
        <f>VLOOKUP(A79,#REF!,10,FALSE)</f>
        <v>#REF!</v>
      </c>
    </row>
    <row r="80" spans="1:22" ht="27" customHeight="1">
      <c r="A80" s="730">
        <v>71529</v>
      </c>
      <c r="B80" s="1005">
        <v>322</v>
      </c>
      <c r="C80" s="797" t="s">
        <v>768</v>
      </c>
      <c r="D80" s="730" t="s">
        <v>414</v>
      </c>
      <c r="E80" s="732" t="s">
        <v>415</v>
      </c>
      <c r="F80" s="732" t="s">
        <v>420</v>
      </c>
      <c r="G80" s="415"/>
      <c r="H80" s="221"/>
      <c r="I80" s="1071"/>
      <c r="J80" s="415"/>
      <c r="K80" s="196">
        <f>ROUND(142.4*(1-$G$4),2)</f>
        <v>138.13</v>
      </c>
      <c r="L80" s="148">
        <v>2016</v>
      </c>
      <c r="M80" s="402">
        <v>0.1</v>
      </c>
      <c r="N80" s="284">
        <v>20</v>
      </c>
      <c r="O80" s="284" t="s">
        <v>1233</v>
      </c>
      <c r="P80" s="284">
        <v>32</v>
      </c>
      <c r="Q80" s="284" t="s">
        <v>1235</v>
      </c>
      <c r="R80" s="322">
        <v>9785944642547</v>
      </c>
      <c r="S80" s="357" t="s">
        <v>454</v>
      </c>
      <c r="T80" s="288">
        <v>0.154</v>
      </c>
      <c r="U80" s="920" t="s">
        <v>453</v>
      </c>
      <c r="V80" s="360" t="e">
        <f>VLOOKUP(A80,#REF!,10,FALSE)</f>
        <v>#REF!</v>
      </c>
    </row>
    <row r="81" spans="1:22" ht="27" customHeight="1" thickBot="1">
      <c r="A81" s="716">
        <v>71733</v>
      </c>
      <c r="B81" s="999">
        <v>355</v>
      </c>
      <c r="C81" s="1352" t="s">
        <v>552</v>
      </c>
      <c r="D81" s="1467" t="s">
        <v>414</v>
      </c>
      <c r="E81" s="1464" t="s">
        <v>415</v>
      </c>
      <c r="F81" s="1464" t="s">
        <v>551</v>
      </c>
      <c r="G81" s="1463"/>
      <c r="H81" s="1385"/>
      <c r="I81" s="1073"/>
      <c r="J81" s="1463"/>
      <c r="K81" s="197">
        <f>ROUND(142.4*(1-$G$4),2)</f>
        <v>138.13</v>
      </c>
      <c r="L81" s="259">
        <v>2016</v>
      </c>
      <c r="M81" s="1462">
        <v>0.1</v>
      </c>
      <c r="N81" s="425">
        <v>20</v>
      </c>
      <c r="O81" s="425" t="s">
        <v>1233</v>
      </c>
      <c r="P81" s="425">
        <v>32</v>
      </c>
      <c r="Q81" s="425" t="s">
        <v>1235</v>
      </c>
      <c r="R81" s="477">
        <v>9785944642547</v>
      </c>
      <c r="S81" s="558" t="s">
        <v>454</v>
      </c>
      <c r="T81" s="555">
        <v>0.154</v>
      </c>
      <c r="U81" s="1461" t="s">
        <v>453</v>
      </c>
      <c r="V81" s="360"/>
    </row>
    <row r="82" spans="1:22" ht="27" customHeight="1">
      <c r="A82" s="1322">
        <v>71826</v>
      </c>
      <c r="B82" s="1011">
        <v>62</v>
      </c>
      <c r="C82" s="1333" t="s">
        <v>250</v>
      </c>
      <c r="D82" s="1723" t="s">
        <v>241</v>
      </c>
      <c r="E82" s="1721" t="s">
        <v>245</v>
      </c>
      <c r="F82" s="457" t="s">
        <v>249</v>
      </c>
      <c r="G82" s="437"/>
      <c r="H82" s="179" t="s">
        <v>1330</v>
      </c>
      <c r="I82" s="1060" t="s">
        <v>1546</v>
      </c>
      <c r="J82" s="238"/>
      <c r="K82" s="195">
        <f aca="true" t="shared" si="0" ref="K82:K87">ROUND(120*(1-$G$4),2)</f>
        <v>116.4</v>
      </c>
      <c r="L82" s="146">
        <v>2017</v>
      </c>
      <c r="M82" s="452">
        <v>0.18</v>
      </c>
      <c r="N82" s="146">
        <v>20</v>
      </c>
      <c r="O82" s="316" t="s">
        <v>1255</v>
      </c>
      <c r="P82" s="146">
        <v>32</v>
      </c>
      <c r="Q82" s="316" t="s">
        <v>1235</v>
      </c>
      <c r="R82" s="308" t="s">
        <v>251</v>
      </c>
      <c r="S82" s="414" t="s">
        <v>1888</v>
      </c>
      <c r="T82" s="275">
        <v>0.13</v>
      </c>
      <c r="U82" s="924" t="s">
        <v>312</v>
      </c>
      <c r="V82" s="360" t="e">
        <f>VLOOKUP(A82,#REF!,10,FALSE)</f>
        <v>#REF!</v>
      </c>
    </row>
    <row r="83" spans="1:22" ht="26.25" customHeight="1">
      <c r="A83" s="1099">
        <v>71825</v>
      </c>
      <c r="B83" s="1001">
        <v>54</v>
      </c>
      <c r="C83" s="749" t="s">
        <v>243</v>
      </c>
      <c r="D83" s="1620" t="s">
        <v>241</v>
      </c>
      <c r="E83" s="719" t="s">
        <v>245</v>
      </c>
      <c r="F83" s="158" t="s">
        <v>242</v>
      </c>
      <c r="G83" s="397"/>
      <c r="H83" s="178" t="s">
        <v>1330</v>
      </c>
      <c r="I83" s="1056" t="s">
        <v>1546</v>
      </c>
      <c r="J83" s="85"/>
      <c r="K83" s="196">
        <f t="shared" si="0"/>
        <v>116.4</v>
      </c>
      <c r="L83" s="148">
        <v>2017</v>
      </c>
      <c r="M83" s="395">
        <v>0.18</v>
      </c>
      <c r="N83" s="148">
        <v>20</v>
      </c>
      <c r="O83" s="311" t="s">
        <v>1255</v>
      </c>
      <c r="P83" s="148">
        <v>32</v>
      </c>
      <c r="Q83" s="311" t="s">
        <v>1235</v>
      </c>
      <c r="R83" s="318" t="s">
        <v>244</v>
      </c>
      <c r="S83" s="357" t="s">
        <v>1888</v>
      </c>
      <c r="T83" s="276">
        <v>0.13</v>
      </c>
      <c r="U83" s="917" t="s">
        <v>312</v>
      </c>
      <c r="V83" s="360" t="e">
        <f>VLOOKUP(A83,#REF!,10,FALSE)</f>
        <v>#REF!</v>
      </c>
    </row>
    <row r="84" spans="1:22" ht="30" customHeight="1">
      <c r="A84" s="1099">
        <v>71827</v>
      </c>
      <c r="B84" s="1001">
        <v>57</v>
      </c>
      <c r="C84" s="749" t="s">
        <v>247</v>
      </c>
      <c r="D84" s="1620" t="s">
        <v>241</v>
      </c>
      <c r="E84" s="719" t="s">
        <v>245</v>
      </c>
      <c r="F84" s="158" t="s">
        <v>246</v>
      </c>
      <c r="G84" s="397"/>
      <c r="H84" s="178" t="s">
        <v>1330</v>
      </c>
      <c r="I84" s="1056" t="s">
        <v>1546</v>
      </c>
      <c r="J84" s="85"/>
      <c r="K84" s="196">
        <f t="shared" si="0"/>
        <v>116.4</v>
      </c>
      <c r="L84" s="148">
        <v>2017</v>
      </c>
      <c r="M84" s="395">
        <v>0.18</v>
      </c>
      <c r="N84" s="148">
        <v>20</v>
      </c>
      <c r="O84" s="311" t="s">
        <v>1255</v>
      </c>
      <c r="P84" s="148">
        <v>32</v>
      </c>
      <c r="Q84" s="311" t="s">
        <v>1235</v>
      </c>
      <c r="R84" s="318" t="s">
        <v>248</v>
      </c>
      <c r="S84" s="357" t="s">
        <v>1888</v>
      </c>
      <c r="T84" s="276">
        <v>0.13</v>
      </c>
      <c r="U84" s="917" t="s">
        <v>312</v>
      </c>
      <c r="V84" s="360" t="e">
        <f>VLOOKUP(A84,#REF!,10,FALSE)</f>
        <v>#REF!</v>
      </c>
    </row>
    <row r="85" spans="1:22" ht="27" customHeight="1">
      <c r="A85" s="1099">
        <v>71824</v>
      </c>
      <c r="B85" s="1001">
        <v>61</v>
      </c>
      <c r="C85" s="749" t="s">
        <v>253</v>
      </c>
      <c r="D85" s="1620" t="s">
        <v>241</v>
      </c>
      <c r="E85" s="719" t="s">
        <v>245</v>
      </c>
      <c r="F85" s="158" t="s">
        <v>252</v>
      </c>
      <c r="G85" s="397"/>
      <c r="H85" s="178" t="s">
        <v>1330</v>
      </c>
      <c r="I85" s="1056" t="s">
        <v>1546</v>
      </c>
      <c r="J85" s="85"/>
      <c r="K85" s="196">
        <f t="shared" si="0"/>
        <v>116.4</v>
      </c>
      <c r="L85" s="148">
        <v>2017</v>
      </c>
      <c r="M85" s="395">
        <v>0.18</v>
      </c>
      <c r="N85" s="148">
        <v>20</v>
      </c>
      <c r="O85" s="311" t="s">
        <v>1255</v>
      </c>
      <c r="P85" s="148">
        <v>32</v>
      </c>
      <c r="Q85" s="311" t="s">
        <v>1235</v>
      </c>
      <c r="R85" s="318" t="s">
        <v>254</v>
      </c>
      <c r="S85" s="357" t="s">
        <v>1888</v>
      </c>
      <c r="T85" s="276">
        <v>0.13</v>
      </c>
      <c r="U85" s="917" t="s">
        <v>312</v>
      </c>
      <c r="V85" s="360" t="e">
        <f>VLOOKUP(A85,#REF!,10,FALSE)</f>
        <v>#REF!</v>
      </c>
    </row>
    <row r="86" spans="1:22" ht="27" customHeight="1">
      <c r="A86" s="1099">
        <v>71975</v>
      </c>
      <c r="B86" s="1001"/>
      <c r="C86" s="749" t="s">
        <v>957</v>
      </c>
      <c r="D86" s="1620" t="s">
        <v>241</v>
      </c>
      <c r="E86" s="719" t="s">
        <v>958</v>
      </c>
      <c r="F86" s="158" t="s">
        <v>959</v>
      </c>
      <c r="G86" s="1719"/>
      <c r="H86" s="232" t="s">
        <v>1238</v>
      </c>
      <c r="I86" s="1056" t="s">
        <v>1546</v>
      </c>
      <c r="J86" s="85"/>
      <c r="K86" s="196">
        <f t="shared" si="0"/>
        <v>116.4</v>
      </c>
      <c r="L86" s="148">
        <v>2017</v>
      </c>
      <c r="M86" s="395">
        <v>0.18</v>
      </c>
      <c r="N86" s="148">
        <v>30</v>
      </c>
      <c r="O86" s="311" t="s">
        <v>1255</v>
      </c>
      <c r="P86" s="148">
        <v>32</v>
      </c>
      <c r="Q86" s="311" t="s">
        <v>1235</v>
      </c>
      <c r="R86" s="322">
        <v>9785990940758</v>
      </c>
      <c r="S86" s="357" t="s">
        <v>1888</v>
      </c>
      <c r="T86" s="276">
        <v>0.13</v>
      </c>
      <c r="U86" s="917" t="s">
        <v>312</v>
      </c>
      <c r="V86" s="360"/>
    </row>
    <row r="87" spans="1:22" ht="27" customHeight="1" thickBot="1">
      <c r="A87" s="1100">
        <v>71976</v>
      </c>
      <c r="B87" s="1003"/>
      <c r="C87" s="750" t="s">
        <v>960</v>
      </c>
      <c r="D87" s="1621" t="s">
        <v>241</v>
      </c>
      <c r="E87" s="1722" t="s">
        <v>245</v>
      </c>
      <c r="F87" s="406" t="s">
        <v>961</v>
      </c>
      <c r="G87" s="1720"/>
      <c r="H87" s="1327" t="s">
        <v>1238</v>
      </c>
      <c r="I87" s="1059" t="s">
        <v>1546</v>
      </c>
      <c r="J87" s="138"/>
      <c r="K87" s="200">
        <f t="shared" si="0"/>
        <v>116.4</v>
      </c>
      <c r="L87" s="149">
        <v>2017</v>
      </c>
      <c r="M87" s="408">
        <v>0.18</v>
      </c>
      <c r="N87" s="149">
        <v>30</v>
      </c>
      <c r="O87" s="244" t="s">
        <v>1255</v>
      </c>
      <c r="P87" s="149">
        <v>32</v>
      </c>
      <c r="Q87" s="244" t="s">
        <v>1235</v>
      </c>
      <c r="R87" s="324">
        <v>9785990940772</v>
      </c>
      <c r="S87" s="358" t="s">
        <v>1888</v>
      </c>
      <c r="T87" s="277">
        <v>0.13</v>
      </c>
      <c r="U87" s="925" t="s">
        <v>312</v>
      </c>
      <c r="V87" s="360"/>
    </row>
    <row r="88" spans="1:22" ht="27" customHeight="1" thickBot="1">
      <c r="A88" s="1703">
        <v>71388</v>
      </c>
      <c r="B88" s="1704">
        <v>324</v>
      </c>
      <c r="C88" s="1705" t="s">
        <v>1984</v>
      </c>
      <c r="D88" s="1706" t="s">
        <v>1986</v>
      </c>
      <c r="E88" s="1707" t="s">
        <v>1987</v>
      </c>
      <c r="F88" s="1707" t="s">
        <v>1983</v>
      </c>
      <c r="G88" s="1708"/>
      <c r="H88" s="1709"/>
      <c r="I88" s="1710" t="s">
        <v>1239</v>
      </c>
      <c r="J88" s="1711"/>
      <c r="K88" s="1712">
        <f>ROUND(315*(1-$G$4),2)</f>
        <v>305.55</v>
      </c>
      <c r="L88" s="1713">
        <v>2016</v>
      </c>
      <c r="M88" s="1702">
        <v>0.1</v>
      </c>
      <c r="N88" s="1713">
        <v>14</v>
      </c>
      <c r="O88" s="1714" t="s">
        <v>1255</v>
      </c>
      <c r="P88" s="1713">
        <v>80</v>
      </c>
      <c r="Q88" s="1715" t="s">
        <v>1235</v>
      </c>
      <c r="R88" s="1450" t="s">
        <v>1985</v>
      </c>
      <c r="S88" s="1716" t="s">
        <v>1888</v>
      </c>
      <c r="T88" s="1717">
        <v>0.425</v>
      </c>
      <c r="U88" s="1718" t="s">
        <v>312</v>
      </c>
      <c r="V88" s="360" t="e">
        <f>VLOOKUP(A88,#REF!,10,FALSE)</f>
        <v>#REF!</v>
      </c>
    </row>
    <row r="89" spans="1:22" ht="27" customHeight="1">
      <c r="A89" s="751">
        <v>71058</v>
      </c>
      <c r="B89" s="1012">
        <v>310</v>
      </c>
      <c r="C89" s="1335" t="s">
        <v>1544</v>
      </c>
      <c r="D89" s="1346" t="s">
        <v>1543</v>
      </c>
      <c r="E89" s="157" t="s">
        <v>1545</v>
      </c>
      <c r="F89" s="157" t="s">
        <v>1576</v>
      </c>
      <c r="G89" s="444" t="s">
        <v>1218</v>
      </c>
      <c r="H89" s="182"/>
      <c r="I89" s="1061" t="s">
        <v>1546</v>
      </c>
      <c r="J89" s="121"/>
      <c r="K89" s="190">
        <f>ROUND(412.5*(1-$G$4),2)</f>
        <v>400.13</v>
      </c>
      <c r="L89" s="328">
        <v>2015</v>
      </c>
      <c r="M89" s="395">
        <v>0.1</v>
      </c>
      <c r="N89" s="328">
        <v>12</v>
      </c>
      <c r="O89" s="445" t="s">
        <v>1503</v>
      </c>
      <c r="P89" s="328">
        <v>44</v>
      </c>
      <c r="Q89" s="446">
        <v>7</v>
      </c>
      <c r="R89" s="447" t="s">
        <v>133</v>
      </c>
      <c r="S89" s="615" t="s">
        <v>1807</v>
      </c>
      <c r="T89" s="1344">
        <v>0.65</v>
      </c>
      <c r="U89" s="1332" t="s">
        <v>312</v>
      </c>
      <c r="V89" s="360" t="e">
        <f>VLOOKUP(A89,#REF!,10,FALSE)</f>
        <v>#REF!</v>
      </c>
    </row>
    <row r="90" spans="1:22" ht="27" customHeight="1" thickBot="1">
      <c r="A90" s="754">
        <v>71124</v>
      </c>
      <c r="B90" s="1013">
        <v>308</v>
      </c>
      <c r="C90" s="1343" t="s">
        <v>1557</v>
      </c>
      <c r="D90" s="1377" t="s">
        <v>1543</v>
      </c>
      <c r="E90" s="464" t="s">
        <v>1545</v>
      </c>
      <c r="F90" s="464" t="s">
        <v>1577</v>
      </c>
      <c r="G90" s="449" t="s">
        <v>1218</v>
      </c>
      <c r="H90" s="214"/>
      <c r="I90" s="1062" t="s">
        <v>1546</v>
      </c>
      <c r="J90" s="122"/>
      <c r="K90" s="191">
        <f>ROUND(262.5*(1-$G$4),2)</f>
        <v>254.63</v>
      </c>
      <c r="L90" s="329">
        <v>2015</v>
      </c>
      <c r="M90" s="408">
        <v>0.1</v>
      </c>
      <c r="N90" s="329">
        <v>14</v>
      </c>
      <c r="O90" s="309" t="s">
        <v>1560</v>
      </c>
      <c r="P90" s="329">
        <v>44</v>
      </c>
      <c r="Q90" s="309" t="s">
        <v>481</v>
      </c>
      <c r="R90" s="450" t="s">
        <v>134</v>
      </c>
      <c r="S90" s="1331" t="s">
        <v>1807</v>
      </c>
      <c r="T90" s="1345">
        <v>0.44</v>
      </c>
      <c r="U90" s="1338" t="s">
        <v>312</v>
      </c>
      <c r="V90" s="360" t="e">
        <f>VLOOKUP(A90,#REF!,10,FALSE)</f>
        <v>#REF!</v>
      </c>
    </row>
    <row r="91" spans="1:22" ht="27" customHeight="1">
      <c r="A91" s="747">
        <v>71199</v>
      </c>
      <c r="B91" s="1011">
        <v>256</v>
      </c>
      <c r="C91" s="1333" t="s">
        <v>1870</v>
      </c>
      <c r="D91" s="1376" t="s">
        <v>1532</v>
      </c>
      <c r="E91" s="457" t="s">
        <v>1519</v>
      </c>
      <c r="F91" s="457" t="s">
        <v>1871</v>
      </c>
      <c r="G91" s="458" t="s">
        <v>1218</v>
      </c>
      <c r="H91" s="181"/>
      <c r="I91" s="1060" t="s">
        <v>1546</v>
      </c>
      <c r="J91" s="459"/>
      <c r="K91" s="189">
        <f>ROUND(262.5*(1-$G$4),2)</f>
        <v>254.63</v>
      </c>
      <c r="L91" s="146">
        <v>2015</v>
      </c>
      <c r="M91" s="452">
        <v>0.1</v>
      </c>
      <c r="N91" s="146">
        <v>14</v>
      </c>
      <c r="O91" s="316" t="s">
        <v>1233</v>
      </c>
      <c r="P91" s="146">
        <v>64</v>
      </c>
      <c r="Q91" s="1330">
        <v>7</v>
      </c>
      <c r="R91" s="323" t="s">
        <v>137</v>
      </c>
      <c r="S91" s="911" t="s">
        <v>1807</v>
      </c>
      <c r="T91" s="443">
        <v>0.25</v>
      </c>
      <c r="U91" s="924" t="s">
        <v>312</v>
      </c>
      <c r="V91" s="360" t="e">
        <f>VLOOKUP(A91,#REF!,10,FALSE)</f>
        <v>#REF!</v>
      </c>
    </row>
    <row r="92" spans="1:22" ht="27" customHeight="1">
      <c r="A92" s="751">
        <v>71017</v>
      </c>
      <c r="B92" s="1012">
        <v>439</v>
      </c>
      <c r="C92" s="1335" t="s">
        <v>1534</v>
      </c>
      <c r="D92" s="1346" t="s">
        <v>1532</v>
      </c>
      <c r="E92" s="157" t="s">
        <v>1432</v>
      </c>
      <c r="F92" s="157" t="s">
        <v>1578</v>
      </c>
      <c r="G92" s="444" t="s">
        <v>1218</v>
      </c>
      <c r="H92" s="178"/>
      <c r="I92" s="1061" t="s">
        <v>1239</v>
      </c>
      <c r="J92" s="121"/>
      <c r="K92" s="190">
        <f>ROUND(270*(1-$G$4),2)</f>
        <v>261.9</v>
      </c>
      <c r="L92" s="328">
        <v>2015</v>
      </c>
      <c r="M92" s="328" t="s">
        <v>1231</v>
      </c>
      <c r="N92" s="328">
        <v>14</v>
      </c>
      <c r="O92" s="445" t="s">
        <v>1233</v>
      </c>
      <c r="P92" s="328">
        <v>64</v>
      </c>
      <c r="Q92" s="445" t="s">
        <v>1235</v>
      </c>
      <c r="R92" s="447" t="s">
        <v>139</v>
      </c>
      <c r="S92" s="615" t="s">
        <v>1807</v>
      </c>
      <c r="T92" s="448">
        <v>0.253</v>
      </c>
      <c r="U92" s="917" t="s">
        <v>312</v>
      </c>
      <c r="V92" s="360" t="e">
        <f>VLOOKUP(A92,#REF!,10,FALSE)</f>
        <v>#REF!</v>
      </c>
    </row>
    <row r="93" spans="1:22" ht="27" customHeight="1">
      <c r="A93" s="751">
        <v>71019</v>
      </c>
      <c r="B93" s="1012">
        <v>606</v>
      </c>
      <c r="C93" s="1335" t="s">
        <v>1533</v>
      </c>
      <c r="D93" s="1346" t="s">
        <v>1532</v>
      </c>
      <c r="E93" s="157" t="s">
        <v>1414</v>
      </c>
      <c r="F93" s="157" t="s">
        <v>1579</v>
      </c>
      <c r="G93" s="444" t="s">
        <v>1218</v>
      </c>
      <c r="H93" s="182"/>
      <c r="I93" s="1061" t="s">
        <v>1239</v>
      </c>
      <c r="J93" s="121"/>
      <c r="K93" s="190">
        <f>ROUND(255*(1-$G$4),2)</f>
        <v>247.35</v>
      </c>
      <c r="L93" s="328">
        <v>2015</v>
      </c>
      <c r="M93" s="328" t="s">
        <v>1231</v>
      </c>
      <c r="N93" s="328">
        <v>14</v>
      </c>
      <c r="O93" s="445" t="s">
        <v>1233</v>
      </c>
      <c r="P93" s="328">
        <v>48</v>
      </c>
      <c r="Q93" s="445" t="s">
        <v>1235</v>
      </c>
      <c r="R93" s="447" t="s">
        <v>138</v>
      </c>
      <c r="S93" s="615" t="s">
        <v>1807</v>
      </c>
      <c r="T93" s="448">
        <v>0.2</v>
      </c>
      <c r="U93" s="917" t="s">
        <v>312</v>
      </c>
      <c r="V93" s="360" t="e">
        <f>VLOOKUP(A93,#REF!,10,FALSE)</f>
        <v>#REF!</v>
      </c>
    </row>
    <row r="94" spans="1:22" ht="27" customHeight="1" thickBot="1">
      <c r="A94" s="754">
        <v>71020</v>
      </c>
      <c r="B94" s="1013">
        <v>646</v>
      </c>
      <c r="C94" s="1343" t="s">
        <v>1535</v>
      </c>
      <c r="D94" s="1377" t="s">
        <v>1532</v>
      </c>
      <c r="E94" s="464" t="s">
        <v>1519</v>
      </c>
      <c r="F94" s="464" t="s">
        <v>1580</v>
      </c>
      <c r="G94" s="449" t="s">
        <v>1218</v>
      </c>
      <c r="H94" s="214"/>
      <c r="I94" s="1062" t="s">
        <v>1239</v>
      </c>
      <c r="J94" s="122"/>
      <c r="K94" s="191">
        <f>ROUND(285*(1-$G$4),2)</f>
        <v>276.45</v>
      </c>
      <c r="L94" s="329">
        <v>2015</v>
      </c>
      <c r="M94" s="329" t="s">
        <v>1231</v>
      </c>
      <c r="N94" s="329">
        <v>14</v>
      </c>
      <c r="O94" s="309" t="s">
        <v>1233</v>
      </c>
      <c r="P94" s="329">
        <v>64</v>
      </c>
      <c r="Q94" s="309" t="s">
        <v>1235</v>
      </c>
      <c r="R94" s="450" t="s">
        <v>140</v>
      </c>
      <c r="S94" s="1331" t="s">
        <v>1807</v>
      </c>
      <c r="T94" s="451">
        <v>0.25</v>
      </c>
      <c r="U94" s="925" t="s">
        <v>312</v>
      </c>
      <c r="V94" s="360" t="e">
        <f>VLOOKUP(A94,#REF!,10,FALSE)</f>
        <v>#REF!</v>
      </c>
    </row>
    <row r="95" spans="1:22" ht="27" customHeight="1">
      <c r="A95" s="747">
        <v>71214</v>
      </c>
      <c r="B95" s="1011">
        <v>334</v>
      </c>
      <c r="C95" s="1333" t="s">
        <v>1874</v>
      </c>
      <c r="D95" s="1376" t="s">
        <v>1558</v>
      </c>
      <c r="E95" s="457" t="s">
        <v>1519</v>
      </c>
      <c r="F95" s="457" t="s">
        <v>1875</v>
      </c>
      <c r="G95" s="458" t="s">
        <v>1218</v>
      </c>
      <c r="H95" s="181"/>
      <c r="I95" s="1063" t="s">
        <v>1546</v>
      </c>
      <c r="J95" s="238"/>
      <c r="K95" s="189">
        <f>ROUND(112.5*(1-$G$4),2)</f>
        <v>109.13</v>
      </c>
      <c r="L95" s="146">
        <v>2015</v>
      </c>
      <c r="M95" s="327" t="s">
        <v>1231</v>
      </c>
      <c r="N95" s="146">
        <v>30</v>
      </c>
      <c r="O95" s="316" t="s">
        <v>1375</v>
      </c>
      <c r="P95" s="146">
        <v>32</v>
      </c>
      <c r="Q95" s="316" t="s">
        <v>1235</v>
      </c>
      <c r="R95" s="323" t="s">
        <v>141</v>
      </c>
      <c r="S95" s="911" t="s">
        <v>1807</v>
      </c>
      <c r="T95" s="443">
        <v>0.12</v>
      </c>
      <c r="U95" s="924" t="s">
        <v>312</v>
      </c>
      <c r="V95" s="360" t="e">
        <f>VLOOKUP(A95,#REF!,10,FALSE)</f>
        <v>#REF!</v>
      </c>
    </row>
    <row r="96" spans="1:22" ht="27" customHeight="1" thickBot="1">
      <c r="A96" s="754">
        <v>71107</v>
      </c>
      <c r="B96" s="1013">
        <v>512</v>
      </c>
      <c r="C96" s="1343" t="s">
        <v>1559</v>
      </c>
      <c r="D96" s="1377" t="s">
        <v>1558</v>
      </c>
      <c r="E96" s="464" t="s">
        <v>1519</v>
      </c>
      <c r="F96" s="464" t="s">
        <v>1581</v>
      </c>
      <c r="G96" s="449" t="s">
        <v>1218</v>
      </c>
      <c r="H96" s="214"/>
      <c r="I96" s="1062" t="s">
        <v>1546</v>
      </c>
      <c r="J96" s="756"/>
      <c r="K96" s="191">
        <f>ROUND(112.5*(1-$G$4),2)</f>
        <v>109.13</v>
      </c>
      <c r="L96" s="329">
        <v>2015</v>
      </c>
      <c r="M96" s="329" t="s">
        <v>1231</v>
      </c>
      <c r="N96" s="329">
        <v>30</v>
      </c>
      <c r="O96" s="309" t="s">
        <v>1375</v>
      </c>
      <c r="P96" s="329">
        <v>32</v>
      </c>
      <c r="Q96" s="309" t="s">
        <v>1235</v>
      </c>
      <c r="R96" s="450" t="s">
        <v>142</v>
      </c>
      <c r="S96" s="1331" t="s">
        <v>1807</v>
      </c>
      <c r="T96" s="451">
        <v>0.12</v>
      </c>
      <c r="U96" s="925" t="s">
        <v>312</v>
      </c>
      <c r="V96" s="360" t="e">
        <f>VLOOKUP(A96,#REF!,10,FALSE)</f>
        <v>#REF!</v>
      </c>
    </row>
    <row r="97" spans="1:22" ht="27" customHeight="1">
      <c r="A97" s="747">
        <v>71828</v>
      </c>
      <c r="B97" s="1004">
        <v>176</v>
      </c>
      <c r="C97" s="1333" t="s">
        <v>773</v>
      </c>
      <c r="D97" s="1379" t="s">
        <v>444</v>
      </c>
      <c r="E97" s="740" t="s">
        <v>445</v>
      </c>
      <c r="F97" s="740" t="s">
        <v>446</v>
      </c>
      <c r="G97" s="411"/>
      <c r="H97" s="168" t="s">
        <v>1320</v>
      </c>
      <c r="I97" s="1069" t="s">
        <v>1239</v>
      </c>
      <c r="J97" s="411"/>
      <c r="K97" s="195">
        <f>ROUND(151.3*(1-$G$4),2)</f>
        <v>146.76</v>
      </c>
      <c r="L97" s="146">
        <v>2017</v>
      </c>
      <c r="M97" s="412">
        <v>0.1</v>
      </c>
      <c r="N97" s="413">
        <v>30</v>
      </c>
      <c r="O97" s="413" t="s">
        <v>1157</v>
      </c>
      <c r="P97" s="413" t="s">
        <v>456</v>
      </c>
      <c r="Q97" s="413" t="s">
        <v>1235</v>
      </c>
      <c r="R97" s="427" t="s">
        <v>774</v>
      </c>
      <c r="S97" s="414" t="s">
        <v>454</v>
      </c>
      <c r="T97" s="303">
        <v>0.122</v>
      </c>
      <c r="U97" s="919" t="s">
        <v>453</v>
      </c>
      <c r="V97" s="360" t="e">
        <f>VLOOKUP(A97,#REF!,10,FALSE)</f>
        <v>#REF!</v>
      </c>
    </row>
    <row r="98" spans="1:22" ht="27" customHeight="1">
      <c r="A98" s="721">
        <v>71829</v>
      </c>
      <c r="B98" s="1005">
        <v>237</v>
      </c>
      <c r="C98" s="749" t="s">
        <v>775</v>
      </c>
      <c r="D98" s="1348" t="s">
        <v>444</v>
      </c>
      <c r="E98" s="741" t="s">
        <v>445</v>
      </c>
      <c r="F98" s="741" t="s">
        <v>447</v>
      </c>
      <c r="G98" s="415"/>
      <c r="H98" s="169" t="s">
        <v>1320</v>
      </c>
      <c r="I98" s="1071" t="s">
        <v>1239</v>
      </c>
      <c r="J98" s="415"/>
      <c r="K98" s="196">
        <f>ROUND(151.3*(1-$G$4),2)</f>
        <v>146.76</v>
      </c>
      <c r="L98" s="148">
        <v>2017</v>
      </c>
      <c r="M98" s="402">
        <v>0.1</v>
      </c>
      <c r="N98" s="284">
        <v>30</v>
      </c>
      <c r="O98" s="284" t="s">
        <v>1157</v>
      </c>
      <c r="P98" s="284" t="s">
        <v>456</v>
      </c>
      <c r="Q98" s="284" t="s">
        <v>1235</v>
      </c>
      <c r="R98" s="428" t="s">
        <v>776</v>
      </c>
      <c r="S98" s="357" t="s">
        <v>454</v>
      </c>
      <c r="T98" s="288">
        <v>0.154</v>
      </c>
      <c r="U98" s="920" t="s">
        <v>453</v>
      </c>
      <c r="V98" s="360" t="e">
        <f>VLOOKUP(A98,#REF!,10,FALSE)</f>
        <v>#REF!</v>
      </c>
    </row>
    <row r="99" spans="1:22" ht="27" customHeight="1">
      <c r="A99" s="721">
        <v>71830</v>
      </c>
      <c r="B99" s="1005"/>
      <c r="C99" s="749" t="s">
        <v>769</v>
      </c>
      <c r="D99" s="1348" t="s">
        <v>444</v>
      </c>
      <c r="E99" s="741" t="s">
        <v>445</v>
      </c>
      <c r="F99" s="741" t="s">
        <v>448</v>
      </c>
      <c r="G99" s="415"/>
      <c r="H99" s="169" t="s">
        <v>1320</v>
      </c>
      <c r="I99" s="1071" t="s">
        <v>1239</v>
      </c>
      <c r="J99" s="415"/>
      <c r="K99" s="196">
        <f>ROUND(151.3*(1-$G$4),2)</f>
        <v>146.76</v>
      </c>
      <c r="L99" s="148">
        <v>2017</v>
      </c>
      <c r="M99" s="402">
        <v>0.1</v>
      </c>
      <c r="N99" s="284">
        <v>30</v>
      </c>
      <c r="O99" s="284" t="s">
        <v>1157</v>
      </c>
      <c r="P99" s="284" t="s">
        <v>456</v>
      </c>
      <c r="Q99" s="284" t="s">
        <v>1235</v>
      </c>
      <c r="R99" s="428" t="s">
        <v>770</v>
      </c>
      <c r="S99" s="357" t="s">
        <v>454</v>
      </c>
      <c r="T99" s="288">
        <v>0.154</v>
      </c>
      <c r="U99" s="920" t="s">
        <v>453</v>
      </c>
      <c r="V99" s="360" t="e">
        <f>VLOOKUP(A99,#REF!,10,FALSE)</f>
        <v>#REF!</v>
      </c>
    </row>
    <row r="100" spans="1:22" ht="27" customHeight="1" thickBot="1">
      <c r="A100" s="725">
        <v>71831</v>
      </c>
      <c r="B100" s="1007">
        <v>183</v>
      </c>
      <c r="C100" s="750" t="s">
        <v>771</v>
      </c>
      <c r="D100" s="1380" t="s">
        <v>444</v>
      </c>
      <c r="E100" s="743" t="s">
        <v>445</v>
      </c>
      <c r="F100" s="743" t="s">
        <v>449</v>
      </c>
      <c r="G100" s="416"/>
      <c r="H100" s="170" t="s">
        <v>1320</v>
      </c>
      <c r="I100" s="1072" t="s">
        <v>1239</v>
      </c>
      <c r="J100" s="416"/>
      <c r="K100" s="200">
        <f>ROUND(151.3*(1-$G$4),2)</f>
        <v>146.76</v>
      </c>
      <c r="L100" s="149">
        <v>2017</v>
      </c>
      <c r="M100" s="417">
        <v>0.1</v>
      </c>
      <c r="N100" s="289">
        <v>30</v>
      </c>
      <c r="O100" s="289" t="s">
        <v>1157</v>
      </c>
      <c r="P100" s="289" t="s">
        <v>456</v>
      </c>
      <c r="Q100" s="289" t="s">
        <v>1235</v>
      </c>
      <c r="R100" s="430" t="s">
        <v>772</v>
      </c>
      <c r="S100" s="358" t="s">
        <v>454</v>
      </c>
      <c r="T100" s="515">
        <v>0.156</v>
      </c>
      <c r="U100" s="921" t="s">
        <v>453</v>
      </c>
      <c r="V100" s="360" t="e">
        <f>VLOOKUP(A100,#REF!,10,FALSE)</f>
        <v>#REF!</v>
      </c>
    </row>
    <row r="101" spans="1:22" ht="27" customHeight="1">
      <c r="A101" s="1355">
        <v>71519</v>
      </c>
      <c r="B101" s="1447">
        <v>163</v>
      </c>
      <c r="C101" s="1448" t="s">
        <v>777</v>
      </c>
      <c r="D101" s="1342" t="s">
        <v>421</v>
      </c>
      <c r="E101" s="729" t="s">
        <v>422</v>
      </c>
      <c r="F101" s="729" t="s">
        <v>423</v>
      </c>
      <c r="G101" s="411"/>
      <c r="H101" s="267"/>
      <c r="I101" s="1069"/>
      <c r="J101" s="411"/>
      <c r="K101" s="195">
        <f aca="true" t="shared" si="1" ref="K101:K107">ROUND(142.4*(1-$G$4),2)</f>
        <v>138.13</v>
      </c>
      <c r="L101" s="146">
        <v>2015</v>
      </c>
      <c r="M101" s="412">
        <v>0.1</v>
      </c>
      <c r="N101" s="413">
        <v>150</v>
      </c>
      <c r="O101" s="413" t="s">
        <v>1255</v>
      </c>
      <c r="P101" s="413" t="s">
        <v>458</v>
      </c>
      <c r="Q101" s="413" t="s">
        <v>1235</v>
      </c>
      <c r="R101" s="423">
        <v>9785944642431</v>
      </c>
      <c r="S101" s="414" t="s">
        <v>454</v>
      </c>
      <c r="T101" s="303">
        <v>0.102</v>
      </c>
      <c r="U101" s="919" t="s">
        <v>453</v>
      </c>
      <c r="V101" s="360" t="e">
        <f>VLOOKUP(A101,#REF!,10,FALSE)</f>
        <v>#REF!</v>
      </c>
    </row>
    <row r="102" spans="1:22" ht="27" customHeight="1">
      <c r="A102" s="1444">
        <v>71521</v>
      </c>
      <c r="B102" s="1445">
        <v>309</v>
      </c>
      <c r="C102" s="1449" t="s">
        <v>779</v>
      </c>
      <c r="D102" s="797" t="s">
        <v>421</v>
      </c>
      <c r="E102" s="732"/>
      <c r="F102" s="732" t="s">
        <v>424</v>
      </c>
      <c r="G102" s="415"/>
      <c r="H102" s="221"/>
      <c r="I102" s="1071"/>
      <c r="J102" s="415"/>
      <c r="K102" s="196">
        <f t="shared" si="1"/>
        <v>138.13</v>
      </c>
      <c r="L102" s="148">
        <v>2015</v>
      </c>
      <c r="M102" s="402">
        <v>0.1</v>
      </c>
      <c r="N102" s="284">
        <v>150</v>
      </c>
      <c r="O102" s="284" t="s">
        <v>1255</v>
      </c>
      <c r="P102" s="284" t="s">
        <v>458</v>
      </c>
      <c r="Q102" s="284" t="s">
        <v>1235</v>
      </c>
      <c r="R102" s="423">
        <v>9785944642523</v>
      </c>
      <c r="S102" s="357" t="s">
        <v>454</v>
      </c>
      <c r="T102" s="288">
        <v>0.102</v>
      </c>
      <c r="U102" s="920" t="s">
        <v>453</v>
      </c>
      <c r="V102" s="360" t="e">
        <f>VLOOKUP(A102,#REF!,10,FALSE)</f>
        <v>#REF!</v>
      </c>
    </row>
    <row r="103" spans="1:22" ht="27" customHeight="1">
      <c r="A103" s="730">
        <v>71518</v>
      </c>
      <c r="B103" s="1445">
        <v>177</v>
      </c>
      <c r="C103" s="1449" t="s">
        <v>780</v>
      </c>
      <c r="D103" s="797" t="s">
        <v>421</v>
      </c>
      <c r="E103" s="732" t="s">
        <v>425</v>
      </c>
      <c r="F103" s="732" t="s">
        <v>426</v>
      </c>
      <c r="G103" s="415"/>
      <c r="H103" s="221"/>
      <c r="I103" s="1071"/>
      <c r="J103" s="415"/>
      <c r="K103" s="196">
        <f t="shared" si="1"/>
        <v>138.13</v>
      </c>
      <c r="L103" s="148">
        <v>2015</v>
      </c>
      <c r="M103" s="402">
        <v>0.1</v>
      </c>
      <c r="N103" s="284">
        <v>150</v>
      </c>
      <c r="O103" s="284" t="s">
        <v>1255</v>
      </c>
      <c r="P103" s="284" t="s">
        <v>458</v>
      </c>
      <c r="Q103" s="284" t="s">
        <v>1235</v>
      </c>
      <c r="R103" s="423">
        <v>9785944642424</v>
      </c>
      <c r="S103" s="357" t="s">
        <v>454</v>
      </c>
      <c r="T103" s="288">
        <v>0.102</v>
      </c>
      <c r="U103" s="920" t="s">
        <v>453</v>
      </c>
      <c r="V103" s="360" t="e">
        <f>VLOOKUP(A103,#REF!,10,FALSE)</f>
        <v>#REF!</v>
      </c>
    </row>
    <row r="104" spans="1:22" ht="27" customHeight="1">
      <c r="A104" s="721">
        <v>71695</v>
      </c>
      <c r="B104" s="1446">
        <v>288</v>
      </c>
      <c r="C104" s="1449" t="s">
        <v>535</v>
      </c>
      <c r="D104" s="797" t="s">
        <v>421</v>
      </c>
      <c r="E104" s="158" t="s">
        <v>530</v>
      </c>
      <c r="F104" s="158" t="s">
        <v>534</v>
      </c>
      <c r="G104" s="85"/>
      <c r="H104" s="359"/>
      <c r="I104" s="1056" t="s">
        <v>1239</v>
      </c>
      <c r="J104" s="85"/>
      <c r="K104" s="196">
        <f t="shared" si="1"/>
        <v>138.13</v>
      </c>
      <c r="L104" s="148">
        <v>2016</v>
      </c>
      <c r="M104" s="402">
        <v>0.1</v>
      </c>
      <c r="N104" s="148">
        <v>40</v>
      </c>
      <c r="O104" s="284" t="s">
        <v>1255</v>
      </c>
      <c r="P104" s="148">
        <v>16</v>
      </c>
      <c r="Q104" s="284" t="s">
        <v>1235</v>
      </c>
      <c r="R104" s="423">
        <v>9785944642660</v>
      </c>
      <c r="S104" s="357" t="s">
        <v>454</v>
      </c>
      <c r="T104" s="288">
        <v>0.102</v>
      </c>
      <c r="U104" s="920" t="s">
        <v>453</v>
      </c>
      <c r="V104" s="360" t="e">
        <f>VLOOKUP(A104,#REF!,10,FALSE)</f>
        <v>#REF!</v>
      </c>
    </row>
    <row r="105" spans="1:22" ht="27" customHeight="1">
      <c r="A105" s="721">
        <v>71696</v>
      </c>
      <c r="B105" s="1446">
        <v>295</v>
      </c>
      <c r="C105" s="1449" t="s">
        <v>532</v>
      </c>
      <c r="D105" s="797" t="s">
        <v>421</v>
      </c>
      <c r="E105" s="158" t="s">
        <v>533</v>
      </c>
      <c r="F105" s="158" t="s">
        <v>531</v>
      </c>
      <c r="G105" s="85"/>
      <c r="H105" s="359"/>
      <c r="I105" s="1056" t="s">
        <v>1239</v>
      </c>
      <c r="J105" s="85"/>
      <c r="K105" s="196">
        <f t="shared" si="1"/>
        <v>138.13</v>
      </c>
      <c r="L105" s="148">
        <v>2016</v>
      </c>
      <c r="M105" s="402">
        <v>0.1</v>
      </c>
      <c r="N105" s="148">
        <v>40</v>
      </c>
      <c r="O105" s="284" t="s">
        <v>1255</v>
      </c>
      <c r="P105" s="148">
        <v>16</v>
      </c>
      <c r="Q105" s="284" t="s">
        <v>1235</v>
      </c>
      <c r="R105" s="423">
        <v>9785944642509</v>
      </c>
      <c r="S105" s="357" t="s">
        <v>454</v>
      </c>
      <c r="T105" s="288">
        <v>0.102</v>
      </c>
      <c r="U105" s="920" t="s">
        <v>453</v>
      </c>
      <c r="V105" s="360" t="e">
        <f>VLOOKUP(A105,#REF!,10,FALSE)</f>
        <v>#REF!</v>
      </c>
    </row>
    <row r="106" spans="1:22" ht="27" customHeight="1">
      <c r="A106" s="730">
        <v>71517</v>
      </c>
      <c r="B106" s="1445">
        <v>197</v>
      </c>
      <c r="C106" s="1449" t="s">
        <v>781</v>
      </c>
      <c r="D106" s="797" t="s">
        <v>421</v>
      </c>
      <c r="E106" s="732" t="s">
        <v>425</v>
      </c>
      <c r="F106" s="732" t="s">
        <v>427</v>
      </c>
      <c r="G106" s="415"/>
      <c r="H106" s="167" t="s">
        <v>1799</v>
      </c>
      <c r="I106" s="1071"/>
      <c r="J106" s="415"/>
      <c r="K106" s="196"/>
      <c r="L106" s="148">
        <v>2015</v>
      </c>
      <c r="M106" s="402">
        <v>0.1</v>
      </c>
      <c r="N106" s="284">
        <v>150</v>
      </c>
      <c r="O106" s="284" t="s">
        <v>1255</v>
      </c>
      <c r="P106" s="284" t="s">
        <v>458</v>
      </c>
      <c r="Q106" s="284" t="s">
        <v>1235</v>
      </c>
      <c r="R106" s="423">
        <v>9785944642400</v>
      </c>
      <c r="S106" s="357" t="s">
        <v>454</v>
      </c>
      <c r="T106" s="288">
        <v>0.102</v>
      </c>
      <c r="U106" s="920" t="s">
        <v>453</v>
      </c>
      <c r="V106" s="360" t="e">
        <f>VLOOKUP(A106,#REF!,10,FALSE)</f>
        <v>#REF!</v>
      </c>
    </row>
    <row r="107" spans="1:22" ht="27" customHeight="1">
      <c r="A107" s="730">
        <v>71516</v>
      </c>
      <c r="B107" s="1445">
        <v>195</v>
      </c>
      <c r="C107" s="1449" t="s">
        <v>783</v>
      </c>
      <c r="D107" s="797" t="s">
        <v>421</v>
      </c>
      <c r="E107" s="732" t="s">
        <v>425</v>
      </c>
      <c r="F107" s="732" t="s">
        <v>428</v>
      </c>
      <c r="G107" s="415"/>
      <c r="H107" s="1385"/>
      <c r="I107" s="1071"/>
      <c r="J107" s="415"/>
      <c r="K107" s="196">
        <f t="shared" si="1"/>
        <v>138.13</v>
      </c>
      <c r="L107" s="148">
        <v>2015</v>
      </c>
      <c r="M107" s="402">
        <v>0.1</v>
      </c>
      <c r="N107" s="284">
        <v>150</v>
      </c>
      <c r="O107" s="284" t="s">
        <v>1255</v>
      </c>
      <c r="P107" s="284" t="s">
        <v>458</v>
      </c>
      <c r="Q107" s="284" t="s">
        <v>1235</v>
      </c>
      <c r="R107" s="423">
        <v>9785944642417</v>
      </c>
      <c r="S107" s="357" t="s">
        <v>454</v>
      </c>
      <c r="T107" s="288">
        <v>0.102</v>
      </c>
      <c r="U107" s="920" t="s">
        <v>453</v>
      </c>
      <c r="V107" s="360" t="e">
        <f>VLOOKUP(A107,#REF!,10,FALSE)</f>
        <v>#REF!</v>
      </c>
    </row>
    <row r="108" spans="1:22" ht="27" customHeight="1">
      <c r="A108" s="730">
        <v>71749</v>
      </c>
      <c r="B108" s="1445">
        <v>171</v>
      </c>
      <c r="C108" s="1449" t="s">
        <v>784</v>
      </c>
      <c r="D108" s="797" t="s">
        <v>421</v>
      </c>
      <c r="E108" s="732"/>
      <c r="F108" s="732" t="s">
        <v>429</v>
      </c>
      <c r="G108" s="415"/>
      <c r="H108" s="167"/>
      <c r="I108" s="1071"/>
      <c r="J108" s="415"/>
      <c r="K108" s="196">
        <f>ROUND(142.4*(1-$G$4),2)</f>
        <v>138.13</v>
      </c>
      <c r="L108" s="148">
        <v>2015</v>
      </c>
      <c r="M108" s="402">
        <v>0.1</v>
      </c>
      <c r="N108" s="284">
        <v>140</v>
      </c>
      <c r="O108" s="284" t="s">
        <v>1255</v>
      </c>
      <c r="P108" s="284" t="s">
        <v>458</v>
      </c>
      <c r="Q108" s="284" t="s">
        <v>1235</v>
      </c>
      <c r="R108" s="423">
        <v>9785944642516</v>
      </c>
      <c r="S108" s="357" t="s">
        <v>454</v>
      </c>
      <c r="T108" s="288">
        <v>0.102</v>
      </c>
      <c r="U108" s="920" t="s">
        <v>453</v>
      </c>
      <c r="V108" s="360" t="e">
        <f>VLOOKUP(A108,#REF!,10,FALSE)</f>
        <v>#REF!</v>
      </c>
    </row>
    <row r="109" spans="1:22" ht="27" customHeight="1" thickBot="1">
      <c r="A109" s="1467">
        <v>71574</v>
      </c>
      <c r="B109" s="1780">
        <v>146</v>
      </c>
      <c r="C109" s="1781" t="s">
        <v>782</v>
      </c>
      <c r="D109" s="1465" t="s">
        <v>421</v>
      </c>
      <c r="E109" s="1782" t="s">
        <v>450</v>
      </c>
      <c r="F109" s="1782" t="s">
        <v>451</v>
      </c>
      <c r="G109" s="1463"/>
      <c r="H109" s="905"/>
      <c r="I109" s="1073"/>
      <c r="J109" s="1463"/>
      <c r="K109" s="197">
        <f>ROUND(178*(1-$G$4),2)</f>
        <v>172.66</v>
      </c>
      <c r="L109" s="259">
        <v>2015</v>
      </c>
      <c r="M109" s="1462">
        <v>0.1</v>
      </c>
      <c r="N109" s="425">
        <v>12</v>
      </c>
      <c r="O109" s="425" t="s">
        <v>1233</v>
      </c>
      <c r="P109" s="425">
        <v>64</v>
      </c>
      <c r="Q109" s="425" t="s">
        <v>1232</v>
      </c>
      <c r="R109" s="1783" t="s">
        <v>452</v>
      </c>
      <c r="S109" s="558" t="s">
        <v>454</v>
      </c>
      <c r="T109" s="555">
        <v>0.472</v>
      </c>
      <c r="U109" s="1461" t="s">
        <v>453</v>
      </c>
      <c r="V109" s="360" t="e">
        <f>VLOOKUP(A109,#REF!,10,FALSE)</f>
        <v>#REF!</v>
      </c>
    </row>
    <row r="110" spans="1:22" ht="27" customHeight="1">
      <c r="A110" s="747">
        <v>71405</v>
      </c>
      <c r="B110" s="1011">
        <v>93</v>
      </c>
      <c r="C110" s="1785" t="s">
        <v>293</v>
      </c>
      <c r="D110" s="813" t="s">
        <v>305</v>
      </c>
      <c r="E110" s="457" t="s">
        <v>282</v>
      </c>
      <c r="F110" s="457" t="s">
        <v>292</v>
      </c>
      <c r="G110" s="437"/>
      <c r="H110" s="179" t="s">
        <v>1330</v>
      </c>
      <c r="I110" s="1060" t="s">
        <v>1239</v>
      </c>
      <c r="J110" s="238"/>
      <c r="K110" s="195">
        <f aca="true" t="shared" si="2" ref="K110:K117">ROUND(219*(1-$G$4),2)</f>
        <v>212.43</v>
      </c>
      <c r="L110" s="146">
        <v>2016</v>
      </c>
      <c r="M110" s="452">
        <v>0.1</v>
      </c>
      <c r="N110" s="146">
        <v>20</v>
      </c>
      <c r="O110" s="316" t="s">
        <v>1255</v>
      </c>
      <c r="P110" s="146">
        <v>32</v>
      </c>
      <c r="Q110" s="316" t="s">
        <v>1235</v>
      </c>
      <c r="R110" s="323">
        <v>9785990736757</v>
      </c>
      <c r="S110" s="414" t="s">
        <v>1888</v>
      </c>
      <c r="T110" s="275">
        <v>0.235</v>
      </c>
      <c r="U110" s="924" t="s">
        <v>312</v>
      </c>
      <c r="V110" s="360" t="e">
        <f>VLOOKUP(A110,#REF!,10,FALSE)</f>
        <v>#REF!</v>
      </c>
    </row>
    <row r="111" spans="1:22" ht="27" customHeight="1">
      <c r="A111" s="886">
        <v>71977</v>
      </c>
      <c r="B111" s="1001"/>
      <c r="C111" s="1638" t="s">
        <v>964</v>
      </c>
      <c r="D111" s="774" t="s">
        <v>305</v>
      </c>
      <c r="E111" s="158" t="s">
        <v>282</v>
      </c>
      <c r="F111" s="158" t="s">
        <v>963</v>
      </c>
      <c r="G111" s="397"/>
      <c r="H111" s="232" t="s">
        <v>1238</v>
      </c>
      <c r="I111" s="1056" t="s">
        <v>1239</v>
      </c>
      <c r="J111" s="85"/>
      <c r="K111" s="196">
        <f t="shared" si="2"/>
        <v>212.43</v>
      </c>
      <c r="L111" s="148">
        <v>2017</v>
      </c>
      <c r="M111" s="395">
        <v>0.1</v>
      </c>
      <c r="N111" s="148">
        <v>20</v>
      </c>
      <c r="O111" s="311" t="s">
        <v>1255</v>
      </c>
      <c r="P111" s="148">
        <v>32</v>
      </c>
      <c r="Q111" s="311" t="s">
        <v>1235</v>
      </c>
      <c r="R111" s="322">
        <v>9785990940864</v>
      </c>
      <c r="S111" s="357" t="s">
        <v>1888</v>
      </c>
      <c r="T111" s="276">
        <v>0.235</v>
      </c>
      <c r="U111" s="917" t="s">
        <v>312</v>
      </c>
      <c r="V111" s="360"/>
    </row>
    <row r="112" spans="1:22" ht="27" customHeight="1">
      <c r="A112" s="721">
        <v>71979</v>
      </c>
      <c r="B112" s="1001">
        <v>44</v>
      </c>
      <c r="C112" s="1638" t="s">
        <v>283</v>
      </c>
      <c r="D112" s="774" t="s">
        <v>305</v>
      </c>
      <c r="E112" s="158" t="s">
        <v>282</v>
      </c>
      <c r="F112" s="158" t="s">
        <v>294</v>
      </c>
      <c r="G112" s="397"/>
      <c r="H112" s="169" t="s">
        <v>1320</v>
      </c>
      <c r="I112" s="1056" t="s">
        <v>1239</v>
      </c>
      <c r="J112" s="85"/>
      <c r="K112" s="196">
        <f t="shared" si="2"/>
        <v>212.43</v>
      </c>
      <c r="L112" s="148">
        <v>2017</v>
      </c>
      <c r="M112" s="395">
        <v>0.1</v>
      </c>
      <c r="N112" s="148">
        <v>20</v>
      </c>
      <c r="O112" s="311" t="s">
        <v>1255</v>
      </c>
      <c r="P112" s="148">
        <v>32</v>
      </c>
      <c r="Q112" s="311" t="s">
        <v>1235</v>
      </c>
      <c r="R112" s="322">
        <v>9785990736733</v>
      </c>
      <c r="S112" s="357" t="s">
        <v>1888</v>
      </c>
      <c r="T112" s="276">
        <v>0.235</v>
      </c>
      <c r="U112" s="917" t="s">
        <v>312</v>
      </c>
      <c r="V112" s="360" t="e">
        <f>VLOOKUP(A112,#REF!,10,FALSE)</f>
        <v>#REF!</v>
      </c>
    </row>
    <row r="113" spans="1:22" ht="27" customHeight="1">
      <c r="A113" s="721">
        <v>71404</v>
      </c>
      <c r="B113" s="1001">
        <v>124</v>
      </c>
      <c r="C113" s="1638" t="s">
        <v>256</v>
      </c>
      <c r="D113" s="774" t="s">
        <v>305</v>
      </c>
      <c r="E113" s="158" t="s">
        <v>282</v>
      </c>
      <c r="F113" s="158" t="s">
        <v>255</v>
      </c>
      <c r="G113" s="397"/>
      <c r="H113" s="178"/>
      <c r="I113" s="1056" t="s">
        <v>1239</v>
      </c>
      <c r="J113" s="85"/>
      <c r="K113" s="196">
        <f t="shared" si="2"/>
        <v>212.43</v>
      </c>
      <c r="L113" s="148">
        <v>2016</v>
      </c>
      <c r="M113" s="395">
        <v>0.1</v>
      </c>
      <c r="N113" s="148">
        <v>20</v>
      </c>
      <c r="O113" s="311" t="s">
        <v>1255</v>
      </c>
      <c r="P113" s="148">
        <v>32</v>
      </c>
      <c r="Q113" s="311" t="s">
        <v>1235</v>
      </c>
      <c r="R113" s="322">
        <v>9785990736740</v>
      </c>
      <c r="S113" s="357" t="s">
        <v>1888</v>
      </c>
      <c r="T113" s="276">
        <v>0.235</v>
      </c>
      <c r="U113" s="917" t="s">
        <v>312</v>
      </c>
      <c r="V113" s="360" t="e">
        <f>VLOOKUP(A113,#REF!,10,FALSE)</f>
        <v>#REF!</v>
      </c>
    </row>
    <row r="114" spans="1:22" ht="27" customHeight="1">
      <c r="A114" s="721">
        <v>71394</v>
      </c>
      <c r="B114" s="1001">
        <v>82</v>
      </c>
      <c r="C114" s="1638" t="s">
        <v>301</v>
      </c>
      <c r="D114" s="774" t="s">
        <v>305</v>
      </c>
      <c r="E114" s="158" t="s">
        <v>282</v>
      </c>
      <c r="F114" s="158" t="s">
        <v>300</v>
      </c>
      <c r="G114" s="397"/>
      <c r="H114" s="178" t="s">
        <v>1330</v>
      </c>
      <c r="I114" s="1056" t="s">
        <v>1239</v>
      </c>
      <c r="J114" s="85"/>
      <c r="K114" s="196">
        <f t="shared" si="2"/>
        <v>212.43</v>
      </c>
      <c r="L114" s="148">
        <v>2016</v>
      </c>
      <c r="M114" s="395">
        <v>0.1</v>
      </c>
      <c r="N114" s="148">
        <v>20</v>
      </c>
      <c r="O114" s="311" t="s">
        <v>1255</v>
      </c>
      <c r="P114" s="148">
        <v>32</v>
      </c>
      <c r="Q114" s="311" t="s">
        <v>1235</v>
      </c>
      <c r="R114" s="322">
        <v>9785990736702</v>
      </c>
      <c r="S114" s="357" t="s">
        <v>1888</v>
      </c>
      <c r="T114" s="276">
        <v>0.235</v>
      </c>
      <c r="U114" s="917" t="s">
        <v>312</v>
      </c>
      <c r="V114" s="360" t="e">
        <f>VLOOKUP(A114,#REF!,10,FALSE)</f>
        <v>#REF!</v>
      </c>
    </row>
    <row r="115" spans="1:22" ht="27" customHeight="1">
      <c r="A115" s="721">
        <v>71402</v>
      </c>
      <c r="B115" s="1001">
        <v>86</v>
      </c>
      <c r="C115" s="1638" t="s">
        <v>281</v>
      </c>
      <c r="D115" s="774" t="s">
        <v>305</v>
      </c>
      <c r="E115" s="158" t="s">
        <v>282</v>
      </c>
      <c r="F115" s="158" t="s">
        <v>295</v>
      </c>
      <c r="G115" s="397"/>
      <c r="H115" s="178" t="s">
        <v>1330</v>
      </c>
      <c r="I115" s="1056" t="s">
        <v>1239</v>
      </c>
      <c r="J115" s="85"/>
      <c r="K115" s="196">
        <f t="shared" si="2"/>
        <v>212.43</v>
      </c>
      <c r="L115" s="148">
        <v>2016</v>
      </c>
      <c r="M115" s="395">
        <v>0.1</v>
      </c>
      <c r="N115" s="148">
        <v>20</v>
      </c>
      <c r="O115" s="311" t="s">
        <v>1255</v>
      </c>
      <c r="P115" s="148">
        <v>32</v>
      </c>
      <c r="Q115" s="311" t="s">
        <v>1235</v>
      </c>
      <c r="R115" s="322">
        <v>9785990736726</v>
      </c>
      <c r="S115" s="357" t="s">
        <v>1888</v>
      </c>
      <c r="T115" s="276">
        <v>0.235</v>
      </c>
      <c r="U115" s="917" t="s">
        <v>312</v>
      </c>
      <c r="V115" s="360"/>
    </row>
    <row r="116" spans="1:22" ht="27" customHeight="1">
      <c r="A116" s="886">
        <v>71978</v>
      </c>
      <c r="B116" s="1001"/>
      <c r="C116" s="1638" t="s">
        <v>966</v>
      </c>
      <c r="D116" s="774" t="s">
        <v>305</v>
      </c>
      <c r="E116" s="158" t="s">
        <v>282</v>
      </c>
      <c r="F116" s="158" t="s">
        <v>965</v>
      </c>
      <c r="G116" s="397"/>
      <c r="H116" s="232" t="s">
        <v>1238</v>
      </c>
      <c r="I116" s="1056" t="s">
        <v>1239</v>
      </c>
      <c r="J116" s="85"/>
      <c r="K116" s="196">
        <f t="shared" si="2"/>
        <v>212.43</v>
      </c>
      <c r="L116" s="148">
        <v>2017</v>
      </c>
      <c r="M116" s="395">
        <v>0.1</v>
      </c>
      <c r="N116" s="148">
        <v>20</v>
      </c>
      <c r="O116" s="311" t="s">
        <v>1255</v>
      </c>
      <c r="P116" s="148">
        <v>32</v>
      </c>
      <c r="Q116" s="311" t="s">
        <v>1235</v>
      </c>
      <c r="R116" s="322">
        <v>9785990940840</v>
      </c>
      <c r="S116" s="357" t="s">
        <v>1888</v>
      </c>
      <c r="T116" s="276">
        <v>0.235</v>
      </c>
      <c r="U116" s="917" t="s">
        <v>312</v>
      </c>
      <c r="V116" s="360"/>
    </row>
    <row r="117" spans="1:22" ht="27" customHeight="1" thickBot="1">
      <c r="A117" s="725">
        <v>71401</v>
      </c>
      <c r="B117" s="1003">
        <v>83</v>
      </c>
      <c r="C117" s="1786" t="s">
        <v>303</v>
      </c>
      <c r="D117" s="795" t="s">
        <v>305</v>
      </c>
      <c r="E117" s="406" t="s">
        <v>282</v>
      </c>
      <c r="F117" s="406" t="s">
        <v>302</v>
      </c>
      <c r="G117" s="573"/>
      <c r="H117" s="180" t="s">
        <v>1330</v>
      </c>
      <c r="I117" s="1059" t="s">
        <v>1239</v>
      </c>
      <c r="J117" s="138"/>
      <c r="K117" s="200">
        <f t="shared" si="2"/>
        <v>212.43</v>
      </c>
      <c r="L117" s="149">
        <v>2016</v>
      </c>
      <c r="M117" s="408">
        <v>0.1</v>
      </c>
      <c r="N117" s="149">
        <v>20</v>
      </c>
      <c r="O117" s="244" t="s">
        <v>1255</v>
      </c>
      <c r="P117" s="149">
        <v>32</v>
      </c>
      <c r="Q117" s="244" t="s">
        <v>1235</v>
      </c>
      <c r="R117" s="324">
        <v>9785990736719</v>
      </c>
      <c r="S117" s="358" t="s">
        <v>1888</v>
      </c>
      <c r="T117" s="277">
        <v>0.235</v>
      </c>
      <c r="U117" s="925" t="s">
        <v>312</v>
      </c>
      <c r="V117" s="360" t="e">
        <f>VLOOKUP(A117,#REF!,10,FALSE)</f>
        <v>#REF!</v>
      </c>
    </row>
    <row r="118" spans="1:22" ht="27" customHeight="1">
      <c r="A118" s="758">
        <v>71687</v>
      </c>
      <c r="B118" s="1014">
        <v>19</v>
      </c>
      <c r="C118" s="782" t="s">
        <v>493</v>
      </c>
      <c r="D118" s="1588" t="s">
        <v>492</v>
      </c>
      <c r="E118" s="467"/>
      <c r="F118" s="538" t="s">
        <v>495</v>
      </c>
      <c r="G118" s="1784"/>
      <c r="H118" s="1591" t="s">
        <v>1799</v>
      </c>
      <c r="I118" s="1592" t="s">
        <v>1239</v>
      </c>
      <c r="J118" s="236"/>
      <c r="K118" s="194"/>
      <c r="L118" s="260">
        <v>2016</v>
      </c>
      <c r="M118" s="1675">
        <v>0.1</v>
      </c>
      <c r="N118" s="260">
        <v>12</v>
      </c>
      <c r="O118" s="475" t="s">
        <v>1255</v>
      </c>
      <c r="P118" s="260">
        <v>32</v>
      </c>
      <c r="Q118" s="475" t="s">
        <v>1235</v>
      </c>
      <c r="R118" s="469">
        <v>9785990830912</v>
      </c>
      <c r="S118" s="366" t="s">
        <v>1888</v>
      </c>
      <c r="T118" s="300">
        <v>0.265</v>
      </c>
      <c r="U118" s="929" t="s">
        <v>312</v>
      </c>
      <c r="V118" s="360" t="e">
        <f>VLOOKUP(A118,#REF!,10,FALSE)</f>
        <v>#REF!</v>
      </c>
    </row>
    <row r="119" spans="1:22" ht="27" customHeight="1" thickBot="1">
      <c r="A119" s="725">
        <v>71688</v>
      </c>
      <c r="B119" s="1003">
        <v>17</v>
      </c>
      <c r="C119" s="750" t="s">
        <v>494</v>
      </c>
      <c r="D119" s="1351" t="s">
        <v>492</v>
      </c>
      <c r="E119" s="466"/>
      <c r="F119" s="406" t="s">
        <v>496</v>
      </c>
      <c r="G119" s="226"/>
      <c r="H119" s="237" t="s">
        <v>1799</v>
      </c>
      <c r="I119" s="1059" t="s">
        <v>1239</v>
      </c>
      <c r="J119" s="138"/>
      <c r="K119" s="191"/>
      <c r="L119" s="149">
        <v>2016</v>
      </c>
      <c r="M119" s="408">
        <v>0.1</v>
      </c>
      <c r="N119" s="149">
        <v>12</v>
      </c>
      <c r="O119" s="244" t="s">
        <v>1255</v>
      </c>
      <c r="P119" s="149">
        <v>32</v>
      </c>
      <c r="Q119" s="244" t="s">
        <v>1235</v>
      </c>
      <c r="R119" s="324">
        <v>9785990830936</v>
      </c>
      <c r="S119" s="358" t="s">
        <v>1888</v>
      </c>
      <c r="T119" s="455">
        <v>0.265</v>
      </c>
      <c r="U119" s="925" t="s">
        <v>312</v>
      </c>
      <c r="V119" s="360" t="e">
        <f>VLOOKUP(A119,#REF!,10,FALSE)</f>
        <v>#REF!</v>
      </c>
    </row>
    <row r="120" spans="1:22" ht="27" customHeight="1">
      <c r="A120" s="747">
        <v>71251</v>
      </c>
      <c r="B120" s="1011">
        <v>107</v>
      </c>
      <c r="C120" s="1333" t="s">
        <v>1977</v>
      </c>
      <c r="D120" s="1375" t="s">
        <v>1979</v>
      </c>
      <c r="E120" s="156" t="s">
        <v>1964</v>
      </c>
      <c r="F120" s="156" t="s">
        <v>1976</v>
      </c>
      <c r="G120" s="442"/>
      <c r="H120" s="231"/>
      <c r="I120" s="1065" t="s">
        <v>1546</v>
      </c>
      <c r="J120" s="104"/>
      <c r="K120" s="189">
        <f aca="true" t="shared" si="3" ref="K120:K125">ROUND(210*(1-$G$4),2)</f>
        <v>203.7</v>
      </c>
      <c r="L120" s="146">
        <v>2015</v>
      </c>
      <c r="M120" s="452">
        <v>0.1</v>
      </c>
      <c r="N120" s="146">
        <v>50</v>
      </c>
      <c r="O120" s="461" t="s">
        <v>1255</v>
      </c>
      <c r="P120" s="146">
        <v>16</v>
      </c>
      <c r="Q120" s="316" t="s">
        <v>1235</v>
      </c>
      <c r="R120" s="323" t="s">
        <v>1978</v>
      </c>
      <c r="S120" s="911" t="s">
        <v>1807</v>
      </c>
      <c r="T120" s="299">
        <v>0.125</v>
      </c>
      <c r="U120" s="924" t="s">
        <v>312</v>
      </c>
      <c r="V120" s="360" t="e">
        <f>VLOOKUP(A120,#REF!,10,FALSE)</f>
        <v>#REF!</v>
      </c>
    </row>
    <row r="121" spans="1:22" ht="27" customHeight="1">
      <c r="A121" s="721">
        <v>71252</v>
      </c>
      <c r="B121" s="1001">
        <v>118</v>
      </c>
      <c r="C121" s="749" t="s">
        <v>1962</v>
      </c>
      <c r="D121" s="1349" t="s">
        <v>1979</v>
      </c>
      <c r="E121" s="157" t="s">
        <v>1964</v>
      </c>
      <c r="F121" s="157" t="s">
        <v>1961</v>
      </c>
      <c r="G121" s="444"/>
      <c r="H121" s="232"/>
      <c r="I121" s="1066" t="s">
        <v>1546</v>
      </c>
      <c r="J121" s="91"/>
      <c r="K121" s="190">
        <f t="shared" si="3"/>
        <v>203.7</v>
      </c>
      <c r="L121" s="148">
        <v>2015</v>
      </c>
      <c r="M121" s="395">
        <v>0.1</v>
      </c>
      <c r="N121" s="148">
        <v>50</v>
      </c>
      <c r="O121" s="283" t="s">
        <v>1255</v>
      </c>
      <c r="P121" s="148">
        <v>16</v>
      </c>
      <c r="Q121" s="311" t="s">
        <v>1235</v>
      </c>
      <c r="R121" s="322" t="s">
        <v>1963</v>
      </c>
      <c r="S121" s="615" t="s">
        <v>1807</v>
      </c>
      <c r="T121" s="301">
        <v>0.125</v>
      </c>
      <c r="U121" s="917" t="s">
        <v>312</v>
      </c>
      <c r="V121" s="360" t="e">
        <f>VLOOKUP(A121,#REF!,10,FALSE)</f>
        <v>#REF!</v>
      </c>
    </row>
    <row r="122" spans="1:22" ht="27" customHeight="1">
      <c r="A122" s="721">
        <v>71253</v>
      </c>
      <c r="B122" s="1001">
        <v>77</v>
      </c>
      <c r="C122" s="749" t="s">
        <v>1966</v>
      </c>
      <c r="D122" s="1349" t="s">
        <v>1979</v>
      </c>
      <c r="E122" s="157" t="s">
        <v>1964</v>
      </c>
      <c r="F122" s="157" t="s">
        <v>1965</v>
      </c>
      <c r="G122" s="444"/>
      <c r="H122" s="178"/>
      <c r="I122" s="1066" t="s">
        <v>1546</v>
      </c>
      <c r="J122" s="91"/>
      <c r="K122" s="190">
        <f t="shared" si="3"/>
        <v>203.7</v>
      </c>
      <c r="L122" s="148">
        <v>2015</v>
      </c>
      <c r="M122" s="395">
        <v>0.1</v>
      </c>
      <c r="N122" s="148">
        <v>50</v>
      </c>
      <c r="O122" s="283" t="s">
        <v>1255</v>
      </c>
      <c r="P122" s="148">
        <v>16</v>
      </c>
      <c r="Q122" s="311" t="s">
        <v>1235</v>
      </c>
      <c r="R122" s="322" t="s">
        <v>1967</v>
      </c>
      <c r="S122" s="615" t="s">
        <v>1807</v>
      </c>
      <c r="T122" s="301">
        <v>0.125</v>
      </c>
      <c r="U122" s="917" t="s">
        <v>312</v>
      </c>
      <c r="V122" s="360" t="e">
        <f>VLOOKUP(A122,#REF!,10,FALSE)</f>
        <v>#REF!</v>
      </c>
    </row>
    <row r="123" spans="1:22" ht="27" customHeight="1">
      <c r="A123" s="721">
        <v>71254</v>
      </c>
      <c r="B123" s="1001">
        <v>117</v>
      </c>
      <c r="C123" s="749" t="s">
        <v>1974</v>
      </c>
      <c r="D123" s="1349" t="s">
        <v>1979</v>
      </c>
      <c r="E123" s="157" t="s">
        <v>1964</v>
      </c>
      <c r="F123" s="157" t="s">
        <v>1973</v>
      </c>
      <c r="G123" s="444"/>
      <c r="H123" s="232"/>
      <c r="I123" s="1066" t="s">
        <v>1546</v>
      </c>
      <c r="J123" s="91"/>
      <c r="K123" s="190">
        <f t="shared" si="3"/>
        <v>203.7</v>
      </c>
      <c r="L123" s="148">
        <v>2015</v>
      </c>
      <c r="M123" s="395">
        <v>0.1</v>
      </c>
      <c r="N123" s="148">
        <v>50</v>
      </c>
      <c r="O123" s="283" t="s">
        <v>1255</v>
      </c>
      <c r="P123" s="148">
        <v>16</v>
      </c>
      <c r="Q123" s="311" t="s">
        <v>1235</v>
      </c>
      <c r="R123" s="322" t="s">
        <v>1975</v>
      </c>
      <c r="S123" s="615" t="s">
        <v>1807</v>
      </c>
      <c r="T123" s="301">
        <v>0.125</v>
      </c>
      <c r="U123" s="917" t="s">
        <v>312</v>
      </c>
      <c r="V123" s="360" t="e">
        <f>VLOOKUP(A123,#REF!,10,FALSE)</f>
        <v>#REF!</v>
      </c>
    </row>
    <row r="124" spans="1:22" ht="27" customHeight="1">
      <c r="A124" s="721">
        <v>71255</v>
      </c>
      <c r="B124" s="1001">
        <v>159</v>
      </c>
      <c r="C124" s="749" t="s">
        <v>1969</v>
      </c>
      <c r="D124" s="1349" t="s">
        <v>1979</v>
      </c>
      <c r="E124" s="157" t="s">
        <v>1964</v>
      </c>
      <c r="F124" s="157" t="s">
        <v>1968</v>
      </c>
      <c r="G124" s="444"/>
      <c r="H124" s="232"/>
      <c r="I124" s="1066" t="s">
        <v>1546</v>
      </c>
      <c r="J124" s="91"/>
      <c r="K124" s="190">
        <f t="shared" si="3"/>
        <v>203.7</v>
      </c>
      <c r="L124" s="148">
        <v>2015</v>
      </c>
      <c r="M124" s="395">
        <v>0.1</v>
      </c>
      <c r="N124" s="148">
        <v>50</v>
      </c>
      <c r="O124" s="283" t="s">
        <v>1255</v>
      </c>
      <c r="P124" s="148">
        <v>16</v>
      </c>
      <c r="Q124" s="311" t="s">
        <v>1235</v>
      </c>
      <c r="R124" s="322">
        <v>9785462018183</v>
      </c>
      <c r="S124" s="615" t="s">
        <v>1807</v>
      </c>
      <c r="T124" s="301">
        <v>0.125</v>
      </c>
      <c r="U124" s="917" t="s">
        <v>312</v>
      </c>
      <c r="V124" s="360" t="e">
        <f>VLOOKUP(A124,#REF!,10,FALSE)</f>
        <v>#REF!</v>
      </c>
    </row>
    <row r="125" spans="1:22" ht="27" customHeight="1" thickBot="1">
      <c r="A125" s="725">
        <v>71256</v>
      </c>
      <c r="B125" s="1003">
        <v>121</v>
      </c>
      <c r="C125" s="750" t="s">
        <v>1971</v>
      </c>
      <c r="D125" s="1378" t="s">
        <v>1979</v>
      </c>
      <c r="E125" s="464" t="s">
        <v>1964</v>
      </c>
      <c r="F125" s="464" t="s">
        <v>1970</v>
      </c>
      <c r="G125" s="449"/>
      <c r="H125" s="1327"/>
      <c r="I125" s="1068" t="s">
        <v>1546</v>
      </c>
      <c r="J125" s="114"/>
      <c r="K125" s="191">
        <f t="shared" si="3"/>
        <v>203.7</v>
      </c>
      <c r="L125" s="149">
        <v>2015</v>
      </c>
      <c r="M125" s="408">
        <v>0.1</v>
      </c>
      <c r="N125" s="149">
        <v>50</v>
      </c>
      <c r="O125" s="454" t="s">
        <v>1255</v>
      </c>
      <c r="P125" s="149">
        <v>16</v>
      </c>
      <c r="Q125" s="244" t="s">
        <v>1235</v>
      </c>
      <c r="R125" s="324" t="s">
        <v>1972</v>
      </c>
      <c r="S125" s="1331" t="s">
        <v>1807</v>
      </c>
      <c r="T125" s="455">
        <v>0.125</v>
      </c>
      <c r="U125" s="925" t="s">
        <v>312</v>
      </c>
      <c r="V125" s="360" t="e">
        <f>VLOOKUP(A125,#REF!,10,FALSE)</f>
        <v>#REF!</v>
      </c>
    </row>
    <row r="126" spans="1:22" ht="27" customHeight="1">
      <c r="A126" s="1604">
        <v>71489</v>
      </c>
      <c r="B126" s="1605">
        <v>111</v>
      </c>
      <c r="C126" s="1606" t="s">
        <v>371</v>
      </c>
      <c r="D126" s="1619" t="s">
        <v>392</v>
      </c>
      <c r="E126" s="1616"/>
      <c r="F126" s="1325" t="s">
        <v>370</v>
      </c>
      <c r="G126" s="1607"/>
      <c r="H126" s="1608" t="s">
        <v>1330</v>
      </c>
      <c r="I126" s="1609" t="s">
        <v>1239</v>
      </c>
      <c r="J126" s="1610"/>
      <c r="K126" s="1611">
        <f>ROUND(188*(1-$G$4),2)</f>
        <v>182.36</v>
      </c>
      <c r="L126" s="268">
        <v>2016</v>
      </c>
      <c r="M126" s="1612">
        <v>0.1</v>
      </c>
      <c r="N126" s="268" t="s">
        <v>306</v>
      </c>
      <c r="O126" s="268" t="s">
        <v>1157</v>
      </c>
      <c r="P126" s="268" t="s">
        <v>393</v>
      </c>
      <c r="Q126" s="1613" t="s">
        <v>1235</v>
      </c>
      <c r="R126" s="967">
        <v>9785990830837</v>
      </c>
      <c r="S126" s="1474" t="s">
        <v>1888</v>
      </c>
      <c r="T126" s="1614">
        <v>0.14</v>
      </c>
      <c r="U126" s="1615" t="s">
        <v>312</v>
      </c>
      <c r="V126" s="360" t="e">
        <f>VLOOKUP(A126,#REF!,10,FALSE)</f>
        <v>#REF!</v>
      </c>
    </row>
    <row r="127" spans="1:22" ht="27" customHeight="1">
      <c r="A127" s="721">
        <v>71491</v>
      </c>
      <c r="B127" s="1001">
        <v>91</v>
      </c>
      <c r="C127" s="749" t="s">
        <v>369</v>
      </c>
      <c r="D127" s="1620" t="s">
        <v>678</v>
      </c>
      <c r="E127" s="1617"/>
      <c r="F127" s="158" t="s">
        <v>368</v>
      </c>
      <c r="G127" s="404"/>
      <c r="H127" s="178" t="s">
        <v>1330</v>
      </c>
      <c r="I127" s="1056" t="s">
        <v>1239</v>
      </c>
      <c r="J127" s="404"/>
      <c r="K127" s="190">
        <f>ROUND(188*(1-$G$4),2)</f>
        <v>182.36</v>
      </c>
      <c r="L127" s="148">
        <v>2016</v>
      </c>
      <c r="M127" s="395">
        <v>0.1</v>
      </c>
      <c r="N127" s="148" t="s">
        <v>306</v>
      </c>
      <c r="O127" s="148" t="s">
        <v>1157</v>
      </c>
      <c r="P127" s="148" t="s">
        <v>393</v>
      </c>
      <c r="Q127" s="470" t="s">
        <v>1235</v>
      </c>
      <c r="R127" s="322" t="s">
        <v>679</v>
      </c>
      <c r="S127" s="906" t="s">
        <v>1888</v>
      </c>
      <c r="T127" s="301">
        <v>0.14</v>
      </c>
      <c r="U127" s="917" t="s">
        <v>312</v>
      </c>
      <c r="V127" s="360"/>
    </row>
    <row r="128" spans="1:22" ht="27" customHeight="1">
      <c r="A128" s="721">
        <v>71490</v>
      </c>
      <c r="B128" s="1001">
        <v>66</v>
      </c>
      <c r="C128" s="749" t="s">
        <v>375</v>
      </c>
      <c r="D128" s="1620" t="s">
        <v>678</v>
      </c>
      <c r="E128" s="1617"/>
      <c r="F128" s="158" t="s">
        <v>374</v>
      </c>
      <c r="G128" s="404"/>
      <c r="H128" s="167" t="s">
        <v>1799</v>
      </c>
      <c r="I128" s="1056" t="s">
        <v>1239</v>
      </c>
      <c r="J128" s="404"/>
      <c r="K128" s="190"/>
      <c r="L128" s="148">
        <v>2016</v>
      </c>
      <c r="M128" s="395">
        <v>0.1</v>
      </c>
      <c r="N128" s="148" t="s">
        <v>306</v>
      </c>
      <c r="O128" s="148" t="s">
        <v>1157</v>
      </c>
      <c r="P128" s="148" t="s">
        <v>393</v>
      </c>
      <c r="Q128" s="470" t="s">
        <v>1235</v>
      </c>
      <c r="R128" s="322" t="s">
        <v>887</v>
      </c>
      <c r="S128" s="906" t="s">
        <v>1888</v>
      </c>
      <c r="T128" s="301">
        <v>0.14</v>
      </c>
      <c r="U128" s="917" t="s">
        <v>312</v>
      </c>
      <c r="V128" s="360"/>
    </row>
    <row r="129" spans="1:22" ht="27" customHeight="1" thickBot="1">
      <c r="A129" s="725">
        <v>71492</v>
      </c>
      <c r="B129" s="1003">
        <v>108</v>
      </c>
      <c r="C129" s="750" t="s">
        <v>373</v>
      </c>
      <c r="D129" s="1621" t="s">
        <v>392</v>
      </c>
      <c r="E129" s="1618"/>
      <c r="F129" s="406" t="s">
        <v>372</v>
      </c>
      <c r="G129" s="1326"/>
      <c r="H129" s="180" t="s">
        <v>1330</v>
      </c>
      <c r="I129" s="1328" t="s">
        <v>1239</v>
      </c>
      <c r="J129" s="1329"/>
      <c r="K129" s="191">
        <f>ROUND(188*(1-$G$4),2)</f>
        <v>182.36</v>
      </c>
      <c r="L129" s="149">
        <v>2016</v>
      </c>
      <c r="M129" s="408">
        <v>0.1</v>
      </c>
      <c r="N129" s="149" t="s">
        <v>306</v>
      </c>
      <c r="O129" s="149" t="s">
        <v>1157</v>
      </c>
      <c r="P129" s="149" t="s">
        <v>393</v>
      </c>
      <c r="Q129" s="622" t="s">
        <v>1235</v>
      </c>
      <c r="R129" s="324">
        <v>9785990830837</v>
      </c>
      <c r="S129" s="358" t="s">
        <v>1888</v>
      </c>
      <c r="T129" s="455">
        <v>0.14</v>
      </c>
      <c r="U129" s="925" t="s">
        <v>312</v>
      </c>
      <c r="V129" s="360" t="e">
        <f>VLOOKUP(A129,#REF!,10,FALSE)</f>
        <v>#REF!</v>
      </c>
    </row>
    <row r="130" spans="1:22" ht="27" customHeight="1">
      <c r="A130" s="747">
        <v>71484</v>
      </c>
      <c r="B130" s="1011">
        <v>167</v>
      </c>
      <c r="C130" s="1333" t="s">
        <v>351</v>
      </c>
      <c r="D130" s="1350" t="s">
        <v>349</v>
      </c>
      <c r="E130" s="123"/>
      <c r="F130" s="457" t="s">
        <v>350</v>
      </c>
      <c r="G130" s="471"/>
      <c r="H130" s="181"/>
      <c r="I130" s="1060" t="s">
        <v>1239</v>
      </c>
      <c r="J130" s="459"/>
      <c r="K130" s="189">
        <f>ROUND(118*(1-$G$4),2)</f>
        <v>114.46</v>
      </c>
      <c r="L130" s="146">
        <v>2016</v>
      </c>
      <c r="M130" s="452">
        <v>0.1</v>
      </c>
      <c r="N130" s="146">
        <v>30</v>
      </c>
      <c r="O130" s="146" t="s">
        <v>1233</v>
      </c>
      <c r="P130" s="146">
        <v>32</v>
      </c>
      <c r="Q130" s="472" t="s">
        <v>1235</v>
      </c>
      <c r="R130" s="323" t="s">
        <v>352</v>
      </c>
      <c r="S130" s="414" t="s">
        <v>1888</v>
      </c>
      <c r="T130" s="299">
        <v>0.1</v>
      </c>
      <c r="U130" s="924" t="s">
        <v>312</v>
      </c>
      <c r="V130" s="360" t="e">
        <f>VLOOKUP(A130,#REF!,10,FALSE)</f>
        <v>#REF!</v>
      </c>
    </row>
    <row r="131" spans="1:22" ht="27" customHeight="1">
      <c r="A131" s="721">
        <v>71486</v>
      </c>
      <c r="B131" s="1001">
        <v>221</v>
      </c>
      <c r="C131" s="749" t="s">
        <v>357</v>
      </c>
      <c r="D131" s="1347" t="s">
        <v>349</v>
      </c>
      <c r="E131" s="124"/>
      <c r="F131" s="158" t="s">
        <v>356</v>
      </c>
      <c r="G131" s="403"/>
      <c r="H131" s="182"/>
      <c r="I131" s="1056" t="s">
        <v>1239</v>
      </c>
      <c r="J131" s="404"/>
      <c r="K131" s="190">
        <f>ROUND(118*(1-$G$4),2)</f>
        <v>114.46</v>
      </c>
      <c r="L131" s="148">
        <v>2016</v>
      </c>
      <c r="M131" s="395">
        <v>0.1</v>
      </c>
      <c r="N131" s="148">
        <v>30</v>
      </c>
      <c r="O131" s="311" t="s">
        <v>1233</v>
      </c>
      <c r="P131" s="148">
        <v>32</v>
      </c>
      <c r="Q131" s="470" t="s">
        <v>1235</v>
      </c>
      <c r="R131" s="322" t="s">
        <v>358</v>
      </c>
      <c r="S131" s="357" t="s">
        <v>1888</v>
      </c>
      <c r="T131" s="301">
        <v>0.1</v>
      </c>
      <c r="U131" s="917" t="s">
        <v>312</v>
      </c>
      <c r="V131" s="360" t="e">
        <f>VLOOKUP(A131,#REF!,10,FALSE)</f>
        <v>#REF!</v>
      </c>
    </row>
    <row r="132" spans="1:22" ht="27" customHeight="1">
      <c r="A132" s="721">
        <v>71487</v>
      </c>
      <c r="B132" s="1001">
        <v>185</v>
      </c>
      <c r="C132" s="749" t="s">
        <v>354</v>
      </c>
      <c r="D132" s="1347" t="s">
        <v>349</v>
      </c>
      <c r="E132" s="124"/>
      <c r="F132" s="158" t="s">
        <v>353</v>
      </c>
      <c r="G132" s="403"/>
      <c r="H132" s="182"/>
      <c r="I132" s="1056" t="s">
        <v>1239</v>
      </c>
      <c r="J132" s="404"/>
      <c r="K132" s="190">
        <f>ROUND(118*(1-$G$4),2)</f>
        <v>114.46</v>
      </c>
      <c r="L132" s="148">
        <v>2016</v>
      </c>
      <c r="M132" s="395">
        <v>0.1</v>
      </c>
      <c r="N132" s="148">
        <v>30</v>
      </c>
      <c r="O132" s="311" t="s">
        <v>1233</v>
      </c>
      <c r="P132" s="148">
        <v>32</v>
      </c>
      <c r="Q132" s="470" t="s">
        <v>1235</v>
      </c>
      <c r="R132" s="322" t="s">
        <v>355</v>
      </c>
      <c r="S132" s="357" t="s">
        <v>1888</v>
      </c>
      <c r="T132" s="301">
        <v>0.1</v>
      </c>
      <c r="U132" s="917" t="s">
        <v>312</v>
      </c>
      <c r="V132" s="360" t="e">
        <f>VLOOKUP(A132,#REF!,10,FALSE)</f>
        <v>#REF!</v>
      </c>
    </row>
    <row r="133" spans="1:22" ht="27" customHeight="1" thickBot="1">
      <c r="A133" s="716">
        <v>71488</v>
      </c>
      <c r="B133" s="999">
        <v>199</v>
      </c>
      <c r="C133" s="1352" t="s">
        <v>360</v>
      </c>
      <c r="D133" s="1628" t="s">
        <v>349</v>
      </c>
      <c r="E133" s="184"/>
      <c r="F133" s="391" t="s">
        <v>359</v>
      </c>
      <c r="G133" s="1668"/>
      <c r="H133" s="215"/>
      <c r="I133" s="1632" t="s">
        <v>1239</v>
      </c>
      <c r="J133" s="473"/>
      <c r="K133" s="193">
        <f>ROUND(118*(1-$G$4),2)</f>
        <v>114.46</v>
      </c>
      <c r="L133" s="259">
        <v>2016</v>
      </c>
      <c r="M133" s="392">
        <v>0.1</v>
      </c>
      <c r="N133" s="259">
        <v>30</v>
      </c>
      <c r="O133" s="393" t="s">
        <v>1233</v>
      </c>
      <c r="P133" s="259">
        <v>32</v>
      </c>
      <c r="Q133" s="1669" t="s">
        <v>1235</v>
      </c>
      <c r="R133" s="325" t="s">
        <v>361</v>
      </c>
      <c r="S133" s="558" t="s">
        <v>1888</v>
      </c>
      <c r="T133" s="302">
        <v>0.1</v>
      </c>
      <c r="U133" s="930" t="s">
        <v>312</v>
      </c>
      <c r="V133" s="360" t="e">
        <f>VLOOKUP(A133,#REF!,10,FALSE)</f>
        <v>#REF!</v>
      </c>
    </row>
    <row r="134" spans="1:22" ht="27" customHeight="1">
      <c r="A134" s="761">
        <v>71493</v>
      </c>
      <c r="B134" s="1015">
        <v>220</v>
      </c>
      <c r="C134" s="1333" t="s">
        <v>1805</v>
      </c>
      <c r="D134" s="1680" t="s">
        <v>1804</v>
      </c>
      <c r="E134" s="156" t="s">
        <v>680</v>
      </c>
      <c r="F134" s="156" t="s">
        <v>1802</v>
      </c>
      <c r="G134" s="442" t="s">
        <v>1218</v>
      </c>
      <c r="H134" s="179"/>
      <c r="I134" s="1679" t="s">
        <v>1546</v>
      </c>
      <c r="J134" s="120"/>
      <c r="K134" s="189">
        <f>ROUND(187.5*(1-$G$4),2)</f>
        <v>181.88</v>
      </c>
      <c r="L134" s="327">
        <v>2016</v>
      </c>
      <c r="M134" s="327" t="s">
        <v>1231</v>
      </c>
      <c r="N134" s="146">
        <v>20</v>
      </c>
      <c r="O134" s="453" t="s">
        <v>1255</v>
      </c>
      <c r="P134" s="327" t="s">
        <v>1829</v>
      </c>
      <c r="Q134" s="453" t="s">
        <v>1511</v>
      </c>
      <c r="R134" s="1681" t="s">
        <v>144</v>
      </c>
      <c r="S134" s="1133" t="s">
        <v>1807</v>
      </c>
      <c r="T134" s="443">
        <v>0.175</v>
      </c>
      <c r="U134" s="924" t="s">
        <v>312</v>
      </c>
      <c r="V134" s="360" t="e">
        <f>VLOOKUP(A134,#REF!,10,FALSE)</f>
        <v>#REF!</v>
      </c>
    </row>
    <row r="135" spans="1:22" ht="27" customHeight="1">
      <c r="A135" s="751">
        <v>71165</v>
      </c>
      <c r="B135" s="1012"/>
      <c r="C135" s="749" t="s">
        <v>826</v>
      </c>
      <c r="D135" s="1682" t="s">
        <v>1804</v>
      </c>
      <c r="E135" s="157" t="s">
        <v>680</v>
      </c>
      <c r="F135" s="157" t="s">
        <v>825</v>
      </c>
      <c r="G135" s="404"/>
      <c r="H135" s="404"/>
      <c r="I135" s="1061" t="s">
        <v>636</v>
      </c>
      <c r="J135" s="404"/>
      <c r="K135" s="190">
        <f>ROUND(187.5*(1-$G$4),2)</f>
        <v>181.88</v>
      </c>
      <c r="L135" s="328">
        <v>2015</v>
      </c>
      <c r="M135" s="328" t="s">
        <v>1231</v>
      </c>
      <c r="N135" s="148">
        <v>20</v>
      </c>
      <c r="O135" s="328" t="s">
        <v>1255</v>
      </c>
      <c r="P135" s="328">
        <v>24</v>
      </c>
      <c r="Q135" s="148" t="s">
        <v>1235</v>
      </c>
      <c r="R135" s="1683" t="s">
        <v>827</v>
      </c>
      <c r="S135" s="1134" t="s">
        <v>1807</v>
      </c>
      <c r="T135" s="448">
        <v>0.175</v>
      </c>
      <c r="U135" s="917" t="s">
        <v>312</v>
      </c>
      <c r="V135" s="360"/>
    </row>
    <row r="136" spans="1:22" ht="27" customHeight="1" thickBot="1">
      <c r="A136" s="754">
        <v>71494</v>
      </c>
      <c r="B136" s="1013">
        <v>228</v>
      </c>
      <c r="C136" s="750" t="s">
        <v>1806</v>
      </c>
      <c r="D136" s="1684" t="s">
        <v>1804</v>
      </c>
      <c r="E136" s="464" t="s">
        <v>680</v>
      </c>
      <c r="F136" s="464" t="s">
        <v>1803</v>
      </c>
      <c r="G136" s="449" t="s">
        <v>1218</v>
      </c>
      <c r="H136" s="180"/>
      <c r="I136" s="1062" t="s">
        <v>1546</v>
      </c>
      <c r="J136" s="122"/>
      <c r="K136" s="191">
        <f>ROUND(187.5*(1-$G$4),2)</f>
        <v>181.88</v>
      </c>
      <c r="L136" s="329">
        <v>2016</v>
      </c>
      <c r="M136" s="329" t="s">
        <v>1231</v>
      </c>
      <c r="N136" s="149">
        <v>20</v>
      </c>
      <c r="O136" s="309" t="s">
        <v>1255</v>
      </c>
      <c r="P136" s="329" t="s">
        <v>1829</v>
      </c>
      <c r="Q136" s="309" t="s">
        <v>1511</v>
      </c>
      <c r="R136" s="1685" t="s">
        <v>143</v>
      </c>
      <c r="S136" s="1678" t="s">
        <v>1807</v>
      </c>
      <c r="T136" s="451">
        <v>0.175</v>
      </c>
      <c r="U136" s="925" t="s">
        <v>312</v>
      </c>
      <c r="V136" s="360" t="e">
        <f>VLOOKUP(A136,#REF!,10,FALSE)</f>
        <v>#REF!</v>
      </c>
    </row>
    <row r="137" spans="1:22" ht="27" customHeight="1">
      <c r="A137" s="758">
        <v>71273</v>
      </c>
      <c r="B137" s="1014">
        <v>429</v>
      </c>
      <c r="C137" s="1670" t="s">
        <v>1791</v>
      </c>
      <c r="D137" s="1671" t="s">
        <v>1792</v>
      </c>
      <c r="E137" s="1672" t="s">
        <v>1841</v>
      </c>
      <c r="F137" s="1672" t="s">
        <v>1793</v>
      </c>
      <c r="G137" s="1673" t="s">
        <v>1218</v>
      </c>
      <c r="H137" s="1674"/>
      <c r="I137" s="1089" t="s">
        <v>1239</v>
      </c>
      <c r="J137" s="468"/>
      <c r="K137" s="194">
        <f>ROUND(277.5*(1-$G$4),2)</f>
        <v>269.18</v>
      </c>
      <c r="L137" s="260">
        <v>2015</v>
      </c>
      <c r="M137" s="1675">
        <v>0.1</v>
      </c>
      <c r="N137" s="260">
        <v>16</v>
      </c>
      <c r="O137" s="1676" t="s">
        <v>1233</v>
      </c>
      <c r="P137" s="260">
        <v>128</v>
      </c>
      <c r="Q137" s="475" t="s">
        <v>1512</v>
      </c>
      <c r="R137" s="469" t="s">
        <v>135</v>
      </c>
      <c r="S137" s="1677" t="s">
        <v>1807</v>
      </c>
      <c r="T137" s="300">
        <v>0.4</v>
      </c>
      <c r="U137" s="949" t="s">
        <v>313</v>
      </c>
      <c r="V137" s="360" t="e">
        <f>VLOOKUP(A137,#REF!,10,FALSE)</f>
        <v>#REF!</v>
      </c>
    </row>
    <row r="138" spans="1:22" ht="27" customHeight="1">
      <c r="A138" s="721">
        <v>71406</v>
      </c>
      <c r="B138" s="1001">
        <v>364</v>
      </c>
      <c r="C138" s="1638" t="s">
        <v>1794</v>
      </c>
      <c r="D138" s="1637" t="s">
        <v>1792</v>
      </c>
      <c r="E138" s="157" t="s">
        <v>1841</v>
      </c>
      <c r="F138" s="157" t="s">
        <v>1795</v>
      </c>
      <c r="G138" s="444" t="s">
        <v>1218</v>
      </c>
      <c r="H138" s="169"/>
      <c r="I138" s="1066" t="s">
        <v>1239</v>
      </c>
      <c r="J138" s="91"/>
      <c r="K138" s="190">
        <f>ROUND(277.5*(1-$G$4),2)</f>
        <v>269.18</v>
      </c>
      <c r="L138" s="148">
        <v>2016</v>
      </c>
      <c r="M138" s="395">
        <v>0.1</v>
      </c>
      <c r="N138" s="148">
        <v>16</v>
      </c>
      <c r="O138" s="445" t="s">
        <v>1560</v>
      </c>
      <c r="P138" s="148">
        <v>128</v>
      </c>
      <c r="Q138" s="311" t="s">
        <v>1512</v>
      </c>
      <c r="R138" s="322" t="s">
        <v>136</v>
      </c>
      <c r="S138" s="615" t="s">
        <v>1807</v>
      </c>
      <c r="T138" s="301">
        <v>0.4</v>
      </c>
      <c r="U138" s="927" t="s">
        <v>313</v>
      </c>
      <c r="V138" s="360" t="e">
        <f>VLOOKUP(A138,#REF!,10,FALSE)</f>
        <v>#REF!</v>
      </c>
    </row>
    <row r="139" spans="1:22" ht="27" customHeight="1">
      <c r="A139" s="721">
        <v>71296</v>
      </c>
      <c r="B139" s="1001">
        <v>676</v>
      </c>
      <c r="C139" s="1638" t="s">
        <v>1907</v>
      </c>
      <c r="D139" s="1637" t="s">
        <v>1792</v>
      </c>
      <c r="E139" s="157" t="s">
        <v>1841</v>
      </c>
      <c r="F139" s="157" t="s">
        <v>1908</v>
      </c>
      <c r="G139" s="444"/>
      <c r="H139" s="182"/>
      <c r="I139" s="1066" t="s">
        <v>1239</v>
      </c>
      <c r="J139" s="91"/>
      <c r="K139" s="190">
        <f>ROUND(112.5*(1-$G$4),2)</f>
        <v>109.13</v>
      </c>
      <c r="L139" s="148">
        <v>2015</v>
      </c>
      <c r="M139" s="395" t="s">
        <v>1231</v>
      </c>
      <c r="N139" s="148">
        <v>30</v>
      </c>
      <c r="O139" s="283" t="s">
        <v>1375</v>
      </c>
      <c r="P139" s="148">
        <v>32</v>
      </c>
      <c r="Q139" s="311" t="s">
        <v>1235</v>
      </c>
      <c r="R139" s="322" t="s">
        <v>13</v>
      </c>
      <c r="S139" s="615" t="s">
        <v>1807</v>
      </c>
      <c r="T139" s="301">
        <v>1.11</v>
      </c>
      <c r="U139" s="927" t="s">
        <v>313</v>
      </c>
      <c r="V139" s="360" t="e">
        <f>VLOOKUP(A139,#REF!,10,FALSE)</f>
        <v>#REF!</v>
      </c>
    </row>
    <row r="140" spans="1:22" ht="27" customHeight="1">
      <c r="A140" s="721">
        <v>71377</v>
      </c>
      <c r="B140" s="1001">
        <v>524</v>
      </c>
      <c r="C140" s="1638" t="s">
        <v>1796</v>
      </c>
      <c r="D140" s="1637" t="s">
        <v>1792</v>
      </c>
      <c r="E140" s="157" t="s">
        <v>1841</v>
      </c>
      <c r="F140" s="157" t="s">
        <v>1797</v>
      </c>
      <c r="G140" s="444" t="s">
        <v>1218</v>
      </c>
      <c r="H140" s="178"/>
      <c r="I140" s="1066" t="s">
        <v>1239</v>
      </c>
      <c r="J140" s="91"/>
      <c r="K140" s="190">
        <f>ROUND(112.5*(1-$G$4),2)</f>
        <v>109.13</v>
      </c>
      <c r="L140" s="148">
        <v>2016</v>
      </c>
      <c r="M140" s="395">
        <v>0.1</v>
      </c>
      <c r="N140" s="148">
        <v>30</v>
      </c>
      <c r="O140" s="283" t="s">
        <v>1375</v>
      </c>
      <c r="P140" s="148">
        <v>32</v>
      </c>
      <c r="Q140" s="311" t="s">
        <v>1512</v>
      </c>
      <c r="R140" s="322" t="s">
        <v>11</v>
      </c>
      <c r="S140" s="615" t="s">
        <v>1807</v>
      </c>
      <c r="T140" s="301">
        <v>0.11</v>
      </c>
      <c r="U140" s="927" t="s">
        <v>313</v>
      </c>
      <c r="V140" s="360" t="e">
        <f>VLOOKUP(A140,#REF!,10,FALSE)</f>
        <v>#REF!</v>
      </c>
    </row>
    <row r="141" spans="1:22" ht="27" customHeight="1">
      <c r="A141" s="721">
        <v>71378</v>
      </c>
      <c r="B141" s="1001">
        <v>347</v>
      </c>
      <c r="C141" s="1638" t="s">
        <v>1798</v>
      </c>
      <c r="D141" s="1637" t="s">
        <v>1792</v>
      </c>
      <c r="E141" s="157" t="s">
        <v>1841</v>
      </c>
      <c r="F141" s="157" t="s">
        <v>1848</v>
      </c>
      <c r="G141" s="444" t="s">
        <v>1218</v>
      </c>
      <c r="H141" s="178"/>
      <c r="I141" s="1066" t="s">
        <v>1239</v>
      </c>
      <c r="J141" s="91"/>
      <c r="K141" s="190">
        <f>ROUND(112.5*(1-$G$4),2)</f>
        <v>109.13</v>
      </c>
      <c r="L141" s="148">
        <v>2016</v>
      </c>
      <c r="M141" s="395">
        <v>0.1</v>
      </c>
      <c r="N141" s="148">
        <v>30</v>
      </c>
      <c r="O141" s="283" t="s">
        <v>1375</v>
      </c>
      <c r="P141" s="148">
        <v>32</v>
      </c>
      <c r="Q141" s="311" t="s">
        <v>1512</v>
      </c>
      <c r="R141" s="322" t="s">
        <v>12</v>
      </c>
      <c r="S141" s="615" t="s">
        <v>1807</v>
      </c>
      <c r="T141" s="301">
        <v>0.11</v>
      </c>
      <c r="U141" s="927" t="s">
        <v>313</v>
      </c>
      <c r="V141" s="360" t="e">
        <f>VLOOKUP(A141,#REF!,10,FALSE)</f>
        <v>#REF!</v>
      </c>
    </row>
    <row r="142" spans="1:22" ht="27" customHeight="1" thickBot="1">
      <c r="A142" s="725">
        <v>71264</v>
      </c>
      <c r="B142" s="1125"/>
      <c r="C142" s="1003" t="s">
        <v>649</v>
      </c>
      <c r="D142" s="726" t="s">
        <v>943</v>
      </c>
      <c r="E142" s="760" t="s">
        <v>1841</v>
      </c>
      <c r="F142" s="464" t="s">
        <v>651</v>
      </c>
      <c r="G142" s="407"/>
      <c r="H142" s="407"/>
      <c r="I142" s="1068" t="s">
        <v>1239</v>
      </c>
      <c r="J142" s="407"/>
      <c r="K142" s="191">
        <f>ROUND(112.5*(1-$G$4),2)</f>
        <v>109.13</v>
      </c>
      <c r="L142" s="149">
        <v>2016</v>
      </c>
      <c r="M142" s="408">
        <v>0.1</v>
      </c>
      <c r="N142" s="149">
        <v>30</v>
      </c>
      <c r="O142" s="454" t="s">
        <v>941</v>
      </c>
      <c r="P142" s="149">
        <v>32</v>
      </c>
      <c r="Q142" s="149" t="s">
        <v>1235</v>
      </c>
      <c r="R142" s="1595" t="s">
        <v>650</v>
      </c>
      <c r="S142" s="1596" t="s">
        <v>1807</v>
      </c>
      <c r="T142" s="455">
        <v>1.11</v>
      </c>
      <c r="U142" s="928" t="s">
        <v>313</v>
      </c>
      <c r="V142" s="360"/>
    </row>
    <row r="143" spans="1:22" ht="27" customHeight="1">
      <c r="A143" s="988">
        <v>71818</v>
      </c>
      <c r="B143" s="1586"/>
      <c r="C143" s="1587" t="s">
        <v>630</v>
      </c>
      <c r="D143" s="1588" t="s">
        <v>635</v>
      </c>
      <c r="E143" s="1585" t="s">
        <v>631</v>
      </c>
      <c r="F143" s="1589" t="s">
        <v>632</v>
      </c>
      <c r="G143" s="1590"/>
      <c r="H143" s="1591" t="s">
        <v>1799</v>
      </c>
      <c r="I143" s="1592" t="s">
        <v>1546</v>
      </c>
      <c r="J143" s="236"/>
      <c r="K143" s="198"/>
      <c r="L143" s="351">
        <v>2017</v>
      </c>
      <c r="M143" s="421">
        <v>0.18</v>
      </c>
      <c r="N143" s="1593">
        <v>12</v>
      </c>
      <c r="O143" s="595" t="s">
        <v>1503</v>
      </c>
      <c r="P143" s="1593">
        <v>104</v>
      </c>
      <c r="Q143" s="595" t="s">
        <v>1235</v>
      </c>
      <c r="R143" s="469">
        <v>9785990940802</v>
      </c>
      <c r="S143" s="366" t="s">
        <v>1888</v>
      </c>
      <c r="T143" s="1594">
        <v>0.65</v>
      </c>
      <c r="U143" s="929" t="s">
        <v>312</v>
      </c>
      <c r="V143" s="360"/>
    </row>
    <row r="144" spans="1:22" ht="27" customHeight="1" thickBot="1">
      <c r="A144" s="1625">
        <v>71819</v>
      </c>
      <c r="B144" s="1626"/>
      <c r="C144" s="1627" t="s">
        <v>633</v>
      </c>
      <c r="D144" s="1628" t="s">
        <v>635</v>
      </c>
      <c r="E144" s="1629" t="s">
        <v>631</v>
      </c>
      <c r="F144" s="1629" t="s">
        <v>634</v>
      </c>
      <c r="G144" s="1630"/>
      <c r="H144" s="1631" t="s">
        <v>1799</v>
      </c>
      <c r="I144" s="1632" t="s">
        <v>1546</v>
      </c>
      <c r="J144" s="235"/>
      <c r="K144" s="197"/>
      <c r="L144" s="1633">
        <v>2017</v>
      </c>
      <c r="M144" s="1462">
        <v>0.18</v>
      </c>
      <c r="N144" s="1634">
        <v>12</v>
      </c>
      <c r="O144" s="1635" t="s">
        <v>1503</v>
      </c>
      <c r="P144" s="1634">
        <v>96</v>
      </c>
      <c r="Q144" s="1635" t="s">
        <v>1235</v>
      </c>
      <c r="R144" s="325">
        <v>9785990940826</v>
      </c>
      <c r="S144" s="558" t="s">
        <v>1888</v>
      </c>
      <c r="T144" s="1636">
        <v>0.61</v>
      </c>
      <c r="U144" s="930" t="s">
        <v>312</v>
      </c>
      <c r="V144" s="360"/>
    </row>
    <row r="145" spans="1:22" ht="27" customHeight="1">
      <c r="A145" s="747">
        <v>71788</v>
      </c>
      <c r="B145" s="1011">
        <v>11</v>
      </c>
      <c r="C145" s="1333" t="s">
        <v>479</v>
      </c>
      <c r="D145" s="1350" t="s">
        <v>478</v>
      </c>
      <c r="E145" s="457" t="s">
        <v>480</v>
      </c>
      <c r="F145" s="457" t="s">
        <v>482</v>
      </c>
      <c r="G145" s="968"/>
      <c r="H145" s="1049" t="s">
        <v>1799</v>
      </c>
      <c r="I145" s="1060" t="s">
        <v>1239</v>
      </c>
      <c r="J145" s="459"/>
      <c r="K145" s="195"/>
      <c r="L145" s="146">
        <v>2017</v>
      </c>
      <c r="M145" s="452">
        <v>0.1</v>
      </c>
      <c r="N145" s="146">
        <v>30</v>
      </c>
      <c r="O145" s="316" t="s">
        <v>1255</v>
      </c>
      <c r="P145" s="146">
        <v>32</v>
      </c>
      <c r="Q145" s="316" t="s">
        <v>1235</v>
      </c>
      <c r="R145" s="323">
        <v>9785990885073</v>
      </c>
      <c r="S145" s="414" t="s">
        <v>1888</v>
      </c>
      <c r="T145" s="299">
        <v>0.135</v>
      </c>
      <c r="U145" s="924" t="s">
        <v>312</v>
      </c>
      <c r="V145" s="360" t="e">
        <f>VLOOKUP(A145,#REF!,10,FALSE)</f>
        <v>#REF!</v>
      </c>
    </row>
    <row r="146" spans="1:22" ht="27" customHeight="1">
      <c r="A146" s="721">
        <v>71786</v>
      </c>
      <c r="B146" s="1001">
        <v>35</v>
      </c>
      <c r="C146" s="749" t="s">
        <v>483</v>
      </c>
      <c r="D146" s="1347" t="s">
        <v>478</v>
      </c>
      <c r="E146" s="158" t="s">
        <v>480</v>
      </c>
      <c r="F146" s="158" t="s">
        <v>486</v>
      </c>
      <c r="G146" s="478"/>
      <c r="H146" s="178" t="s">
        <v>1330</v>
      </c>
      <c r="I146" s="1056" t="s">
        <v>1239</v>
      </c>
      <c r="J146" s="404"/>
      <c r="K146" s="196">
        <f>ROUND(134*(1-$G$4),2)</f>
        <v>129.98</v>
      </c>
      <c r="L146" s="148">
        <v>2016</v>
      </c>
      <c r="M146" s="395">
        <v>0.1</v>
      </c>
      <c r="N146" s="148">
        <v>30</v>
      </c>
      <c r="O146" s="311" t="s">
        <v>1255</v>
      </c>
      <c r="P146" s="148">
        <v>32</v>
      </c>
      <c r="Q146" s="311" t="s">
        <v>1235</v>
      </c>
      <c r="R146" s="322">
        <v>9785990885011</v>
      </c>
      <c r="S146" s="357" t="s">
        <v>1888</v>
      </c>
      <c r="T146" s="301">
        <v>0.135</v>
      </c>
      <c r="U146" s="917" t="s">
        <v>312</v>
      </c>
      <c r="V146" s="360" t="e">
        <f>VLOOKUP(A146,#REF!,10,FALSE)</f>
        <v>#REF!</v>
      </c>
    </row>
    <row r="147" spans="1:22" ht="27" customHeight="1">
      <c r="A147" s="721">
        <v>71789</v>
      </c>
      <c r="B147" s="1001">
        <v>30</v>
      </c>
      <c r="C147" s="749" t="s">
        <v>484</v>
      </c>
      <c r="D147" s="1347" t="s">
        <v>478</v>
      </c>
      <c r="E147" s="158" t="s">
        <v>480</v>
      </c>
      <c r="F147" s="158" t="s">
        <v>487</v>
      </c>
      <c r="G147" s="478"/>
      <c r="H147" s="178" t="s">
        <v>1330</v>
      </c>
      <c r="I147" s="1056" t="s">
        <v>1239</v>
      </c>
      <c r="J147" s="404"/>
      <c r="K147" s="196">
        <f>ROUND(134*(1-$G$4),2)</f>
        <v>129.98</v>
      </c>
      <c r="L147" s="148">
        <v>2016</v>
      </c>
      <c r="M147" s="395">
        <v>0.1</v>
      </c>
      <c r="N147" s="148">
        <v>30</v>
      </c>
      <c r="O147" s="311" t="s">
        <v>1255</v>
      </c>
      <c r="P147" s="148">
        <v>32</v>
      </c>
      <c r="Q147" s="311" t="s">
        <v>1235</v>
      </c>
      <c r="R147" s="322">
        <v>9785990885059</v>
      </c>
      <c r="S147" s="357" t="s">
        <v>1888</v>
      </c>
      <c r="T147" s="301">
        <v>0.135</v>
      </c>
      <c r="U147" s="917" t="s">
        <v>312</v>
      </c>
      <c r="V147" s="360" t="e">
        <f>VLOOKUP(A147,#REF!,10,FALSE)</f>
        <v>#REF!</v>
      </c>
    </row>
    <row r="148" spans="1:22" ht="27" customHeight="1" thickBot="1">
      <c r="A148" s="725">
        <v>71684</v>
      </c>
      <c r="B148" s="1003">
        <v>33</v>
      </c>
      <c r="C148" s="750" t="s">
        <v>485</v>
      </c>
      <c r="D148" s="1351" t="s">
        <v>478</v>
      </c>
      <c r="E148" s="406" t="s">
        <v>480</v>
      </c>
      <c r="F148" s="406" t="s">
        <v>488</v>
      </c>
      <c r="G148" s="479"/>
      <c r="H148" s="180" t="s">
        <v>1330</v>
      </c>
      <c r="I148" s="1059" t="s">
        <v>1239</v>
      </c>
      <c r="J148" s="407"/>
      <c r="K148" s="200">
        <f>ROUND(134*(1-$G$4),2)</f>
        <v>129.98</v>
      </c>
      <c r="L148" s="149">
        <v>2016</v>
      </c>
      <c r="M148" s="408">
        <v>0.1</v>
      </c>
      <c r="N148" s="149">
        <v>30</v>
      </c>
      <c r="O148" s="244" t="s">
        <v>1255</v>
      </c>
      <c r="P148" s="149">
        <v>32</v>
      </c>
      <c r="Q148" s="244" t="s">
        <v>1235</v>
      </c>
      <c r="R148" s="324">
        <v>9785990885035</v>
      </c>
      <c r="S148" s="358" t="s">
        <v>1888</v>
      </c>
      <c r="T148" s="455">
        <v>0.135</v>
      </c>
      <c r="U148" s="925" t="s">
        <v>312</v>
      </c>
      <c r="V148" s="360" t="e">
        <f>VLOOKUP(A148,#REF!,10,FALSE)</f>
        <v>#REF!</v>
      </c>
    </row>
    <row r="149" spans="1:22" ht="27" customHeight="1">
      <c r="A149" s="734">
        <v>71525</v>
      </c>
      <c r="B149" s="1006">
        <v>208</v>
      </c>
      <c r="C149" s="1337" t="s">
        <v>785</v>
      </c>
      <c r="D149" s="734" t="s">
        <v>430</v>
      </c>
      <c r="E149" s="729" t="s">
        <v>431</v>
      </c>
      <c r="F149" s="736" t="s">
        <v>432</v>
      </c>
      <c r="G149" s="420"/>
      <c r="H149" s="354"/>
      <c r="I149" s="1070"/>
      <c r="J149" s="420"/>
      <c r="K149" s="198">
        <f aca="true" t="shared" si="4" ref="K149:K154">ROUND(106.8*(1-$G$4),2)</f>
        <v>103.6</v>
      </c>
      <c r="L149" s="260">
        <v>2015</v>
      </c>
      <c r="M149" s="421">
        <v>0.1</v>
      </c>
      <c r="N149" s="422">
        <v>30</v>
      </c>
      <c r="O149" s="422" t="s">
        <v>1157</v>
      </c>
      <c r="P149" s="422" t="s">
        <v>456</v>
      </c>
      <c r="Q149" s="422" t="s">
        <v>1235</v>
      </c>
      <c r="R149" s="325">
        <v>9785944642493</v>
      </c>
      <c r="S149" s="414" t="s">
        <v>454</v>
      </c>
      <c r="T149" s="509">
        <v>0.158</v>
      </c>
      <c r="U149" s="922" t="s">
        <v>453</v>
      </c>
      <c r="V149" s="360" t="e">
        <f>VLOOKUP(A149,#REF!,10,FALSE)</f>
        <v>#REF!</v>
      </c>
    </row>
    <row r="150" spans="1:22" ht="27" customHeight="1">
      <c r="A150" s="730">
        <v>71528</v>
      </c>
      <c r="B150" s="1005">
        <v>202</v>
      </c>
      <c r="C150" s="797" t="s">
        <v>786</v>
      </c>
      <c r="D150" s="730" t="s">
        <v>430</v>
      </c>
      <c r="E150" s="732" t="s">
        <v>431</v>
      </c>
      <c r="F150" s="732" t="s">
        <v>433</v>
      </c>
      <c r="G150" s="415"/>
      <c r="H150" s="221"/>
      <c r="I150" s="1071"/>
      <c r="J150" s="415"/>
      <c r="K150" s="196">
        <f t="shared" si="4"/>
        <v>103.6</v>
      </c>
      <c r="L150" s="148">
        <v>2015</v>
      </c>
      <c r="M150" s="402">
        <v>0.1</v>
      </c>
      <c r="N150" s="284">
        <v>30</v>
      </c>
      <c r="O150" s="284" t="s">
        <v>1157</v>
      </c>
      <c r="P150" s="284" t="s">
        <v>456</v>
      </c>
      <c r="Q150" s="284" t="s">
        <v>1235</v>
      </c>
      <c r="R150" s="322">
        <v>9785944642462</v>
      </c>
      <c r="S150" s="357" t="s">
        <v>454</v>
      </c>
      <c r="T150" s="288">
        <v>0.158</v>
      </c>
      <c r="U150" s="920" t="s">
        <v>453</v>
      </c>
      <c r="V150" s="360" t="e">
        <f>VLOOKUP(A150,#REF!,10,FALSE)</f>
        <v>#REF!</v>
      </c>
    </row>
    <row r="151" spans="1:22" ht="27" customHeight="1">
      <c r="A151" s="730">
        <v>71526</v>
      </c>
      <c r="B151" s="1005">
        <v>211</v>
      </c>
      <c r="C151" s="797" t="s">
        <v>787</v>
      </c>
      <c r="D151" s="730" t="s">
        <v>430</v>
      </c>
      <c r="E151" s="732" t="s">
        <v>431</v>
      </c>
      <c r="F151" s="732" t="s">
        <v>434</v>
      </c>
      <c r="G151" s="415"/>
      <c r="H151" s="221"/>
      <c r="I151" s="1071"/>
      <c r="J151" s="415"/>
      <c r="K151" s="196">
        <f t="shared" si="4"/>
        <v>103.6</v>
      </c>
      <c r="L151" s="148">
        <v>2015</v>
      </c>
      <c r="M151" s="402">
        <v>0.1</v>
      </c>
      <c r="N151" s="284">
        <v>30</v>
      </c>
      <c r="O151" s="284" t="s">
        <v>1157</v>
      </c>
      <c r="P151" s="284" t="s">
        <v>456</v>
      </c>
      <c r="Q151" s="284" t="s">
        <v>1235</v>
      </c>
      <c r="R151" s="322">
        <v>9785944642448</v>
      </c>
      <c r="S151" s="357" t="s">
        <v>454</v>
      </c>
      <c r="T151" s="288">
        <v>0.158</v>
      </c>
      <c r="U151" s="920" t="s">
        <v>453</v>
      </c>
      <c r="V151" s="360" t="e">
        <f>VLOOKUP(A151,#REF!,10,FALSE)</f>
        <v>#REF!</v>
      </c>
    </row>
    <row r="152" spans="1:22" ht="27" customHeight="1">
      <c r="A152" s="730">
        <v>71524</v>
      </c>
      <c r="B152" s="1005">
        <v>212</v>
      </c>
      <c r="C152" s="797" t="s">
        <v>788</v>
      </c>
      <c r="D152" s="730" t="s">
        <v>430</v>
      </c>
      <c r="E152" s="732" t="s">
        <v>431</v>
      </c>
      <c r="F152" s="732" t="s">
        <v>435</v>
      </c>
      <c r="G152" s="415"/>
      <c r="H152" s="221"/>
      <c r="I152" s="1071"/>
      <c r="J152" s="415"/>
      <c r="K152" s="196">
        <f t="shared" si="4"/>
        <v>103.6</v>
      </c>
      <c r="L152" s="148">
        <v>2015</v>
      </c>
      <c r="M152" s="402">
        <v>0.1</v>
      </c>
      <c r="N152" s="284">
        <v>30</v>
      </c>
      <c r="O152" s="284" t="s">
        <v>1157</v>
      </c>
      <c r="P152" s="284" t="s">
        <v>456</v>
      </c>
      <c r="Q152" s="284" t="s">
        <v>1235</v>
      </c>
      <c r="R152" s="322">
        <v>9785944642479</v>
      </c>
      <c r="S152" s="357" t="s">
        <v>454</v>
      </c>
      <c r="T152" s="288">
        <v>0.158</v>
      </c>
      <c r="U152" s="920" t="s">
        <v>453</v>
      </c>
      <c r="V152" s="360" t="e">
        <f>VLOOKUP(A152,#REF!,10,FALSE)</f>
        <v>#REF!</v>
      </c>
    </row>
    <row r="153" spans="1:22" ht="27" customHeight="1">
      <c r="A153" s="730">
        <v>71523</v>
      </c>
      <c r="B153" s="1005">
        <v>205</v>
      </c>
      <c r="C153" s="797" t="s">
        <v>789</v>
      </c>
      <c r="D153" s="730" t="s">
        <v>430</v>
      </c>
      <c r="E153" s="732" t="s">
        <v>431</v>
      </c>
      <c r="F153" s="732" t="s">
        <v>436</v>
      </c>
      <c r="G153" s="415"/>
      <c r="H153" s="221"/>
      <c r="I153" s="1071"/>
      <c r="J153" s="415"/>
      <c r="K153" s="196">
        <f t="shared" si="4"/>
        <v>103.6</v>
      </c>
      <c r="L153" s="148">
        <v>2015</v>
      </c>
      <c r="M153" s="402">
        <v>0.1</v>
      </c>
      <c r="N153" s="284">
        <v>30</v>
      </c>
      <c r="O153" s="284" t="s">
        <v>1157</v>
      </c>
      <c r="P153" s="284" t="s">
        <v>456</v>
      </c>
      <c r="Q153" s="284" t="s">
        <v>1235</v>
      </c>
      <c r="R153" s="322">
        <v>9785944642486</v>
      </c>
      <c r="S153" s="357" t="s">
        <v>454</v>
      </c>
      <c r="T153" s="288">
        <v>0.158</v>
      </c>
      <c r="U153" s="920" t="s">
        <v>453</v>
      </c>
      <c r="V153" s="360" t="e">
        <f>VLOOKUP(A153,#REF!,10,FALSE)</f>
        <v>#REF!</v>
      </c>
    </row>
    <row r="154" spans="1:22" ht="27" customHeight="1" thickBot="1">
      <c r="A154" s="1467">
        <v>71527</v>
      </c>
      <c r="B154" s="1466">
        <v>204</v>
      </c>
      <c r="C154" s="1465" t="s">
        <v>790</v>
      </c>
      <c r="D154" s="1467" t="s">
        <v>430</v>
      </c>
      <c r="E154" s="1464" t="s">
        <v>431</v>
      </c>
      <c r="F154" s="1464" t="s">
        <v>437</v>
      </c>
      <c r="G154" s="1463"/>
      <c r="H154" s="1385"/>
      <c r="I154" s="1073"/>
      <c r="J154" s="1463"/>
      <c r="K154" s="197">
        <f t="shared" si="4"/>
        <v>103.6</v>
      </c>
      <c r="L154" s="259">
        <v>2015</v>
      </c>
      <c r="M154" s="1462">
        <v>0.1</v>
      </c>
      <c r="N154" s="425">
        <v>30</v>
      </c>
      <c r="O154" s="425" t="s">
        <v>1157</v>
      </c>
      <c r="P154" s="425" t="s">
        <v>456</v>
      </c>
      <c r="Q154" s="425" t="s">
        <v>1235</v>
      </c>
      <c r="R154" s="477">
        <v>9785944642455</v>
      </c>
      <c r="S154" s="558" t="s">
        <v>454</v>
      </c>
      <c r="T154" s="555">
        <v>0.158</v>
      </c>
      <c r="U154" s="1461" t="s">
        <v>453</v>
      </c>
      <c r="V154" s="360" t="e">
        <f>VLOOKUP(A154,#REF!,10,FALSE)</f>
        <v>#REF!</v>
      </c>
    </row>
    <row r="155" spans="1:22" ht="27" customHeight="1">
      <c r="A155" s="727">
        <v>71948</v>
      </c>
      <c r="B155" s="1004"/>
      <c r="C155" s="1342" t="s">
        <v>914</v>
      </c>
      <c r="D155" s="295" t="s">
        <v>791</v>
      </c>
      <c r="E155" s="729" t="s">
        <v>530</v>
      </c>
      <c r="F155" s="729" t="s">
        <v>913</v>
      </c>
      <c r="G155" s="411"/>
      <c r="H155" s="267" t="s">
        <v>1238</v>
      </c>
      <c r="I155" s="1069"/>
      <c r="J155" s="411"/>
      <c r="K155" s="195">
        <f>ROUND(149*(1-$G$4),2)</f>
        <v>144.53</v>
      </c>
      <c r="L155" s="146">
        <v>2017</v>
      </c>
      <c r="M155" s="412">
        <v>0.1</v>
      </c>
      <c r="N155" s="1623">
        <v>30</v>
      </c>
      <c r="O155" s="413" t="s">
        <v>1255</v>
      </c>
      <c r="P155" s="413">
        <v>8</v>
      </c>
      <c r="Q155" s="413" t="s">
        <v>1235</v>
      </c>
      <c r="R155" s="323">
        <v>9785944642844</v>
      </c>
      <c r="S155" s="414" t="s">
        <v>454</v>
      </c>
      <c r="T155" s="1468">
        <v>0.11</v>
      </c>
      <c r="U155" s="1471" t="s">
        <v>453</v>
      </c>
      <c r="V155" s="360"/>
    </row>
    <row r="156" spans="1:22" ht="27" customHeight="1">
      <c r="A156" s="730">
        <v>71949</v>
      </c>
      <c r="B156" s="1005"/>
      <c r="C156" s="797" t="s">
        <v>916</v>
      </c>
      <c r="D156" s="88" t="s">
        <v>791</v>
      </c>
      <c r="E156" s="732" t="s">
        <v>530</v>
      </c>
      <c r="F156" s="732" t="s">
        <v>915</v>
      </c>
      <c r="G156" s="415"/>
      <c r="H156" s="221" t="s">
        <v>1238</v>
      </c>
      <c r="I156" s="1071"/>
      <c r="J156" s="415"/>
      <c r="K156" s="196">
        <f>ROUND(149*(1-$G$4),2)</f>
        <v>144.53</v>
      </c>
      <c r="L156" s="148">
        <v>2017</v>
      </c>
      <c r="M156" s="402">
        <v>0.1</v>
      </c>
      <c r="N156" s="1624">
        <v>30</v>
      </c>
      <c r="O156" s="284" t="s">
        <v>1255</v>
      </c>
      <c r="P156" s="284">
        <v>8</v>
      </c>
      <c r="Q156" s="284" t="s">
        <v>1235</v>
      </c>
      <c r="R156" s="322">
        <v>9785944642820</v>
      </c>
      <c r="S156" s="357" t="s">
        <v>454</v>
      </c>
      <c r="T156" s="871">
        <v>0.11</v>
      </c>
      <c r="U156" s="1444" t="s">
        <v>453</v>
      </c>
      <c r="V156" s="360"/>
    </row>
    <row r="157" spans="1:22" ht="27" customHeight="1">
      <c r="A157" s="751">
        <v>71822</v>
      </c>
      <c r="B157" s="1458"/>
      <c r="C157" s="1323" t="s">
        <v>793</v>
      </c>
      <c r="D157" s="88" t="s">
        <v>791</v>
      </c>
      <c r="E157" s="888" t="s">
        <v>778</v>
      </c>
      <c r="F157" s="888" t="s">
        <v>792</v>
      </c>
      <c r="G157" s="444"/>
      <c r="H157" s="221" t="s">
        <v>1238</v>
      </c>
      <c r="I157" s="1061"/>
      <c r="J157" s="121"/>
      <c r="K157" s="190">
        <f>ROUND(149*(1-$G$4),2)</f>
        <v>144.53</v>
      </c>
      <c r="L157" s="328">
        <v>2017</v>
      </c>
      <c r="M157" s="395">
        <v>0.1</v>
      </c>
      <c r="N157" s="328">
        <v>50</v>
      </c>
      <c r="O157" s="445" t="s">
        <v>1255</v>
      </c>
      <c r="P157" s="328">
        <v>8</v>
      </c>
      <c r="Q157" s="446" t="s">
        <v>1235</v>
      </c>
      <c r="R157" s="447">
        <v>9785944642790</v>
      </c>
      <c r="S157" s="357" t="s">
        <v>454</v>
      </c>
      <c r="T157" s="1469">
        <v>0.11</v>
      </c>
      <c r="U157" s="1444" t="s">
        <v>453</v>
      </c>
      <c r="V157" s="360"/>
    </row>
    <row r="158" spans="1:22" ht="27" customHeight="1" thickBot="1">
      <c r="A158" s="754">
        <v>71823</v>
      </c>
      <c r="B158" s="1125"/>
      <c r="C158" s="1324" t="s">
        <v>795</v>
      </c>
      <c r="D158" s="579" t="s">
        <v>791</v>
      </c>
      <c r="E158" s="1046" t="s">
        <v>778</v>
      </c>
      <c r="F158" s="1046" t="s">
        <v>794</v>
      </c>
      <c r="G158" s="449"/>
      <c r="H158" s="222" t="s">
        <v>1238</v>
      </c>
      <c r="I158" s="1062"/>
      <c r="J158" s="122"/>
      <c r="K158" s="191">
        <f>ROUND(149*(1-$G$4),2)</f>
        <v>144.53</v>
      </c>
      <c r="L158" s="329">
        <v>2017</v>
      </c>
      <c r="M158" s="408">
        <v>0.1</v>
      </c>
      <c r="N158" s="329">
        <v>50</v>
      </c>
      <c r="O158" s="309" t="s">
        <v>1255</v>
      </c>
      <c r="P158" s="329">
        <v>8</v>
      </c>
      <c r="Q158" s="1124" t="s">
        <v>1235</v>
      </c>
      <c r="R158" s="450">
        <v>9785944642806</v>
      </c>
      <c r="S158" s="358" t="s">
        <v>454</v>
      </c>
      <c r="T158" s="1470">
        <v>0.11</v>
      </c>
      <c r="U158" s="1472" t="s">
        <v>453</v>
      </c>
      <c r="V158" s="360"/>
    </row>
    <row r="159" spans="1:22" ht="27" customHeight="1">
      <c r="A159" s="734">
        <v>71533</v>
      </c>
      <c r="B159" s="1006">
        <v>423</v>
      </c>
      <c r="C159" s="1337" t="s">
        <v>796</v>
      </c>
      <c r="D159" s="734" t="s">
        <v>438</v>
      </c>
      <c r="E159" s="736" t="s">
        <v>439</v>
      </c>
      <c r="F159" s="736" t="s">
        <v>440</v>
      </c>
      <c r="G159" s="420"/>
      <c r="H159" s="354"/>
      <c r="I159" s="1070"/>
      <c r="J159" s="420"/>
      <c r="K159" s="198">
        <f>ROUND(89*(1-$G$4),2)</f>
        <v>86.33</v>
      </c>
      <c r="L159" s="260">
        <v>2015</v>
      </c>
      <c r="M159" s="421">
        <v>0.1</v>
      </c>
      <c r="N159" s="422">
        <v>20</v>
      </c>
      <c r="O159" s="422" t="s">
        <v>1233</v>
      </c>
      <c r="P159" s="422" t="s">
        <v>455</v>
      </c>
      <c r="Q159" s="422" t="s">
        <v>1235</v>
      </c>
      <c r="R159" s="1460">
        <v>9785944642554</v>
      </c>
      <c r="S159" s="366" t="s">
        <v>454</v>
      </c>
      <c r="T159" s="509">
        <v>0.124</v>
      </c>
      <c r="U159" s="922" t="s">
        <v>453</v>
      </c>
      <c r="V159" s="360" t="e">
        <f>VLOOKUP(A159,#REF!,10,FALSE)</f>
        <v>#REF!</v>
      </c>
    </row>
    <row r="160" spans="1:22" ht="27" customHeight="1">
      <c r="A160" s="730">
        <v>71534</v>
      </c>
      <c r="B160" s="1005">
        <v>591</v>
      </c>
      <c r="C160" s="797" t="s">
        <v>797</v>
      </c>
      <c r="D160" s="730" t="s">
        <v>438</v>
      </c>
      <c r="E160" s="732" t="s">
        <v>439</v>
      </c>
      <c r="F160" s="732" t="s">
        <v>441</v>
      </c>
      <c r="G160" s="415"/>
      <c r="H160" s="221"/>
      <c r="I160" s="1071"/>
      <c r="J160" s="415"/>
      <c r="K160" s="196">
        <f>ROUND(89*(1-$G$4),2)</f>
        <v>86.33</v>
      </c>
      <c r="L160" s="148">
        <v>2015</v>
      </c>
      <c r="M160" s="402">
        <v>0.1</v>
      </c>
      <c r="N160" s="284">
        <v>20</v>
      </c>
      <c r="O160" s="284" t="s">
        <v>1233</v>
      </c>
      <c r="P160" s="284">
        <v>32</v>
      </c>
      <c r="Q160" s="284" t="s">
        <v>1235</v>
      </c>
      <c r="R160" s="447">
        <v>9785944642561</v>
      </c>
      <c r="S160" s="357" t="s">
        <v>454</v>
      </c>
      <c r="T160" s="288">
        <v>0.124</v>
      </c>
      <c r="U160" s="920" t="s">
        <v>453</v>
      </c>
      <c r="V160" s="360" t="e">
        <f>VLOOKUP(A160,#REF!,10,FALSE)</f>
        <v>#REF!</v>
      </c>
    </row>
    <row r="161" spans="1:22" ht="27" customHeight="1">
      <c r="A161" s="730">
        <v>71535</v>
      </c>
      <c r="B161" s="1005">
        <v>453</v>
      </c>
      <c r="C161" s="797" t="s">
        <v>798</v>
      </c>
      <c r="D161" s="730" t="s">
        <v>438</v>
      </c>
      <c r="E161" s="732" t="s">
        <v>439</v>
      </c>
      <c r="F161" s="732" t="s">
        <v>442</v>
      </c>
      <c r="G161" s="415"/>
      <c r="H161" s="221"/>
      <c r="I161" s="1071"/>
      <c r="J161" s="415"/>
      <c r="K161" s="196">
        <f>ROUND(89*(1-$G$4),2)</f>
        <v>86.33</v>
      </c>
      <c r="L161" s="148">
        <v>2015</v>
      </c>
      <c r="M161" s="402">
        <v>0.1</v>
      </c>
      <c r="N161" s="284">
        <v>20</v>
      </c>
      <c r="O161" s="284" t="s">
        <v>1233</v>
      </c>
      <c r="P161" s="284">
        <v>32</v>
      </c>
      <c r="Q161" s="284" t="s">
        <v>1235</v>
      </c>
      <c r="R161" s="447">
        <v>9785944642578</v>
      </c>
      <c r="S161" s="357" t="s">
        <v>454</v>
      </c>
      <c r="T161" s="288">
        <v>0.124</v>
      </c>
      <c r="U161" s="920" t="s">
        <v>453</v>
      </c>
      <c r="V161" s="360" t="e">
        <f>VLOOKUP(A161,#REF!,10,FALSE)</f>
        <v>#REF!</v>
      </c>
    </row>
    <row r="162" spans="1:22" ht="27" customHeight="1" thickBot="1">
      <c r="A162" s="742">
        <v>71536</v>
      </c>
      <c r="B162" s="1007">
        <v>593</v>
      </c>
      <c r="C162" s="1336" t="s">
        <v>799</v>
      </c>
      <c r="D162" s="742" t="s">
        <v>438</v>
      </c>
      <c r="E162" s="760" t="s">
        <v>439</v>
      </c>
      <c r="F162" s="733" t="s">
        <v>443</v>
      </c>
      <c r="G162" s="416"/>
      <c r="H162" s="222"/>
      <c r="I162" s="1072"/>
      <c r="J162" s="416"/>
      <c r="K162" s="200">
        <f>ROUND(89*(1-$G$4),2)</f>
        <v>86.33</v>
      </c>
      <c r="L162" s="149">
        <v>2015</v>
      </c>
      <c r="M162" s="417">
        <v>0.1</v>
      </c>
      <c r="N162" s="289">
        <v>20</v>
      </c>
      <c r="O162" s="289" t="s">
        <v>1233</v>
      </c>
      <c r="P162" s="289">
        <v>32</v>
      </c>
      <c r="Q162" s="289" t="s">
        <v>1235</v>
      </c>
      <c r="R162" s="1450">
        <v>9785944642585</v>
      </c>
      <c r="S162" s="358" t="s">
        <v>454</v>
      </c>
      <c r="T162" s="515">
        <v>0.122</v>
      </c>
      <c r="U162" s="921" t="s">
        <v>453</v>
      </c>
      <c r="V162" s="360" t="e">
        <f>VLOOKUP(A162,#REF!,10,FALSE)</f>
        <v>#REF!</v>
      </c>
    </row>
    <row r="163" spans="1:22" ht="27" customHeight="1" thickBot="1">
      <c r="A163" s="1355">
        <v>71172</v>
      </c>
      <c r="B163" s="1356">
        <v>454</v>
      </c>
      <c r="C163" s="1357" t="s">
        <v>1800</v>
      </c>
      <c r="D163" s="1381" t="s">
        <v>1869</v>
      </c>
      <c r="E163" s="760" t="s">
        <v>1828</v>
      </c>
      <c r="F163" s="273" t="s">
        <v>1801</v>
      </c>
      <c r="G163" s="456" t="s">
        <v>1218</v>
      </c>
      <c r="H163" s="215"/>
      <c r="I163" s="1358" t="s">
        <v>1546</v>
      </c>
      <c r="J163" s="1359"/>
      <c r="K163" s="193">
        <f>ROUND(337.5*(1-$G$4),2)</f>
        <v>327.38</v>
      </c>
      <c r="L163" s="1360">
        <v>2015</v>
      </c>
      <c r="M163" s="392">
        <v>0.1</v>
      </c>
      <c r="N163" s="1360">
        <v>12</v>
      </c>
      <c r="O163" s="1361" t="s">
        <v>1560</v>
      </c>
      <c r="P163" s="1360">
        <v>96</v>
      </c>
      <c r="Q163" s="1361" t="s">
        <v>1512</v>
      </c>
      <c r="R163" s="1362" t="s">
        <v>132</v>
      </c>
      <c r="S163" s="1363" t="s">
        <v>1807</v>
      </c>
      <c r="T163" s="1364">
        <v>0.41</v>
      </c>
      <c r="U163" s="930" t="s">
        <v>312</v>
      </c>
      <c r="V163" s="360" t="e">
        <f>VLOOKUP(A163,#REF!,10,FALSE)</f>
        <v>#REF!</v>
      </c>
    </row>
    <row r="164" spans="1:22" ht="27" customHeight="1">
      <c r="A164" s="745">
        <v>71737</v>
      </c>
      <c r="B164" s="1009">
        <v>58</v>
      </c>
      <c r="C164" s="1372" t="s">
        <v>546</v>
      </c>
      <c r="D164" s="1382" t="s">
        <v>541</v>
      </c>
      <c r="E164" s="457" t="s">
        <v>559</v>
      </c>
      <c r="F164" s="457" t="s">
        <v>545</v>
      </c>
      <c r="G164" s="434"/>
      <c r="H164" s="1049" t="s">
        <v>1799</v>
      </c>
      <c r="I164" s="1060" t="s">
        <v>1546</v>
      </c>
      <c r="J164" s="238"/>
      <c r="K164" s="195"/>
      <c r="L164" s="263">
        <v>2016</v>
      </c>
      <c r="M164" s="412">
        <v>0.1</v>
      </c>
      <c r="N164" s="263">
        <v>30</v>
      </c>
      <c r="O164" s="435" t="s">
        <v>1503</v>
      </c>
      <c r="P164" s="263">
        <v>32</v>
      </c>
      <c r="Q164" s="435" t="s">
        <v>1235</v>
      </c>
      <c r="R164" s="308" t="s">
        <v>547</v>
      </c>
      <c r="S164" s="414" t="s">
        <v>1888</v>
      </c>
      <c r="T164" s="1367">
        <v>0.17</v>
      </c>
      <c r="U164" s="1370" t="s">
        <v>312</v>
      </c>
      <c r="V164" s="360"/>
    </row>
    <row r="165" spans="1:22" ht="27" customHeight="1">
      <c r="A165" s="718">
        <v>71732</v>
      </c>
      <c r="B165" s="1000">
        <v>49</v>
      </c>
      <c r="C165" s="1373" t="s">
        <v>543</v>
      </c>
      <c r="D165" s="1383" t="s">
        <v>541</v>
      </c>
      <c r="E165" s="158" t="s">
        <v>560</v>
      </c>
      <c r="F165" s="158" t="s">
        <v>542</v>
      </c>
      <c r="G165" s="1365"/>
      <c r="H165" s="167" t="s">
        <v>1799</v>
      </c>
      <c r="I165" s="1056" t="s">
        <v>1546</v>
      </c>
      <c r="J165" s="85"/>
      <c r="K165" s="196"/>
      <c r="L165" s="262">
        <v>2016</v>
      </c>
      <c r="M165" s="402">
        <v>0.1</v>
      </c>
      <c r="N165" s="262">
        <v>20</v>
      </c>
      <c r="O165" s="396" t="s">
        <v>1255</v>
      </c>
      <c r="P165" s="262">
        <v>48</v>
      </c>
      <c r="Q165" s="396" t="s">
        <v>1235</v>
      </c>
      <c r="R165" s="318" t="s">
        <v>544</v>
      </c>
      <c r="S165" s="357" t="s">
        <v>1888</v>
      </c>
      <c r="T165" s="1368">
        <v>0.185</v>
      </c>
      <c r="U165" s="1135" t="s">
        <v>312</v>
      </c>
      <c r="V165" s="360"/>
    </row>
    <row r="166" spans="1:22" ht="27" customHeight="1" thickBot="1">
      <c r="A166" s="746">
        <v>71735</v>
      </c>
      <c r="B166" s="1010">
        <v>60</v>
      </c>
      <c r="C166" s="1374" t="s">
        <v>549</v>
      </c>
      <c r="D166" s="1384" t="s">
        <v>541</v>
      </c>
      <c r="E166" s="406" t="s">
        <v>528</v>
      </c>
      <c r="F166" s="406" t="s">
        <v>548</v>
      </c>
      <c r="G166" s="95"/>
      <c r="H166" s="1366"/>
      <c r="I166" s="1059" t="s">
        <v>1546</v>
      </c>
      <c r="J166" s="138"/>
      <c r="K166" s="200">
        <f>ROUND(220*(1-$G$4),2)</f>
        <v>213.4</v>
      </c>
      <c r="L166" s="344">
        <v>2016</v>
      </c>
      <c r="M166" s="417">
        <v>0.1</v>
      </c>
      <c r="N166" s="344">
        <v>30</v>
      </c>
      <c r="O166" s="436" t="s">
        <v>1503</v>
      </c>
      <c r="P166" s="344">
        <v>32</v>
      </c>
      <c r="Q166" s="436" t="s">
        <v>1235</v>
      </c>
      <c r="R166" s="441" t="s">
        <v>550</v>
      </c>
      <c r="S166" s="358" t="s">
        <v>1888</v>
      </c>
      <c r="T166" s="1369">
        <v>0.17</v>
      </c>
      <c r="U166" s="1371" t="s">
        <v>312</v>
      </c>
      <c r="V166" s="360"/>
    </row>
    <row r="167" spans="1:22" ht="27" customHeight="1">
      <c r="A167" s="768">
        <v>70540</v>
      </c>
      <c r="B167" s="1019">
        <v>560</v>
      </c>
      <c r="C167" s="769" t="s">
        <v>1447</v>
      </c>
      <c r="D167" s="164" t="s">
        <v>1446</v>
      </c>
      <c r="E167" s="502" t="s">
        <v>1376</v>
      </c>
      <c r="F167" s="502" t="s">
        <v>1661</v>
      </c>
      <c r="G167" s="503" t="s">
        <v>1218</v>
      </c>
      <c r="H167" s="580"/>
      <c r="I167" s="1070"/>
      <c r="J167" s="139"/>
      <c r="K167" s="198">
        <f>ROUND(37.5*(1-$G$4),2)</f>
        <v>36.38</v>
      </c>
      <c r="L167" s="342">
        <v>2014</v>
      </c>
      <c r="M167" s="504" t="s">
        <v>1231</v>
      </c>
      <c r="N167" s="504">
        <v>100</v>
      </c>
      <c r="O167" s="505" t="s">
        <v>1375</v>
      </c>
      <c r="P167" s="504">
        <v>16</v>
      </c>
      <c r="Q167" s="506" t="s">
        <v>1235</v>
      </c>
      <c r="R167" s="507" t="s">
        <v>2127</v>
      </c>
      <c r="S167" s="508" t="s">
        <v>1807</v>
      </c>
      <c r="T167" s="509">
        <v>0.062</v>
      </c>
      <c r="U167" s="935" t="s">
        <v>313</v>
      </c>
      <c r="V167" s="360" t="e">
        <f>VLOOKUP(A167,#REF!,10,FALSE)</f>
        <v>#REF!</v>
      </c>
    </row>
    <row r="168" spans="1:22" ht="27" customHeight="1">
      <c r="A168" s="724">
        <v>70536</v>
      </c>
      <c r="B168" s="1002">
        <v>465</v>
      </c>
      <c r="C168" s="689" t="s">
        <v>1448</v>
      </c>
      <c r="D168" s="79" t="s">
        <v>1446</v>
      </c>
      <c r="E168" s="510" t="s">
        <v>1449</v>
      </c>
      <c r="F168" s="510" t="s">
        <v>1662</v>
      </c>
      <c r="G168" s="511" t="s">
        <v>1218</v>
      </c>
      <c r="H168" s="14"/>
      <c r="I168" s="1071"/>
      <c r="J168" s="27"/>
      <c r="K168" s="198">
        <f>ROUND(37.5*(1-$G$4),2)</f>
        <v>36.38</v>
      </c>
      <c r="L168" s="334">
        <v>2014</v>
      </c>
      <c r="M168" s="261" t="s">
        <v>1231</v>
      </c>
      <c r="N168" s="261">
        <v>100</v>
      </c>
      <c r="O168" s="283" t="s">
        <v>1375</v>
      </c>
      <c r="P168" s="261">
        <v>16</v>
      </c>
      <c r="Q168" s="135" t="s">
        <v>1235</v>
      </c>
      <c r="R168" s="321" t="s">
        <v>2128</v>
      </c>
      <c r="S168" s="240" t="s">
        <v>1807</v>
      </c>
      <c r="T168" s="288">
        <v>0.062</v>
      </c>
      <c r="U168" s="936" t="s">
        <v>313</v>
      </c>
      <c r="V168" s="360" t="e">
        <f>VLOOKUP(A168,#REF!,10,FALSE)</f>
        <v>#REF!</v>
      </c>
    </row>
    <row r="169" spans="1:22" ht="27" customHeight="1">
      <c r="A169" s="724">
        <v>70533</v>
      </c>
      <c r="B169" s="1002">
        <v>307</v>
      </c>
      <c r="C169" s="689" t="s">
        <v>1450</v>
      </c>
      <c r="D169" s="79" t="s">
        <v>1446</v>
      </c>
      <c r="E169" s="510" t="s">
        <v>1449</v>
      </c>
      <c r="F169" s="510" t="s">
        <v>1663</v>
      </c>
      <c r="G169" s="511" t="s">
        <v>1218</v>
      </c>
      <c r="H169" s="20"/>
      <c r="I169" s="1071"/>
      <c r="J169" s="27"/>
      <c r="K169" s="198">
        <f>ROUND(37.5*(1-$G$4),2)</f>
        <v>36.38</v>
      </c>
      <c r="L169" s="334">
        <v>2014</v>
      </c>
      <c r="M169" s="261" t="s">
        <v>1231</v>
      </c>
      <c r="N169" s="261">
        <v>100</v>
      </c>
      <c r="O169" s="283" t="s">
        <v>1375</v>
      </c>
      <c r="P169" s="261">
        <v>16</v>
      </c>
      <c r="Q169" s="135" t="s">
        <v>1235</v>
      </c>
      <c r="R169" s="321">
        <v>9785462014925</v>
      </c>
      <c r="S169" s="240" t="s">
        <v>1807</v>
      </c>
      <c r="T169" s="288">
        <v>0.06</v>
      </c>
      <c r="U169" s="936" t="s">
        <v>313</v>
      </c>
      <c r="V169" s="360" t="e">
        <f>VLOOKUP(A169,#REF!,10,FALSE)</f>
        <v>#REF!</v>
      </c>
    </row>
    <row r="170" spans="1:22" ht="27" customHeight="1">
      <c r="A170" s="724">
        <v>70534</v>
      </c>
      <c r="B170" s="1002">
        <v>444</v>
      </c>
      <c r="C170" s="689" t="s">
        <v>1451</v>
      </c>
      <c r="D170" s="79" t="s">
        <v>1446</v>
      </c>
      <c r="E170" s="510" t="s">
        <v>1449</v>
      </c>
      <c r="F170" s="510" t="s">
        <v>1664</v>
      </c>
      <c r="G170" s="511" t="s">
        <v>1218</v>
      </c>
      <c r="H170" s="20"/>
      <c r="I170" s="1071"/>
      <c r="J170" s="27"/>
      <c r="K170" s="198">
        <f>ROUND(37.5*(1-$G$4),2)</f>
        <v>36.38</v>
      </c>
      <c r="L170" s="334">
        <v>2014</v>
      </c>
      <c r="M170" s="261" t="s">
        <v>1231</v>
      </c>
      <c r="N170" s="261">
        <v>100</v>
      </c>
      <c r="O170" s="283" t="s">
        <v>1375</v>
      </c>
      <c r="P170" s="261">
        <v>16</v>
      </c>
      <c r="Q170" s="135" t="s">
        <v>1235</v>
      </c>
      <c r="R170" s="321" t="s">
        <v>2129</v>
      </c>
      <c r="S170" s="240" t="s">
        <v>1807</v>
      </c>
      <c r="T170" s="288">
        <v>0.06</v>
      </c>
      <c r="U170" s="936" t="s">
        <v>313</v>
      </c>
      <c r="V170" s="360" t="e">
        <f>VLOOKUP(A170,#REF!,10,FALSE)</f>
        <v>#REF!</v>
      </c>
    </row>
    <row r="171" spans="1:22" ht="27" customHeight="1" thickBot="1">
      <c r="A171" s="771">
        <v>70542</v>
      </c>
      <c r="B171" s="1021">
        <v>424</v>
      </c>
      <c r="C171" s="777" t="s">
        <v>1452</v>
      </c>
      <c r="D171" s="128" t="s">
        <v>1446</v>
      </c>
      <c r="E171" s="529" t="s">
        <v>1453</v>
      </c>
      <c r="F171" s="529" t="s">
        <v>1665</v>
      </c>
      <c r="G171" s="530" t="s">
        <v>1218</v>
      </c>
      <c r="H171" s="581"/>
      <c r="I171" s="1073"/>
      <c r="J171" s="98"/>
      <c r="K171" s="205">
        <f>ROUND(37.5*(1-$G$4),2)</f>
        <v>36.38</v>
      </c>
      <c r="L171" s="339">
        <v>2014</v>
      </c>
      <c r="M171" s="343" t="s">
        <v>1231</v>
      </c>
      <c r="N171" s="343">
        <v>100</v>
      </c>
      <c r="O171" s="462" t="s">
        <v>1375</v>
      </c>
      <c r="P171" s="343">
        <v>16</v>
      </c>
      <c r="Q171" s="553" t="s">
        <v>1235</v>
      </c>
      <c r="R171" s="532" t="s">
        <v>2130</v>
      </c>
      <c r="S171" s="554" t="s">
        <v>1807</v>
      </c>
      <c r="T171" s="555">
        <v>0.062</v>
      </c>
      <c r="U171" s="936" t="s">
        <v>313</v>
      </c>
      <c r="V171" s="360" t="e">
        <f>VLOOKUP(A171,#REF!,10,FALSE)</f>
        <v>#REF!</v>
      </c>
    </row>
    <row r="172" spans="1:22" ht="27" customHeight="1">
      <c r="A172" s="761">
        <v>70385</v>
      </c>
      <c r="B172" s="1015">
        <v>436</v>
      </c>
      <c r="C172" s="796" t="s">
        <v>1454</v>
      </c>
      <c r="D172" s="582" t="s">
        <v>1455</v>
      </c>
      <c r="E172" s="583" t="s">
        <v>1456</v>
      </c>
      <c r="F172" s="757" t="s">
        <v>1666</v>
      </c>
      <c r="G172" s="584"/>
      <c r="H172" s="99"/>
      <c r="I172" s="1063" t="s">
        <v>1239</v>
      </c>
      <c r="J172" s="100"/>
      <c r="K172" s="189">
        <f aca="true" t="shared" si="5" ref="K172:K182">ROUND(33.8*(1-$G$4),2)</f>
        <v>32.79</v>
      </c>
      <c r="L172" s="585">
        <v>2013</v>
      </c>
      <c r="M172" s="327" t="s">
        <v>1231</v>
      </c>
      <c r="N172" s="327">
        <v>100</v>
      </c>
      <c r="O172" s="586" t="s">
        <v>1375</v>
      </c>
      <c r="P172" s="453">
        <v>16</v>
      </c>
      <c r="Q172" s="587" t="s">
        <v>1235</v>
      </c>
      <c r="R172" s="463" t="s">
        <v>2095</v>
      </c>
      <c r="S172" s="588" t="s">
        <v>1807</v>
      </c>
      <c r="T172" s="443">
        <v>0.062</v>
      </c>
      <c r="U172" s="938" t="s">
        <v>307</v>
      </c>
      <c r="V172" s="360" t="e">
        <f>VLOOKUP(A172,#REF!,10,FALSE)</f>
        <v>#REF!</v>
      </c>
    </row>
    <row r="173" spans="1:22" ht="27" customHeight="1">
      <c r="A173" s="724">
        <v>69355</v>
      </c>
      <c r="B173" s="1002">
        <v>416</v>
      </c>
      <c r="C173" s="689" t="s">
        <v>1457</v>
      </c>
      <c r="D173" s="494" t="s">
        <v>1455</v>
      </c>
      <c r="E173" s="589" t="s">
        <v>1458</v>
      </c>
      <c r="F173" s="94" t="s">
        <v>1667</v>
      </c>
      <c r="G173" s="590" t="s">
        <v>1218</v>
      </c>
      <c r="H173" s="29"/>
      <c r="I173" s="1085" t="s">
        <v>1239</v>
      </c>
      <c r="J173" s="28"/>
      <c r="K173" s="194">
        <f t="shared" si="5"/>
        <v>32.79</v>
      </c>
      <c r="L173" s="334">
        <v>2012</v>
      </c>
      <c r="M173" s="261" t="s">
        <v>1231</v>
      </c>
      <c r="N173" s="261">
        <v>100</v>
      </c>
      <c r="O173" s="284" t="s">
        <v>1375</v>
      </c>
      <c r="P173" s="283">
        <v>16</v>
      </c>
      <c r="Q173" s="310" t="s">
        <v>1235</v>
      </c>
      <c r="R173" s="321" t="s">
        <v>2096</v>
      </c>
      <c r="S173" s="87" t="s">
        <v>1807</v>
      </c>
      <c r="T173" s="288">
        <v>0.062</v>
      </c>
      <c r="U173" s="916" t="s">
        <v>307</v>
      </c>
      <c r="V173" s="360" t="e">
        <f>VLOOKUP(A173,#REF!,10,FALSE)</f>
        <v>#REF!</v>
      </c>
    </row>
    <row r="174" spans="1:22" ht="27" customHeight="1">
      <c r="A174" s="721">
        <v>70550</v>
      </c>
      <c r="B174" s="1001">
        <v>418</v>
      </c>
      <c r="C174" s="557" t="s">
        <v>1459</v>
      </c>
      <c r="D174" s="494" t="s">
        <v>1455</v>
      </c>
      <c r="E174" s="158" t="s">
        <v>1458</v>
      </c>
      <c r="F174" s="94" t="s">
        <v>1668</v>
      </c>
      <c r="G174" s="591" t="s">
        <v>1218</v>
      </c>
      <c r="H174" s="172"/>
      <c r="I174" s="1085" t="s">
        <v>1239</v>
      </c>
      <c r="J174" s="28"/>
      <c r="K174" s="194">
        <f t="shared" si="5"/>
        <v>32.79</v>
      </c>
      <c r="L174" s="334">
        <v>2014</v>
      </c>
      <c r="M174" s="148" t="s">
        <v>1231</v>
      </c>
      <c r="N174" s="148">
        <v>100</v>
      </c>
      <c r="O174" s="311" t="s">
        <v>1375</v>
      </c>
      <c r="P174" s="148">
        <v>16</v>
      </c>
      <c r="Q174" s="134" t="s">
        <v>1235</v>
      </c>
      <c r="R174" s="322" t="s">
        <v>2097</v>
      </c>
      <c r="S174" s="239" t="s">
        <v>1807</v>
      </c>
      <c r="T174" s="301">
        <v>0.062</v>
      </c>
      <c r="U174" s="927" t="s">
        <v>307</v>
      </c>
      <c r="V174" s="360" t="e">
        <f>VLOOKUP(A174,#REF!,10,FALSE)</f>
        <v>#REF!</v>
      </c>
    </row>
    <row r="175" spans="1:22" ht="27" customHeight="1">
      <c r="A175" s="724">
        <v>70249</v>
      </c>
      <c r="B175" s="1002">
        <v>432</v>
      </c>
      <c r="C175" s="797" t="s">
        <v>2098</v>
      </c>
      <c r="D175" s="494" t="s">
        <v>1455</v>
      </c>
      <c r="E175" s="589" t="s">
        <v>1458</v>
      </c>
      <c r="F175" s="94" t="s">
        <v>2100</v>
      </c>
      <c r="G175" s="592" t="s">
        <v>1218</v>
      </c>
      <c r="H175" s="29"/>
      <c r="I175" s="1085" t="s">
        <v>1239</v>
      </c>
      <c r="J175" s="28"/>
      <c r="K175" s="194">
        <f>ROUND(33.8*(1-$G$4),2)</f>
        <v>32.79</v>
      </c>
      <c r="L175" s="334">
        <v>2013</v>
      </c>
      <c r="M175" s="261" t="s">
        <v>1231</v>
      </c>
      <c r="N175" s="261">
        <v>100</v>
      </c>
      <c r="O175" s="284" t="s">
        <v>1375</v>
      </c>
      <c r="P175" s="283">
        <v>16</v>
      </c>
      <c r="Q175" s="310" t="s">
        <v>1235</v>
      </c>
      <c r="R175" s="310" t="s">
        <v>2099</v>
      </c>
      <c r="S175" s="87" t="s">
        <v>1807</v>
      </c>
      <c r="T175" s="288">
        <v>0.062</v>
      </c>
      <c r="U175" s="927" t="s">
        <v>307</v>
      </c>
      <c r="V175" s="360" t="e">
        <f>VLOOKUP(A175,#REF!,10,FALSE)</f>
        <v>#REF!</v>
      </c>
    </row>
    <row r="176" spans="1:22" ht="27" customHeight="1">
      <c r="A176" s="724">
        <v>70307</v>
      </c>
      <c r="B176" s="1002">
        <v>520</v>
      </c>
      <c r="C176" s="689" t="s">
        <v>1460</v>
      </c>
      <c r="D176" s="494" t="s">
        <v>1455</v>
      </c>
      <c r="E176" s="589" t="s">
        <v>1458</v>
      </c>
      <c r="F176" s="94" t="s">
        <v>1669</v>
      </c>
      <c r="G176" s="592" t="s">
        <v>1218</v>
      </c>
      <c r="H176" s="29"/>
      <c r="I176" s="1085" t="s">
        <v>1239</v>
      </c>
      <c r="J176" s="28"/>
      <c r="K176" s="194">
        <f t="shared" si="5"/>
        <v>32.79</v>
      </c>
      <c r="L176" s="334">
        <v>2012</v>
      </c>
      <c r="M176" s="261" t="s">
        <v>1231</v>
      </c>
      <c r="N176" s="261">
        <v>100</v>
      </c>
      <c r="O176" s="284" t="s">
        <v>1375</v>
      </c>
      <c r="P176" s="283">
        <v>16</v>
      </c>
      <c r="Q176" s="310" t="s">
        <v>1235</v>
      </c>
      <c r="R176" s="321" t="s">
        <v>2101</v>
      </c>
      <c r="S176" s="87" t="s">
        <v>1807</v>
      </c>
      <c r="T176" s="288">
        <v>0.062</v>
      </c>
      <c r="U176" s="916" t="s">
        <v>307</v>
      </c>
      <c r="V176" s="360" t="e">
        <f>VLOOKUP(A176,#REF!,10,FALSE)</f>
        <v>#REF!</v>
      </c>
    </row>
    <row r="177" spans="1:22" ht="27" customHeight="1">
      <c r="A177" s="724">
        <v>70300</v>
      </c>
      <c r="B177" s="1002">
        <v>341</v>
      </c>
      <c r="C177" s="689" t="s">
        <v>2102</v>
      </c>
      <c r="D177" s="494" t="s">
        <v>1455</v>
      </c>
      <c r="E177" s="589" t="s">
        <v>1458</v>
      </c>
      <c r="F177" s="510" t="s">
        <v>2104</v>
      </c>
      <c r="G177" s="590" t="s">
        <v>1218</v>
      </c>
      <c r="H177" s="29"/>
      <c r="I177" s="1085" t="s">
        <v>1239</v>
      </c>
      <c r="J177" s="28"/>
      <c r="K177" s="194">
        <f>ROUND(33.8*(1-$G$4),2)</f>
        <v>32.79</v>
      </c>
      <c r="L177" s="334">
        <v>2013</v>
      </c>
      <c r="M177" s="261" t="s">
        <v>1231</v>
      </c>
      <c r="N177" s="261">
        <v>100</v>
      </c>
      <c r="O177" s="284" t="s">
        <v>1375</v>
      </c>
      <c r="P177" s="283">
        <v>16</v>
      </c>
      <c r="Q177" s="310" t="s">
        <v>1235</v>
      </c>
      <c r="R177" s="284" t="s">
        <v>2103</v>
      </c>
      <c r="S177" s="87" t="s">
        <v>1807</v>
      </c>
      <c r="T177" s="288">
        <v>0.062</v>
      </c>
      <c r="U177" s="916" t="s">
        <v>307</v>
      </c>
      <c r="V177" s="360" t="e">
        <f>VLOOKUP(A177,#REF!,10,FALSE)</f>
        <v>#REF!</v>
      </c>
    </row>
    <row r="178" spans="1:22" ht="27" customHeight="1">
      <c r="A178" s="724">
        <v>69359</v>
      </c>
      <c r="B178" s="1002">
        <v>457</v>
      </c>
      <c r="C178" s="689" t="s">
        <v>1461</v>
      </c>
      <c r="D178" s="494" t="s">
        <v>1455</v>
      </c>
      <c r="E178" s="589" t="s">
        <v>1458</v>
      </c>
      <c r="F178" s="94" t="s">
        <v>1670</v>
      </c>
      <c r="G178" s="592" t="s">
        <v>1218</v>
      </c>
      <c r="H178" s="29"/>
      <c r="I178" s="1085" t="s">
        <v>1239</v>
      </c>
      <c r="J178" s="28"/>
      <c r="K178" s="194">
        <f t="shared" si="5"/>
        <v>32.79</v>
      </c>
      <c r="L178" s="334">
        <v>2012</v>
      </c>
      <c r="M178" s="261" t="s">
        <v>1231</v>
      </c>
      <c r="N178" s="261">
        <v>100</v>
      </c>
      <c r="O178" s="284" t="s">
        <v>1375</v>
      </c>
      <c r="P178" s="283">
        <v>16</v>
      </c>
      <c r="Q178" s="310" t="s">
        <v>1235</v>
      </c>
      <c r="R178" s="321" t="s">
        <v>2105</v>
      </c>
      <c r="S178" s="87" t="s">
        <v>1807</v>
      </c>
      <c r="T178" s="288">
        <v>0.062</v>
      </c>
      <c r="U178" s="916" t="s">
        <v>307</v>
      </c>
      <c r="V178" s="360" t="e">
        <f>VLOOKUP(A178,#REF!,10,FALSE)</f>
        <v>#REF!</v>
      </c>
    </row>
    <row r="179" spans="1:22" ht="27" customHeight="1">
      <c r="A179" s="724">
        <v>70302</v>
      </c>
      <c r="B179" s="1002">
        <v>369</v>
      </c>
      <c r="C179" s="689" t="s">
        <v>2106</v>
      </c>
      <c r="D179" s="494" t="s">
        <v>1455</v>
      </c>
      <c r="E179" s="589" t="s">
        <v>1458</v>
      </c>
      <c r="F179" s="510" t="s">
        <v>2108</v>
      </c>
      <c r="G179" s="590" t="s">
        <v>1218</v>
      </c>
      <c r="H179" s="29"/>
      <c r="I179" s="1085" t="s">
        <v>1239</v>
      </c>
      <c r="J179" s="28"/>
      <c r="K179" s="194">
        <f>ROUND(33.8*(1-$G$4),2)</f>
        <v>32.79</v>
      </c>
      <c r="L179" s="334">
        <v>2013</v>
      </c>
      <c r="M179" s="261" t="s">
        <v>1231</v>
      </c>
      <c r="N179" s="261">
        <v>100</v>
      </c>
      <c r="O179" s="284" t="s">
        <v>1375</v>
      </c>
      <c r="P179" s="283">
        <v>16</v>
      </c>
      <c r="Q179" s="310" t="s">
        <v>1235</v>
      </c>
      <c r="R179" s="321" t="s">
        <v>2107</v>
      </c>
      <c r="S179" s="87" t="s">
        <v>1807</v>
      </c>
      <c r="T179" s="288">
        <v>0.062</v>
      </c>
      <c r="U179" s="916" t="s">
        <v>307</v>
      </c>
      <c r="V179" s="360" t="e">
        <f>VLOOKUP(A179,#REF!,10,FALSE)</f>
        <v>#REF!</v>
      </c>
    </row>
    <row r="180" spans="1:22" ht="27" customHeight="1">
      <c r="A180" s="724">
        <v>70305</v>
      </c>
      <c r="B180" s="1002">
        <v>481</v>
      </c>
      <c r="C180" s="689" t="s">
        <v>1462</v>
      </c>
      <c r="D180" s="494" t="s">
        <v>1455</v>
      </c>
      <c r="E180" s="589" t="s">
        <v>1458</v>
      </c>
      <c r="F180" s="94" t="s">
        <v>1671</v>
      </c>
      <c r="G180" s="592" t="s">
        <v>1218</v>
      </c>
      <c r="H180" s="29"/>
      <c r="I180" s="1085" t="s">
        <v>1239</v>
      </c>
      <c r="J180" s="28"/>
      <c r="K180" s="194">
        <f t="shared" si="5"/>
        <v>32.79</v>
      </c>
      <c r="L180" s="334">
        <v>2013</v>
      </c>
      <c r="M180" s="261" t="s">
        <v>1231</v>
      </c>
      <c r="N180" s="261">
        <v>100</v>
      </c>
      <c r="O180" s="284" t="s">
        <v>1375</v>
      </c>
      <c r="P180" s="283">
        <v>16</v>
      </c>
      <c r="Q180" s="310" t="s">
        <v>1235</v>
      </c>
      <c r="R180" s="321" t="s">
        <v>2109</v>
      </c>
      <c r="S180" s="87" t="s">
        <v>1807</v>
      </c>
      <c r="T180" s="288">
        <v>0.062</v>
      </c>
      <c r="U180" s="916" t="s">
        <v>307</v>
      </c>
      <c r="V180" s="360" t="e">
        <f>VLOOKUP(A180,#REF!,10,FALSE)</f>
        <v>#REF!</v>
      </c>
    </row>
    <row r="181" spans="1:22" ht="27" customHeight="1">
      <c r="A181" s="721">
        <v>70551</v>
      </c>
      <c r="B181" s="1001">
        <v>538</v>
      </c>
      <c r="C181" s="557" t="s">
        <v>1463</v>
      </c>
      <c r="D181" s="494" t="s">
        <v>1455</v>
      </c>
      <c r="E181" s="158" t="s">
        <v>1458</v>
      </c>
      <c r="F181" s="510" t="s">
        <v>1672</v>
      </c>
      <c r="G181" s="590" t="s">
        <v>1218</v>
      </c>
      <c r="H181" s="172"/>
      <c r="I181" s="1085" t="s">
        <v>1239</v>
      </c>
      <c r="J181" s="28"/>
      <c r="K181" s="194">
        <f t="shared" si="5"/>
        <v>32.79</v>
      </c>
      <c r="L181" s="334">
        <v>2014</v>
      </c>
      <c r="M181" s="148" t="s">
        <v>1231</v>
      </c>
      <c r="N181" s="148">
        <v>100</v>
      </c>
      <c r="O181" s="311" t="s">
        <v>1375</v>
      </c>
      <c r="P181" s="148">
        <v>16</v>
      </c>
      <c r="Q181" s="134" t="s">
        <v>1235</v>
      </c>
      <c r="R181" s="322" t="s">
        <v>2110</v>
      </c>
      <c r="S181" s="239" t="s">
        <v>1807</v>
      </c>
      <c r="T181" s="301">
        <v>0.062</v>
      </c>
      <c r="U181" s="927" t="s">
        <v>307</v>
      </c>
      <c r="V181" s="360" t="e">
        <f>VLOOKUP(A181,#REF!,10,FALSE)</f>
        <v>#REF!</v>
      </c>
    </row>
    <row r="182" spans="1:22" ht="27" customHeight="1">
      <c r="A182" s="751">
        <v>70384</v>
      </c>
      <c r="B182" s="1012">
        <v>507</v>
      </c>
      <c r="C182" s="752" t="s">
        <v>2001</v>
      </c>
      <c r="D182" s="494" t="s">
        <v>1455</v>
      </c>
      <c r="E182" s="798" t="s">
        <v>1456</v>
      </c>
      <c r="F182" s="759" t="s">
        <v>2002</v>
      </c>
      <c r="G182" s="593"/>
      <c r="H182" s="228"/>
      <c r="I182" s="1086" t="s">
        <v>1239</v>
      </c>
      <c r="J182" s="38"/>
      <c r="K182" s="194">
        <f t="shared" si="5"/>
        <v>32.79</v>
      </c>
      <c r="L182" s="340">
        <v>2013</v>
      </c>
      <c r="M182" s="328" t="s">
        <v>1231</v>
      </c>
      <c r="N182" s="328">
        <v>100</v>
      </c>
      <c r="O182" s="496" t="s">
        <v>1375</v>
      </c>
      <c r="P182" s="445">
        <v>16</v>
      </c>
      <c r="Q182" s="496" t="s">
        <v>1235</v>
      </c>
      <c r="R182" s="594" t="s">
        <v>2111</v>
      </c>
      <c r="S182" s="239" t="s">
        <v>1807</v>
      </c>
      <c r="T182" s="302">
        <v>0.062</v>
      </c>
      <c r="U182" s="931" t="s">
        <v>307</v>
      </c>
      <c r="V182" s="360" t="e">
        <f>VLOOKUP(A182,#REF!,10,FALSE)</f>
        <v>#REF!</v>
      </c>
    </row>
    <row r="183" spans="1:22" ht="27" customHeight="1" thickBot="1">
      <c r="A183" s="754">
        <v>70386</v>
      </c>
      <c r="B183" s="1013">
        <v>381</v>
      </c>
      <c r="C183" s="755" t="s">
        <v>1464</v>
      </c>
      <c r="D183" s="498" t="s">
        <v>1455</v>
      </c>
      <c r="E183" s="977" t="s">
        <v>1456</v>
      </c>
      <c r="F183" s="760" t="s">
        <v>1673</v>
      </c>
      <c r="G183" s="978"/>
      <c r="H183" s="979"/>
      <c r="I183" s="1087" t="s">
        <v>1239</v>
      </c>
      <c r="J183" s="980"/>
      <c r="K183" s="191">
        <f>ROUND(33.8*(1-$G$4),2)</f>
        <v>32.79</v>
      </c>
      <c r="L183" s="981">
        <v>2013</v>
      </c>
      <c r="M183" s="329" t="s">
        <v>1231</v>
      </c>
      <c r="N183" s="329">
        <v>100</v>
      </c>
      <c r="O183" s="500" t="s">
        <v>1375</v>
      </c>
      <c r="P183" s="309">
        <v>16</v>
      </c>
      <c r="Q183" s="501" t="s">
        <v>1235</v>
      </c>
      <c r="R183" s="450" t="s">
        <v>2112</v>
      </c>
      <c r="S183" s="982" t="s">
        <v>1807</v>
      </c>
      <c r="T183" s="451">
        <v>0.062</v>
      </c>
      <c r="U183" s="934" t="s">
        <v>307</v>
      </c>
      <c r="V183" s="360" t="e">
        <f>VLOOKUP(A183,#REF!,10,FALSE)</f>
        <v>#REF!</v>
      </c>
    </row>
    <row r="184" spans="1:22" ht="27" customHeight="1" thickBot="1">
      <c r="A184" s="1102" t="s">
        <v>1309</v>
      </c>
      <c r="B184" s="1008"/>
      <c r="C184" s="744"/>
      <c r="D184" s="62"/>
      <c r="E184" s="62"/>
      <c r="F184" s="92"/>
      <c r="G184" s="432"/>
      <c r="H184" s="63" t="s">
        <v>1229</v>
      </c>
      <c r="I184" s="63"/>
      <c r="J184" s="61"/>
      <c r="K184" s="192"/>
      <c r="L184" s="64"/>
      <c r="M184" s="864"/>
      <c r="N184" s="64"/>
      <c r="O184" s="65"/>
      <c r="P184" s="65"/>
      <c r="Q184" s="65"/>
      <c r="R184" s="64"/>
      <c r="S184" s="292"/>
      <c r="T184" s="297"/>
      <c r="U184" s="923"/>
      <c r="V184" s="360" t="e">
        <f>VLOOKUP(A184,#REF!,10,FALSE)</f>
        <v>#REF!</v>
      </c>
    </row>
    <row r="185" spans="1:22" ht="27" customHeight="1">
      <c r="A185" s="773">
        <v>70246</v>
      </c>
      <c r="B185" s="1022">
        <v>654</v>
      </c>
      <c r="C185" s="829" t="s">
        <v>1310</v>
      </c>
      <c r="D185" s="78" t="s">
        <v>1311</v>
      </c>
      <c r="E185" s="830" t="s">
        <v>1312</v>
      </c>
      <c r="F185" s="830" t="s">
        <v>1598</v>
      </c>
      <c r="G185" s="517" t="s">
        <v>1218</v>
      </c>
      <c r="H185" s="83"/>
      <c r="I185" s="83"/>
      <c r="J185" s="84"/>
      <c r="K185" s="195">
        <f>ROUND(217.5*(1-$G$4),2)</f>
        <v>210.98</v>
      </c>
      <c r="L185" s="840">
        <v>2013</v>
      </c>
      <c r="M185" s="330" t="s">
        <v>1231</v>
      </c>
      <c r="N185" s="840">
        <v>10</v>
      </c>
      <c r="O185" s="841" t="s">
        <v>1233</v>
      </c>
      <c r="P185" s="841">
        <v>48</v>
      </c>
      <c r="Q185" s="842" t="s">
        <v>1232</v>
      </c>
      <c r="R185" s="843">
        <v>9785462014062</v>
      </c>
      <c r="S185" s="1141" t="s">
        <v>1807</v>
      </c>
      <c r="T185" s="275">
        <v>0.41</v>
      </c>
      <c r="U185" s="941" t="s">
        <v>313</v>
      </c>
      <c r="V185" s="360" t="e">
        <f>VLOOKUP(A185,#REF!,10,FALSE)</f>
        <v>#REF!</v>
      </c>
    </row>
    <row r="186" spans="1:22" ht="27" customHeight="1">
      <c r="A186" s="724">
        <v>70548</v>
      </c>
      <c r="B186" s="1002">
        <v>356</v>
      </c>
      <c r="C186" s="689" t="s">
        <v>1313</v>
      </c>
      <c r="D186" s="79" t="s">
        <v>1311</v>
      </c>
      <c r="E186" s="510" t="s">
        <v>1314</v>
      </c>
      <c r="F186" s="510" t="s">
        <v>1599</v>
      </c>
      <c r="G186" s="511" t="s">
        <v>1218</v>
      </c>
      <c r="H186" s="11"/>
      <c r="I186" s="1071"/>
      <c r="J186" s="12"/>
      <c r="K186" s="196">
        <f>ROUND(352.5*(1-$G$4),2)</f>
        <v>341.93</v>
      </c>
      <c r="L186" s="261">
        <v>2014</v>
      </c>
      <c r="M186" s="261" t="s">
        <v>1231</v>
      </c>
      <c r="N186" s="261">
        <v>10</v>
      </c>
      <c r="O186" s="283" t="s">
        <v>1233</v>
      </c>
      <c r="P186" s="261">
        <v>96</v>
      </c>
      <c r="Q186" s="310" t="s">
        <v>1232</v>
      </c>
      <c r="R186" s="321" t="s">
        <v>2032</v>
      </c>
      <c r="S186" s="892" t="s">
        <v>1807</v>
      </c>
      <c r="T186" s="288">
        <v>0.51</v>
      </c>
      <c r="U186" s="942" t="s">
        <v>313</v>
      </c>
      <c r="V186" s="360" t="e">
        <f>VLOOKUP(A186,#REF!,10,FALSE)</f>
        <v>#REF!</v>
      </c>
    </row>
    <row r="187" spans="1:22" ht="27" customHeight="1">
      <c r="A187" s="721">
        <v>71460</v>
      </c>
      <c r="B187" s="1001">
        <v>300</v>
      </c>
      <c r="C187" s="557" t="s">
        <v>336</v>
      </c>
      <c r="D187" s="79" t="s">
        <v>1311</v>
      </c>
      <c r="E187" s="158" t="s">
        <v>1250</v>
      </c>
      <c r="F187" s="158" t="s">
        <v>1508</v>
      </c>
      <c r="G187" s="488" t="s">
        <v>1218</v>
      </c>
      <c r="H187" s="178"/>
      <c r="I187" s="863"/>
      <c r="J187" s="85"/>
      <c r="K187" s="196">
        <f>ROUND(450*(1-$G$4),2)</f>
        <v>436.5</v>
      </c>
      <c r="L187" s="148">
        <v>2015</v>
      </c>
      <c r="M187" s="465">
        <v>0.1</v>
      </c>
      <c r="N187" s="148">
        <v>12</v>
      </c>
      <c r="O187" s="311" t="s">
        <v>1233</v>
      </c>
      <c r="P187" s="148">
        <v>144</v>
      </c>
      <c r="Q187" s="140">
        <v>7</v>
      </c>
      <c r="R187" s="322" t="s">
        <v>340</v>
      </c>
      <c r="S187" s="617" t="s">
        <v>1888</v>
      </c>
      <c r="T187" s="301">
        <v>0.6</v>
      </c>
      <c r="U187" s="942" t="s">
        <v>313</v>
      </c>
      <c r="V187" s="360" t="e">
        <f>VLOOKUP(A187,#REF!,10,FALSE)</f>
        <v>#REF!</v>
      </c>
    </row>
    <row r="188" spans="1:22" ht="27" customHeight="1">
      <c r="A188" s="721">
        <v>71548</v>
      </c>
      <c r="B188" s="1001">
        <v>226</v>
      </c>
      <c r="C188" s="774" t="s">
        <v>409</v>
      </c>
      <c r="D188" s="79" t="s">
        <v>1311</v>
      </c>
      <c r="E188" s="116" t="s">
        <v>1316</v>
      </c>
      <c r="F188" s="116" t="s">
        <v>1600</v>
      </c>
      <c r="G188" s="519" t="s">
        <v>1218</v>
      </c>
      <c r="H188" s="219" t="s">
        <v>1555</v>
      </c>
      <c r="I188" s="863"/>
      <c r="J188" s="15"/>
      <c r="K188" s="196">
        <f>ROUND(595*(1-$G$4),2)</f>
        <v>577.15</v>
      </c>
      <c r="L188" s="148">
        <v>2016</v>
      </c>
      <c r="M188" s="148" t="s">
        <v>1231</v>
      </c>
      <c r="N188" s="148">
        <v>10</v>
      </c>
      <c r="O188" s="272" t="s">
        <v>1233</v>
      </c>
      <c r="P188" s="311">
        <v>176</v>
      </c>
      <c r="Q188" s="318" t="s">
        <v>1232</v>
      </c>
      <c r="R188" s="322">
        <v>9785990830899</v>
      </c>
      <c r="S188" s="142" t="s">
        <v>1888</v>
      </c>
      <c r="T188" s="301">
        <v>0.702</v>
      </c>
      <c r="U188" s="942" t="s">
        <v>313</v>
      </c>
      <c r="V188" s="360" t="e">
        <f>VLOOKUP(A188,#REF!,10,FALSE)</f>
        <v>#REF!</v>
      </c>
    </row>
    <row r="189" spans="1:22" ht="27" customHeight="1">
      <c r="A189" s="721">
        <v>71131</v>
      </c>
      <c r="B189" s="1001">
        <v>462</v>
      </c>
      <c r="C189" s="557" t="s">
        <v>1562</v>
      </c>
      <c r="D189" s="79" t="s">
        <v>1311</v>
      </c>
      <c r="E189" s="158" t="s">
        <v>1565</v>
      </c>
      <c r="F189" s="158" t="s">
        <v>1563</v>
      </c>
      <c r="G189" s="483" t="s">
        <v>1218</v>
      </c>
      <c r="H189" s="219" t="s">
        <v>1555</v>
      </c>
      <c r="I189" s="863"/>
      <c r="J189" s="85"/>
      <c r="K189" s="201">
        <f>ROUND(412.5*(1-$G$4),2)</f>
        <v>400.13</v>
      </c>
      <c r="L189" s="148">
        <v>2015</v>
      </c>
      <c r="M189" s="148" t="s">
        <v>1231</v>
      </c>
      <c r="N189" s="148">
        <v>10</v>
      </c>
      <c r="O189" s="311" t="s">
        <v>1233</v>
      </c>
      <c r="P189" s="148">
        <v>112</v>
      </c>
      <c r="Q189" s="140">
        <v>7</v>
      </c>
      <c r="R189" s="322" t="s">
        <v>2034</v>
      </c>
      <c r="S189" s="617" t="s">
        <v>1807</v>
      </c>
      <c r="T189" s="301">
        <v>0.535</v>
      </c>
      <c r="U189" s="942" t="s">
        <v>313</v>
      </c>
      <c r="V189" s="360" t="e">
        <f>VLOOKUP(A189,#REF!,10,FALSE)</f>
        <v>#REF!</v>
      </c>
    </row>
    <row r="190" spans="1:22" ht="27" customHeight="1">
      <c r="A190" s="724">
        <v>70501</v>
      </c>
      <c r="B190" s="1002">
        <v>280</v>
      </c>
      <c r="C190" s="731" t="s">
        <v>1318</v>
      </c>
      <c r="D190" s="79" t="s">
        <v>1311</v>
      </c>
      <c r="E190" s="94" t="s">
        <v>1319</v>
      </c>
      <c r="F190" s="94" t="s">
        <v>1601</v>
      </c>
      <c r="G190" s="518" t="s">
        <v>1218</v>
      </c>
      <c r="H190" s="14"/>
      <c r="I190" s="1071"/>
      <c r="J190" s="12"/>
      <c r="K190" s="196">
        <f>ROUND(315*(1-$G$4),2)</f>
        <v>305.55</v>
      </c>
      <c r="L190" s="261">
        <v>2013</v>
      </c>
      <c r="M190" s="261" t="s">
        <v>1231</v>
      </c>
      <c r="N190" s="261">
        <v>12</v>
      </c>
      <c r="O190" s="284" t="s">
        <v>1233</v>
      </c>
      <c r="P190" s="283">
        <v>96</v>
      </c>
      <c r="Q190" s="310" t="s">
        <v>1232</v>
      </c>
      <c r="R190" s="321">
        <v>9785462014963</v>
      </c>
      <c r="S190" s="142" t="s">
        <v>1807</v>
      </c>
      <c r="T190" s="288">
        <v>0.51</v>
      </c>
      <c r="U190" s="942" t="s">
        <v>313</v>
      </c>
      <c r="V190" s="360" t="e">
        <f>VLOOKUP(A190,#REF!,10,FALSE)</f>
        <v>#REF!</v>
      </c>
    </row>
    <row r="191" spans="1:22" ht="27" customHeight="1">
      <c r="A191" s="724">
        <v>71464</v>
      </c>
      <c r="B191" s="1002">
        <v>275</v>
      </c>
      <c r="C191" s="731" t="s">
        <v>344</v>
      </c>
      <c r="D191" s="79" t="s">
        <v>1311</v>
      </c>
      <c r="E191" s="94" t="s">
        <v>332</v>
      </c>
      <c r="F191" s="94" t="s">
        <v>333</v>
      </c>
      <c r="G191" s="518"/>
      <c r="H191" s="14"/>
      <c r="I191" s="1071"/>
      <c r="J191" s="12"/>
      <c r="K191" s="196">
        <f>ROUND(540*(1-$G$4),2)</f>
        <v>523.8</v>
      </c>
      <c r="L191" s="261">
        <v>2016</v>
      </c>
      <c r="M191" s="261" t="s">
        <v>1231</v>
      </c>
      <c r="N191" s="261">
        <v>10</v>
      </c>
      <c r="O191" s="284" t="s">
        <v>1233</v>
      </c>
      <c r="P191" s="283">
        <v>160</v>
      </c>
      <c r="Q191" s="310" t="s">
        <v>1232</v>
      </c>
      <c r="R191" s="321">
        <v>9785990752689</v>
      </c>
      <c r="S191" s="142" t="s">
        <v>1888</v>
      </c>
      <c r="T191" s="288">
        <v>0.655</v>
      </c>
      <c r="U191" s="942" t="s">
        <v>313</v>
      </c>
      <c r="V191" s="360" t="e">
        <f>VLOOKUP(A191,#REF!,10,FALSE)</f>
        <v>#REF!</v>
      </c>
    </row>
    <row r="192" spans="1:22" ht="27" customHeight="1">
      <c r="A192" s="737">
        <v>71731</v>
      </c>
      <c r="B192" s="1001">
        <v>92</v>
      </c>
      <c r="C192" s="557" t="s">
        <v>537</v>
      </c>
      <c r="D192" s="79" t="s">
        <v>1311</v>
      </c>
      <c r="E192" s="158" t="s">
        <v>540</v>
      </c>
      <c r="F192" s="158" t="s">
        <v>539</v>
      </c>
      <c r="G192" s="520"/>
      <c r="H192" s="253"/>
      <c r="I192" s="1066"/>
      <c r="J192" s="85"/>
      <c r="K192" s="196">
        <f>ROUND(620*(1-$G$4),2)</f>
        <v>601.4</v>
      </c>
      <c r="L192" s="148">
        <v>2016</v>
      </c>
      <c r="M192" s="261" t="s">
        <v>1231</v>
      </c>
      <c r="N192" s="148">
        <v>6</v>
      </c>
      <c r="O192" s="311" t="s">
        <v>1233</v>
      </c>
      <c r="P192" s="148">
        <v>208</v>
      </c>
      <c r="Q192" s="470">
        <v>7</v>
      </c>
      <c r="R192" s="321" t="s">
        <v>538</v>
      </c>
      <c r="S192" s="142" t="s">
        <v>1888</v>
      </c>
      <c r="T192" s="521">
        <v>0.6</v>
      </c>
      <c r="U192" s="942" t="s">
        <v>313</v>
      </c>
      <c r="V192" s="360"/>
    </row>
    <row r="193" spans="1:22" ht="27" customHeight="1">
      <c r="A193" s="721">
        <v>69396</v>
      </c>
      <c r="B193" s="1001">
        <v>335</v>
      </c>
      <c r="C193" s="774" t="s">
        <v>1322</v>
      </c>
      <c r="D193" s="79" t="s">
        <v>1311</v>
      </c>
      <c r="E193" s="116" t="s">
        <v>1323</v>
      </c>
      <c r="F193" s="116" t="s">
        <v>1602</v>
      </c>
      <c r="G193" s="519" t="s">
        <v>1218</v>
      </c>
      <c r="H193" s="17" t="s">
        <v>1229</v>
      </c>
      <c r="I193" s="863"/>
      <c r="J193" s="15"/>
      <c r="K193" s="201">
        <f>ROUND(243.8*(1-$G$4),2)</f>
        <v>236.49</v>
      </c>
      <c r="L193" s="148">
        <v>2012</v>
      </c>
      <c r="M193" s="148" t="s">
        <v>1231</v>
      </c>
      <c r="N193" s="148">
        <v>16</v>
      </c>
      <c r="O193" s="272" t="s">
        <v>1233</v>
      </c>
      <c r="P193" s="311">
        <v>96</v>
      </c>
      <c r="Q193" s="318" t="s">
        <v>1232</v>
      </c>
      <c r="R193" s="322" t="s">
        <v>2035</v>
      </c>
      <c r="S193" s="143" t="s">
        <v>1807</v>
      </c>
      <c r="T193" s="301">
        <v>0.499</v>
      </c>
      <c r="U193" s="942" t="s">
        <v>313</v>
      </c>
      <c r="V193" s="360" t="e">
        <f>VLOOKUP(A193,#REF!,10,FALSE)</f>
        <v>#REF!</v>
      </c>
    </row>
    <row r="194" spans="1:22" ht="27" customHeight="1">
      <c r="A194" s="721">
        <v>71132</v>
      </c>
      <c r="B194" s="1001">
        <v>305</v>
      </c>
      <c r="C194" s="774" t="s">
        <v>1564</v>
      </c>
      <c r="D194" s="79" t="s">
        <v>1311</v>
      </c>
      <c r="E194" s="116" t="s">
        <v>1523</v>
      </c>
      <c r="F194" s="116" t="s">
        <v>1561</v>
      </c>
      <c r="G194" s="522" t="s">
        <v>1218</v>
      </c>
      <c r="H194" s="253" t="s">
        <v>1555</v>
      </c>
      <c r="I194" s="863"/>
      <c r="J194" s="15"/>
      <c r="K194" s="201">
        <f>ROUND(412.5*(1-$G$4),2)</f>
        <v>400.13</v>
      </c>
      <c r="L194" s="148">
        <v>2015</v>
      </c>
      <c r="M194" s="148" t="s">
        <v>1231</v>
      </c>
      <c r="N194" s="148">
        <v>10</v>
      </c>
      <c r="O194" s="272" t="s">
        <v>1233</v>
      </c>
      <c r="P194" s="311">
        <v>104</v>
      </c>
      <c r="Q194" s="318" t="s">
        <v>1232</v>
      </c>
      <c r="R194" s="322" t="s">
        <v>2036</v>
      </c>
      <c r="S194" s="143" t="s">
        <v>1807</v>
      </c>
      <c r="T194" s="301">
        <v>0.56</v>
      </c>
      <c r="U194" s="942" t="s">
        <v>313</v>
      </c>
      <c r="V194" s="360" t="e">
        <f>VLOOKUP(A194,#REF!,10,FALSE)</f>
        <v>#REF!</v>
      </c>
    </row>
    <row r="195" spans="1:22" ht="27" customHeight="1">
      <c r="A195" s="724">
        <v>70490</v>
      </c>
      <c r="B195" s="1002">
        <v>425</v>
      </c>
      <c r="C195" s="731" t="s">
        <v>1324</v>
      </c>
      <c r="D195" s="79" t="s">
        <v>1311</v>
      </c>
      <c r="E195" s="94" t="s">
        <v>1325</v>
      </c>
      <c r="F195" s="94" t="s">
        <v>1603</v>
      </c>
      <c r="G195" s="518" t="s">
        <v>1218</v>
      </c>
      <c r="H195" s="14"/>
      <c r="I195" s="1071"/>
      <c r="J195" s="12"/>
      <c r="K195" s="196">
        <f>ROUND(315*(1-$G$4),2)</f>
        <v>305.55</v>
      </c>
      <c r="L195" s="261">
        <v>2014</v>
      </c>
      <c r="M195" s="261" t="s">
        <v>1231</v>
      </c>
      <c r="N195" s="261">
        <v>10</v>
      </c>
      <c r="O195" s="284" t="s">
        <v>1233</v>
      </c>
      <c r="P195" s="283">
        <v>88</v>
      </c>
      <c r="Q195" s="310" t="s">
        <v>1232</v>
      </c>
      <c r="R195" s="321" t="s">
        <v>2037</v>
      </c>
      <c r="S195" s="142" t="s">
        <v>1807</v>
      </c>
      <c r="T195" s="288">
        <v>0.522</v>
      </c>
      <c r="U195" s="942" t="s">
        <v>313</v>
      </c>
      <c r="V195" s="360" t="e">
        <f>VLOOKUP(A195,#REF!,10,FALSE)</f>
        <v>#REF!</v>
      </c>
    </row>
    <row r="196" spans="1:22" ht="27" customHeight="1">
      <c r="A196" s="724">
        <v>70462</v>
      </c>
      <c r="B196" s="1002">
        <v>483</v>
      </c>
      <c r="C196" s="689" t="s">
        <v>1326</v>
      </c>
      <c r="D196" s="79" t="s">
        <v>1311</v>
      </c>
      <c r="E196" s="510" t="s">
        <v>1315</v>
      </c>
      <c r="F196" s="510" t="s">
        <v>1604</v>
      </c>
      <c r="G196" s="511" t="s">
        <v>1218</v>
      </c>
      <c r="H196" s="11"/>
      <c r="I196" s="1071"/>
      <c r="J196" s="12"/>
      <c r="K196" s="196">
        <f>ROUND(225*(1-$G$4),2)</f>
        <v>218.25</v>
      </c>
      <c r="L196" s="261">
        <v>2013</v>
      </c>
      <c r="M196" s="261" t="s">
        <v>1231</v>
      </c>
      <c r="N196" s="261">
        <v>10</v>
      </c>
      <c r="O196" s="284" t="s">
        <v>1233</v>
      </c>
      <c r="P196" s="283">
        <v>64</v>
      </c>
      <c r="Q196" s="310" t="s">
        <v>1232</v>
      </c>
      <c r="R196" s="321" t="s">
        <v>2038</v>
      </c>
      <c r="S196" s="142" t="s">
        <v>1808</v>
      </c>
      <c r="T196" s="288">
        <v>0.395</v>
      </c>
      <c r="U196" s="942" t="s">
        <v>313</v>
      </c>
      <c r="V196" s="360" t="e">
        <f>VLOOKUP(A196,#REF!,10,FALSE)</f>
        <v>#REF!</v>
      </c>
    </row>
    <row r="197" spans="1:22" ht="27" customHeight="1">
      <c r="A197" s="730">
        <v>70430</v>
      </c>
      <c r="B197" s="1005">
        <v>564</v>
      </c>
      <c r="C197" s="731" t="s">
        <v>1327</v>
      </c>
      <c r="D197" s="79" t="s">
        <v>1311</v>
      </c>
      <c r="E197" s="94" t="s">
        <v>1328</v>
      </c>
      <c r="F197" s="94" t="s">
        <v>1605</v>
      </c>
      <c r="G197" s="518" t="s">
        <v>1218</v>
      </c>
      <c r="H197" s="13"/>
      <c r="I197" s="1071"/>
      <c r="J197" s="12"/>
      <c r="K197" s="196">
        <f>ROUND(300*(1-$G$4),2)</f>
        <v>291</v>
      </c>
      <c r="L197" s="261">
        <v>2013</v>
      </c>
      <c r="M197" s="261" t="s">
        <v>1231</v>
      </c>
      <c r="N197" s="261">
        <v>12</v>
      </c>
      <c r="O197" s="284" t="s">
        <v>1233</v>
      </c>
      <c r="P197" s="283">
        <v>96</v>
      </c>
      <c r="Q197" s="310" t="s">
        <v>1232</v>
      </c>
      <c r="R197" s="321" t="s">
        <v>2039</v>
      </c>
      <c r="S197" s="142" t="s">
        <v>1807</v>
      </c>
      <c r="T197" s="288">
        <v>0.51</v>
      </c>
      <c r="U197" s="942" t="s">
        <v>313</v>
      </c>
      <c r="V197" s="360" t="e">
        <f>VLOOKUP(A197,#REF!,10,FALSE)</f>
        <v>#REF!</v>
      </c>
    </row>
    <row r="198" spans="1:22" ht="27" customHeight="1">
      <c r="A198" s="724">
        <v>71547</v>
      </c>
      <c r="B198" s="1002">
        <v>137</v>
      </c>
      <c r="C198" s="689" t="s">
        <v>410</v>
      </c>
      <c r="D198" s="79" t="s">
        <v>1311</v>
      </c>
      <c r="E198" s="510" t="s">
        <v>1329</v>
      </c>
      <c r="F198" s="510" t="s">
        <v>1606</v>
      </c>
      <c r="G198" s="511" t="s">
        <v>1218</v>
      </c>
      <c r="H198" s="171" t="s">
        <v>1320</v>
      </c>
      <c r="I198" s="1071"/>
      <c r="J198" s="12"/>
      <c r="K198" s="196">
        <f>ROUND(355*(1-$G$4),2)</f>
        <v>344.35</v>
      </c>
      <c r="L198" s="261">
        <v>2016</v>
      </c>
      <c r="M198" s="261" t="s">
        <v>1231</v>
      </c>
      <c r="N198" s="261">
        <v>10</v>
      </c>
      <c r="O198" s="283" t="s">
        <v>1233</v>
      </c>
      <c r="P198" s="261">
        <v>96</v>
      </c>
      <c r="Q198" s="523">
        <v>7</v>
      </c>
      <c r="R198" s="321">
        <v>9785990831032</v>
      </c>
      <c r="S198" s="142" t="s">
        <v>1888</v>
      </c>
      <c r="T198" s="288">
        <v>0.53</v>
      </c>
      <c r="U198" s="942" t="s">
        <v>313</v>
      </c>
      <c r="V198" s="360" t="e">
        <f>VLOOKUP(A198,#REF!,10,FALSE)</f>
        <v>#REF!</v>
      </c>
    </row>
    <row r="199" spans="1:22" ht="27" customHeight="1">
      <c r="A199" s="724">
        <v>70173</v>
      </c>
      <c r="B199" s="1002">
        <v>292</v>
      </c>
      <c r="C199" s="731" t="s">
        <v>1331</v>
      </c>
      <c r="D199" s="79" t="s">
        <v>1311</v>
      </c>
      <c r="E199" s="94" t="s">
        <v>1332</v>
      </c>
      <c r="F199" s="94" t="s">
        <v>1607</v>
      </c>
      <c r="G199" s="518" t="s">
        <v>1218</v>
      </c>
      <c r="H199" s="19"/>
      <c r="I199" s="1071" t="s">
        <v>1230</v>
      </c>
      <c r="J199" s="12"/>
      <c r="K199" s="196">
        <f>ROUND(318.8*(1-$G$4),2)</f>
        <v>309.24</v>
      </c>
      <c r="L199" s="261">
        <v>2013</v>
      </c>
      <c r="M199" s="261" t="s">
        <v>1231</v>
      </c>
      <c r="N199" s="261">
        <v>12</v>
      </c>
      <c r="O199" s="284" t="s">
        <v>1233</v>
      </c>
      <c r="P199" s="283">
        <v>112</v>
      </c>
      <c r="Q199" s="310" t="s">
        <v>1232</v>
      </c>
      <c r="R199" s="321" t="s">
        <v>2040</v>
      </c>
      <c r="S199" s="142" t="s">
        <v>1807</v>
      </c>
      <c r="T199" s="288">
        <v>0.602</v>
      </c>
      <c r="U199" s="942" t="s">
        <v>313</v>
      </c>
      <c r="V199" s="360" t="e">
        <f>VLOOKUP(A199,#REF!,10,FALSE)</f>
        <v>#REF!</v>
      </c>
    </row>
    <row r="200" spans="1:22" ht="27" customHeight="1">
      <c r="A200" s="751">
        <v>71116</v>
      </c>
      <c r="B200" s="1012">
        <v>179</v>
      </c>
      <c r="C200" s="752" t="s">
        <v>1333</v>
      </c>
      <c r="D200" s="494" t="s">
        <v>1311</v>
      </c>
      <c r="E200" s="157" t="s">
        <v>1242</v>
      </c>
      <c r="F200" s="157" t="s">
        <v>1334</v>
      </c>
      <c r="G200" s="495" t="s">
        <v>1218</v>
      </c>
      <c r="H200" s="178"/>
      <c r="I200" s="1061" t="s">
        <v>1230</v>
      </c>
      <c r="J200" s="5"/>
      <c r="K200" s="190">
        <f>ROUND(375*(1-$G$4),2)</f>
        <v>363.75</v>
      </c>
      <c r="L200" s="328">
        <v>2015</v>
      </c>
      <c r="M200" s="328" t="s">
        <v>1231</v>
      </c>
      <c r="N200" s="328">
        <v>10</v>
      </c>
      <c r="O200" s="445" t="s">
        <v>1233</v>
      </c>
      <c r="P200" s="328">
        <v>128</v>
      </c>
      <c r="Q200" s="524">
        <v>7</v>
      </c>
      <c r="R200" s="447" t="s">
        <v>2041</v>
      </c>
      <c r="S200" s="615" t="s">
        <v>1807</v>
      </c>
      <c r="T200" s="448">
        <v>0.55</v>
      </c>
      <c r="U200" s="942" t="s">
        <v>313</v>
      </c>
      <c r="V200" s="360" t="e">
        <f>VLOOKUP(A200,#REF!,10,FALSE)</f>
        <v>#REF!</v>
      </c>
    </row>
    <row r="201" spans="1:22" ht="27" customHeight="1">
      <c r="A201" s="724">
        <v>70460</v>
      </c>
      <c r="B201" s="1002">
        <v>573</v>
      </c>
      <c r="C201" s="689" t="s">
        <v>1335</v>
      </c>
      <c r="D201" s="79" t="s">
        <v>1311</v>
      </c>
      <c r="E201" s="510" t="s">
        <v>1336</v>
      </c>
      <c r="F201" s="510" t="s">
        <v>1608</v>
      </c>
      <c r="G201" s="511" t="s">
        <v>1218</v>
      </c>
      <c r="H201" s="20"/>
      <c r="I201" s="1071"/>
      <c r="J201" s="12"/>
      <c r="K201" s="196">
        <f>ROUND(262.5*(1-$G$4),2)</f>
        <v>254.63</v>
      </c>
      <c r="L201" s="261">
        <v>2013</v>
      </c>
      <c r="M201" s="261" t="s">
        <v>1231</v>
      </c>
      <c r="N201" s="261">
        <v>10</v>
      </c>
      <c r="O201" s="284" t="s">
        <v>1233</v>
      </c>
      <c r="P201" s="283">
        <v>64</v>
      </c>
      <c r="Q201" s="310" t="s">
        <v>1232</v>
      </c>
      <c r="R201" s="321" t="s">
        <v>2042</v>
      </c>
      <c r="S201" s="142" t="s">
        <v>1807</v>
      </c>
      <c r="T201" s="288">
        <v>0.395</v>
      </c>
      <c r="U201" s="942" t="s">
        <v>313</v>
      </c>
      <c r="V201" s="360" t="e">
        <f>VLOOKUP(A201,#REF!,10,FALSE)</f>
        <v>#REF!</v>
      </c>
    </row>
    <row r="202" spans="1:22" ht="27" customHeight="1">
      <c r="A202" s="721">
        <v>68993</v>
      </c>
      <c r="B202" s="1001">
        <v>412</v>
      </c>
      <c r="C202" s="774" t="s">
        <v>1337</v>
      </c>
      <c r="D202" s="79" t="s">
        <v>1311</v>
      </c>
      <c r="E202" s="116" t="s">
        <v>1338</v>
      </c>
      <c r="F202" s="116" t="s">
        <v>1609</v>
      </c>
      <c r="G202" s="519" t="s">
        <v>1218</v>
      </c>
      <c r="H202" s="18" t="s">
        <v>1321</v>
      </c>
      <c r="I202" s="863"/>
      <c r="J202" s="15"/>
      <c r="K202" s="201">
        <v>135</v>
      </c>
      <c r="L202" s="148">
        <v>2011</v>
      </c>
      <c r="M202" s="148" t="s">
        <v>1231</v>
      </c>
      <c r="N202" s="148">
        <v>8</v>
      </c>
      <c r="O202" s="272" t="s">
        <v>1233</v>
      </c>
      <c r="P202" s="311">
        <v>144</v>
      </c>
      <c r="Q202" s="318" t="s">
        <v>1232</v>
      </c>
      <c r="R202" s="322" t="s">
        <v>2043</v>
      </c>
      <c r="S202" s="143" t="s">
        <v>1807</v>
      </c>
      <c r="T202" s="301">
        <v>0.587</v>
      </c>
      <c r="U202" s="942" t="s">
        <v>313</v>
      </c>
      <c r="V202" s="360" t="e">
        <f>VLOOKUP(A202,#REF!,10,FALSE)</f>
        <v>#REF!</v>
      </c>
    </row>
    <row r="203" spans="1:22" ht="27" customHeight="1">
      <c r="A203" s="775">
        <v>69915</v>
      </c>
      <c r="B203" s="1023">
        <v>245</v>
      </c>
      <c r="C203" s="731" t="s">
        <v>1339</v>
      </c>
      <c r="D203" s="79" t="s">
        <v>1311</v>
      </c>
      <c r="E203" s="94" t="s">
        <v>1340</v>
      </c>
      <c r="F203" s="94" t="s">
        <v>1610</v>
      </c>
      <c r="G203" s="518" t="s">
        <v>1218</v>
      </c>
      <c r="H203" s="19"/>
      <c r="I203" s="1071"/>
      <c r="J203" s="12"/>
      <c r="K203" s="196">
        <f>ROUND(243.8*(1-$G$4),2)</f>
        <v>236.49</v>
      </c>
      <c r="L203" s="261">
        <v>2012</v>
      </c>
      <c r="M203" s="261" t="s">
        <v>1231</v>
      </c>
      <c r="N203" s="261">
        <v>10</v>
      </c>
      <c r="O203" s="284" t="s">
        <v>1233</v>
      </c>
      <c r="P203" s="283">
        <v>72</v>
      </c>
      <c r="Q203" s="318" t="s">
        <v>1232</v>
      </c>
      <c r="R203" s="322" t="s">
        <v>2044</v>
      </c>
      <c r="S203" s="142" t="s">
        <v>1807</v>
      </c>
      <c r="T203" s="301">
        <v>0.466</v>
      </c>
      <c r="U203" s="942" t="s">
        <v>313</v>
      </c>
      <c r="V203" s="360" t="e">
        <f>VLOOKUP(A203,#REF!,10,FALSE)</f>
        <v>#REF!</v>
      </c>
    </row>
    <row r="204" spans="1:22" ht="27" customHeight="1">
      <c r="A204" s="721">
        <v>71009</v>
      </c>
      <c r="B204" s="1001">
        <v>666</v>
      </c>
      <c r="C204" s="557" t="s">
        <v>1520</v>
      </c>
      <c r="D204" s="79" t="s">
        <v>1311</v>
      </c>
      <c r="E204" s="158" t="s">
        <v>1521</v>
      </c>
      <c r="F204" s="158" t="s">
        <v>1574</v>
      </c>
      <c r="G204" s="483" t="s">
        <v>1218</v>
      </c>
      <c r="H204" s="101"/>
      <c r="I204" s="863"/>
      <c r="J204" s="85"/>
      <c r="K204" s="196">
        <f>ROUND(450*(1-$G$4),2)</f>
        <v>436.5</v>
      </c>
      <c r="L204" s="148">
        <v>2015</v>
      </c>
      <c r="M204" s="261" t="s">
        <v>1231</v>
      </c>
      <c r="N204" s="148">
        <v>10</v>
      </c>
      <c r="O204" s="311" t="s">
        <v>1233</v>
      </c>
      <c r="P204" s="148">
        <v>96</v>
      </c>
      <c r="Q204" s="140">
        <v>7</v>
      </c>
      <c r="R204" s="322" t="s">
        <v>2045</v>
      </c>
      <c r="S204" s="617" t="s">
        <v>1807</v>
      </c>
      <c r="T204" s="301">
        <v>0.55</v>
      </c>
      <c r="U204" s="942" t="s">
        <v>313</v>
      </c>
      <c r="V204" s="360" t="e">
        <f>VLOOKUP(A204,#REF!,10,FALSE)</f>
        <v>#REF!</v>
      </c>
    </row>
    <row r="205" spans="1:22" ht="27" customHeight="1">
      <c r="A205" s="724">
        <v>70247</v>
      </c>
      <c r="B205" s="1002">
        <v>397</v>
      </c>
      <c r="C205" s="731" t="s">
        <v>1341</v>
      </c>
      <c r="D205" s="79" t="s">
        <v>1311</v>
      </c>
      <c r="E205" s="94" t="s">
        <v>1342</v>
      </c>
      <c r="F205" s="510" t="s">
        <v>1611</v>
      </c>
      <c r="G205" s="511" t="s">
        <v>1218</v>
      </c>
      <c r="H205" s="117"/>
      <c r="I205" s="1071" t="s">
        <v>1230</v>
      </c>
      <c r="J205" s="12"/>
      <c r="K205" s="196">
        <f>ROUND(315*(1-$G$4),2)</f>
        <v>305.55</v>
      </c>
      <c r="L205" s="261">
        <v>2013</v>
      </c>
      <c r="M205" s="261" t="s">
        <v>1231</v>
      </c>
      <c r="N205" s="261">
        <v>12</v>
      </c>
      <c r="O205" s="284" t="s">
        <v>1233</v>
      </c>
      <c r="P205" s="283">
        <v>112</v>
      </c>
      <c r="Q205" s="310" t="s">
        <v>1232</v>
      </c>
      <c r="R205" s="321" t="s">
        <v>2046</v>
      </c>
      <c r="S205" s="142" t="s">
        <v>1807</v>
      </c>
      <c r="T205" s="288">
        <v>0.558</v>
      </c>
      <c r="U205" s="942" t="s">
        <v>313</v>
      </c>
      <c r="V205" s="360" t="e">
        <f>VLOOKUP(A205,#REF!,10,FALSE)</f>
        <v>#REF!</v>
      </c>
    </row>
    <row r="206" spans="1:22" ht="27" customHeight="1">
      <c r="A206" s="721">
        <v>71546</v>
      </c>
      <c r="B206" s="1001">
        <v>157</v>
      </c>
      <c r="C206" s="557" t="s">
        <v>411</v>
      </c>
      <c r="D206" s="79" t="s">
        <v>1311</v>
      </c>
      <c r="E206" s="158" t="s">
        <v>1432</v>
      </c>
      <c r="F206" s="158" t="s">
        <v>1851</v>
      </c>
      <c r="G206" s="483" t="s">
        <v>1218</v>
      </c>
      <c r="H206" s="167" t="s">
        <v>1799</v>
      </c>
      <c r="I206" s="863"/>
      <c r="J206" s="85"/>
      <c r="K206" s="196"/>
      <c r="L206" s="148">
        <v>2016</v>
      </c>
      <c r="M206" s="328" t="s">
        <v>1231</v>
      </c>
      <c r="N206" s="148">
        <v>10</v>
      </c>
      <c r="O206" s="311" t="s">
        <v>1233</v>
      </c>
      <c r="P206" s="148">
        <v>96</v>
      </c>
      <c r="Q206" s="140">
        <v>7</v>
      </c>
      <c r="R206" s="322">
        <v>9785990752788</v>
      </c>
      <c r="S206" s="142" t="s">
        <v>1888</v>
      </c>
      <c r="T206" s="448">
        <v>0.546</v>
      </c>
      <c r="U206" s="942" t="s">
        <v>313</v>
      </c>
      <c r="V206" s="360" t="e">
        <f>VLOOKUP(A206,#REF!,10,FALSE)</f>
        <v>#REF!</v>
      </c>
    </row>
    <row r="207" spans="1:22" ht="27" customHeight="1">
      <c r="A207" s="724">
        <v>70603</v>
      </c>
      <c r="B207" s="1002">
        <v>331</v>
      </c>
      <c r="C207" s="689" t="s">
        <v>1344</v>
      </c>
      <c r="D207" s="79" t="s">
        <v>1311</v>
      </c>
      <c r="E207" s="510" t="s">
        <v>1345</v>
      </c>
      <c r="F207" s="510" t="s">
        <v>1612</v>
      </c>
      <c r="G207" s="511" t="s">
        <v>1218</v>
      </c>
      <c r="H207" s="1130"/>
      <c r="I207" s="1071"/>
      <c r="J207" s="12"/>
      <c r="K207" s="196">
        <f>ROUND(337.5*(1-$G$4),2)</f>
        <v>327.38</v>
      </c>
      <c r="L207" s="261">
        <v>2014</v>
      </c>
      <c r="M207" s="261" t="s">
        <v>1231</v>
      </c>
      <c r="N207" s="261">
        <v>12</v>
      </c>
      <c r="O207" s="283" t="s">
        <v>1346</v>
      </c>
      <c r="P207" s="261">
        <v>96</v>
      </c>
      <c r="Q207" s="133" t="s">
        <v>1232</v>
      </c>
      <c r="R207" s="321" t="s">
        <v>2047</v>
      </c>
      <c r="S207" s="892" t="s">
        <v>1807</v>
      </c>
      <c r="T207" s="288">
        <v>0.41</v>
      </c>
      <c r="U207" s="942" t="s">
        <v>313</v>
      </c>
      <c r="V207" s="360" t="e">
        <f>VLOOKUP(A207,#REF!,10,FALSE)</f>
        <v>#REF!</v>
      </c>
    </row>
    <row r="208" spans="1:22" ht="27" customHeight="1">
      <c r="A208" s="724">
        <v>71006</v>
      </c>
      <c r="B208" s="1002">
        <v>301</v>
      </c>
      <c r="C208" s="689" t="s">
        <v>1516</v>
      </c>
      <c r="D208" s="79" t="s">
        <v>1311</v>
      </c>
      <c r="E208" s="510" t="s">
        <v>1518</v>
      </c>
      <c r="F208" s="510" t="s">
        <v>1517</v>
      </c>
      <c r="G208" s="525" t="s">
        <v>1218</v>
      </c>
      <c r="H208" s="1129" t="s">
        <v>1320</v>
      </c>
      <c r="I208" s="1071"/>
      <c r="J208" s="12"/>
      <c r="K208" s="196">
        <f>ROUND(412.5*(1-$G$4),2)</f>
        <v>400.13</v>
      </c>
      <c r="L208" s="261">
        <v>2015</v>
      </c>
      <c r="M208" s="261" t="s">
        <v>1231</v>
      </c>
      <c r="N208" s="261">
        <v>12</v>
      </c>
      <c r="O208" s="283" t="s">
        <v>1346</v>
      </c>
      <c r="P208" s="261">
        <v>80</v>
      </c>
      <c r="Q208" s="133" t="s">
        <v>1232</v>
      </c>
      <c r="R208" s="321" t="s">
        <v>2048</v>
      </c>
      <c r="S208" s="892" t="s">
        <v>1807</v>
      </c>
      <c r="T208" s="288">
        <v>0.5</v>
      </c>
      <c r="U208" s="942" t="s">
        <v>313</v>
      </c>
      <c r="V208" s="360" t="e">
        <f>VLOOKUP(A208,#REF!,10,FALSE)</f>
        <v>#REF!</v>
      </c>
    </row>
    <row r="209" spans="1:22" ht="27" customHeight="1">
      <c r="A209" s="724">
        <v>70831</v>
      </c>
      <c r="B209" s="1002">
        <v>196</v>
      </c>
      <c r="C209" s="689" t="s">
        <v>1347</v>
      </c>
      <c r="D209" s="79" t="s">
        <v>1311</v>
      </c>
      <c r="E209" s="510" t="s">
        <v>1348</v>
      </c>
      <c r="F209" s="510" t="s">
        <v>1613</v>
      </c>
      <c r="G209" s="511" t="s">
        <v>1218</v>
      </c>
      <c r="H209" s="167" t="s">
        <v>1799</v>
      </c>
      <c r="I209" s="1071"/>
      <c r="J209" s="12"/>
      <c r="K209" s="196"/>
      <c r="L209" s="261">
        <v>2015</v>
      </c>
      <c r="M209" s="261" t="s">
        <v>1231</v>
      </c>
      <c r="N209" s="261">
        <v>10</v>
      </c>
      <c r="O209" s="284" t="s">
        <v>1233</v>
      </c>
      <c r="P209" s="283">
        <v>112</v>
      </c>
      <c r="Q209" s="310" t="s">
        <v>1232</v>
      </c>
      <c r="R209" s="321" t="s">
        <v>2049</v>
      </c>
      <c r="S209" s="142" t="s">
        <v>1807</v>
      </c>
      <c r="T209" s="288">
        <v>0.55</v>
      </c>
      <c r="U209" s="942" t="s">
        <v>313</v>
      </c>
      <c r="V209" s="360" t="e">
        <f>VLOOKUP(A209,#REF!,10,FALSE)</f>
        <v>#REF!</v>
      </c>
    </row>
    <row r="210" spans="1:22" ht="27" customHeight="1">
      <c r="A210" s="886">
        <v>71861</v>
      </c>
      <c r="B210" s="1002">
        <v>135</v>
      </c>
      <c r="C210" s="731" t="s">
        <v>801</v>
      </c>
      <c r="D210" s="79" t="s">
        <v>1311</v>
      </c>
      <c r="E210" s="510" t="s">
        <v>1242</v>
      </c>
      <c r="F210" s="510" t="s">
        <v>1865</v>
      </c>
      <c r="G210" s="511" t="s">
        <v>1218</v>
      </c>
      <c r="H210" s="171" t="s">
        <v>1320</v>
      </c>
      <c r="I210" s="1071"/>
      <c r="J210" s="12"/>
      <c r="K210" s="196">
        <f>ROUND(550*(1-$G$4),2)</f>
        <v>533.5</v>
      </c>
      <c r="L210" s="261">
        <v>2017</v>
      </c>
      <c r="M210" s="261" t="s">
        <v>1231</v>
      </c>
      <c r="N210" s="261">
        <v>8</v>
      </c>
      <c r="O210" s="283" t="s">
        <v>1233</v>
      </c>
      <c r="P210" s="261">
        <v>224</v>
      </c>
      <c r="Q210" s="523">
        <v>7</v>
      </c>
      <c r="R210" s="321">
        <v>9785990940789</v>
      </c>
      <c r="S210" s="142" t="s">
        <v>1888</v>
      </c>
      <c r="T210" s="288">
        <v>0.855</v>
      </c>
      <c r="U210" s="942" t="s">
        <v>313</v>
      </c>
      <c r="V210" s="360" t="e">
        <f>VLOOKUP(A210,#REF!,10,FALSE)</f>
        <v>#REF!</v>
      </c>
    </row>
    <row r="211" spans="1:22" ht="27" customHeight="1">
      <c r="A211" s="721">
        <v>70845</v>
      </c>
      <c r="B211" s="1001">
        <v>166</v>
      </c>
      <c r="C211" s="731" t="s">
        <v>1349</v>
      </c>
      <c r="D211" s="79" t="s">
        <v>1311</v>
      </c>
      <c r="E211" s="94" t="s">
        <v>1350</v>
      </c>
      <c r="F211" s="94" t="s">
        <v>1614</v>
      </c>
      <c r="G211" s="518" t="s">
        <v>1218</v>
      </c>
      <c r="H211" s="14"/>
      <c r="I211" s="1071"/>
      <c r="J211" s="12"/>
      <c r="K211" s="196">
        <f>ROUND(337.5*(1-$G$4),2)</f>
        <v>327.38</v>
      </c>
      <c r="L211" s="261">
        <v>2015</v>
      </c>
      <c r="M211" s="261" t="s">
        <v>1231</v>
      </c>
      <c r="N211" s="261">
        <v>12</v>
      </c>
      <c r="O211" s="284" t="s">
        <v>1233</v>
      </c>
      <c r="P211" s="283">
        <v>96</v>
      </c>
      <c r="Q211" s="310" t="s">
        <v>1232</v>
      </c>
      <c r="R211" s="321" t="s">
        <v>2050</v>
      </c>
      <c r="S211" s="142" t="s">
        <v>1807</v>
      </c>
      <c r="T211" s="288">
        <v>0.54</v>
      </c>
      <c r="U211" s="942" t="s">
        <v>313</v>
      </c>
      <c r="V211" s="360" t="e">
        <f>VLOOKUP(A211,#REF!,10,FALSE)</f>
        <v>#REF!</v>
      </c>
    </row>
    <row r="212" spans="1:22" ht="27" customHeight="1">
      <c r="A212" s="721">
        <v>71293</v>
      </c>
      <c r="B212" s="1001">
        <v>105</v>
      </c>
      <c r="C212" s="557" t="s">
        <v>490</v>
      </c>
      <c r="D212" s="79" t="s">
        <v>1311</v>
      </c>
      <c r="E212" s="158" t="s">
        <v>491</v>
      </c>
      <c r="F212" s="158" t="s">
        <v>489</v>
      </c>
      <c r="G212" s="394"/>
      <c r="H212" s="167" t="s">
        <v>1799</v>
      </c>
      <c r="I212" s="1071" t="s">
        <v>1239</v>
      </c>
      <c r="J212" s="85"/>
      <c r="K212" s="196"/>
      <c r="L212" s="261">
        <v>2016</v>
      </c>
      <c r="M212" s="261" t="s">
        <v>1231</v>
      </c>
      <c r="N212" s="148">
        <v>10</v>
      </c>
      <c r="O212" s="311" t="s">
        <v>1233</v>
      </c>
      <c r="P212" s="148">
        <v>128</v>
      </c>
      <c r="Q212" s="470">
        <v>7</v>
      </c>
      <c r="R212" s="321">
        <v>9785990831025</v>
      </c>
      <c r="S212" s="142" t="s">
        <v>1888</v>
      </c>
      <c r="T212" s="288">
        <v>0.546</v>
      </c>
      <c r="U212" s="942" t="s">
        <v>313</v>
      </c>
      <c r="V212" s="360" t="e">
        <f>VLOOKUP(A212,#REF!,10,FALSE)</f>
        <v>#REF!</v>
      </c>
    </row>
    <row r="213" spans="1:22" ht="27" customHeight="1">
      <c r="A213" s="724">
        <v>70604</v>
      </c>
      <c r="B213" s="1002">
        <v>329</v>
      </c>
      <c r="C213" s="689" t="s">
        <v>1351</v>
      </c>
      <c r="D213" s="79" t="s">
        <v>1311</v>
      </c>
      <c r="E213" s="510" t="s">
        <v>1352</v>
      </c>
      <c r="F213" s="510" t="s">
        <v>1615</v>
      </c>
      <c r="G213" s="511" t="s">
        <v>1218</v>
      </c>
      <c r="H213" s="11"/>
      <c r="I213" s="1071"/>
      <c r="J213" s="12"/>
      <c r="K213" s="196">
        <f>ROUND(337.5*(1-$G$4),2)</f>
        <v>327.38</v>
      </c>
      <c r="L213" s="261">
        <v>2014</v>
      </c>
      <c r="M213" s="261" t="s">
        <v>1231</v>
      </c>
      <c r="N213" s="261">
        <v>12</v>
      </c>
      <c r="O213" s="283" t="s">
        <v>1233</v>
      </c>
      <c r="P213" s="261">
        <v>88</v>
      </c>
      <c r="Q213" s="523">
        <v>7</v>
      </c>
      <c r="R213" s="321">
        <v>9785462015205</v>
      </c>
      <c r="S213" s="892" t="s">
        <v>1807</v>
      </c>
      <c r="T213" s="288">
        <v>0.385</v>
      </c>
      <c r="U213" s="942" t="s">
        <v>313</v>
      </c>
      <c r="V213" s="360" t="e">
        <f>VLOOKUP(A213,#REF!,10,FALSE)</f>
        <v>#REF!</v>
      </c>
    </row>
    <row r="214" spans="1:22" ht="27" customHeight="1">
      <c r="A214" s="737">
        <v>71481</v>
      </c>
      <c r="B214" s="1001">
        <v>248</v>
      </c>
      <c r="C214" s="557" t="s">
        <v>346</v>
      </c>
      <c r="D214" s="79" t="s">
        <v>1311</v>
      </c>
      <c r="E214" s="158" t="s">
        <v>348</v>
      </c>
      <c r="F214" s="158" t="s">
        <v>345</v>
      </c>
      <c r="G214" s="403"/>
      <c r="H214" s="182"/>
      <c r="I214" s="1140"/>
      <c r="K214" s="196">
        <f>ROUND(600*(1-$G$4),2)</f>
        <v>582</v>
      </c>
      <c r="L214" s="331">
        <v>2016</v>
      </c>
      <c r="M214" s="261" t="s">
        <v>1231</v>
      </c>
      <c r="N214" s="148">
        <v>12</v>
      </c>
      <c r="O214" s="311" t="s">
        <v>1233</v>
      </c>
      <c r="P214" s="148">
        <v>128</v>
      </c>
      <c r="Q214" s="470">
        <v>7</v>
      </c>
      <c r="R214" s="321" t="s">
        <v>347</v>
      </c>
      <c r="S214" s="357" t="s">
        <v>1888</v>
      </c>
      <c r="T214" s="288">
        <v>0.55</v>
      </c>
      <c r="U214" s="942" t="s">
        <v>313</v>
      </c>
      <c r="V214" s="360" t="e">
        <f>VLOOKUP(A214,#REF!,10,FALSE)</f>
        <v>#REF!</v>
      </c>
    </row>
    <row r="215" spans="1:22" ht="27" customHeight="1">
      <c r="A215" s="718">
        <v>71442</v>
      </c>
      <c r="B215" s="1000">
        <v>140</v>
      </c>
      <c r="C215" s="719" t="s">
        <v>262</v>
      </c>
      <c r="D215" s="79" t="s">
        <v>1311</v>
      </c>
      <c r="E215" s="158" t="s">
        <v>1353</v>
      </c>
      <c r="F215" s="158" t="s">
        <v>323</v>
      </c>
      <c r="G215" s="91"/>
      <c r="H215" s="171" t="s">
        <v>1320</v>
      </c>
      <c r="I215" s="1066"/>
      <c r="J215" s="85"/>
      <c r="K215" s="196">
        <f>ROUND(450*(1-$G$4),2)</f>
        <v>436.5</v>
      </c>
      <c r="L215" s="262">
        <v>2016</v>
      </c>
      <c r="M215" s="261" t="s">
        <v>1231</v>
      </c>
      <c r="N215" s="262">
        <v>10</v>
      </c>
      <c r="O215" s="396" t="s">
        <v>1233</v>
      </c>
      <c r="P215" s="262">
        <v>208</v>
      </c>
      <c r="Q215" s="526">
        <v>7</v>
      </c>
      <c r="R215" s="321" t="s">
        <v>2051</v>
      </c>
      <c r="S215" s="892" t="s">
        <v>1807</v>
      </c>
      <c r="T215" s="288">
        <v>0.78</v>
      </c>
      <c r="U215" s="942" t="s">
        <v>313</v>
      </c>
      <c r="V215" s="360" t="e">
        <f>VLOOKUP(A215,#REF!,10,FALSE)</f>
        <v>#REF!</v>
      </c>
    </row>
    <row r="216" spans="1:22" ht="27" customHeight="1">
      <c r="A216" s="724">
        <v>70593</v>
      </c>
      <c r="B216" s="1002">
        <v>648</v>
      </c>
      <c r="C216" s="731" t="s">
        <v>1354</v>
      </c>
      <c r="D216" s="79" t="s">
        <v>1311</v>
      </c>
      <c r="E216" s="510" t="s">
        <v>1355</v>
      </c>
      <c r="F216" s="94" t="s">
        <v>1616</v>
      </c>
      <c r="G216" s="527" t="s">
        <v>1218</v>
      </c>
      <c r="H216" s="11"/>
      <c r="I216" s="1071"/>
      <c r="J216" s="12"/>
      <c r="K216" s="196">
        <f>ROUND(375*(1-$G$4),2)</f>
        <v>363.75</v>
      </c>
      <c r="L216" s="261">
        <v>2014</v>
      </c>
      <c r="M216" s="261" t="s">
        <v>1231</v>
      </c>
      <c r="N216" s="261">
        <v>12</v>
      </c>
      <c r="O216" s="284" t="s">
        <v>1233</v>
      </c>
      <c r="P216" s="283">
        <v>128</v>
      </c>
      <c r="Q216" s="310" t="s">
        <v>1232</v>
      </c>
      <c r="R216" s="321" t="s">
        <v>2053</v>
      </c>
      <c r="S216" s="142" t="s">
        <v>1807</v>
      </c>
      <c r="T216" s="288">
        <v>0.59</v>
      </c>
      <c r="U216" s="942" t="s">
        <v>313</v>
      </c>
      <c r="V216" s="360" t="e">
        <f>VLOOKUP(A216,#REF!,10,FALSE)</f>
        <v>#REF!</v>
      </c>
    </row>
    <row r="217" spans="1:22" ht="27" customHeight="1">
      <c r="A217" s="724">
        <v>70248</v>
      </c>
      <c r="B217" s="1002">
        <v>692</v>
      </c>
      <c r="C217" s="731" t="s">
        <v>1356</v>
      </c>
      <c r="D217" s="79" t="s">
        <v>1311</v>
      </c>
      <c r="E217" s="94" t="s">
        <v>1357</v>
      </c>
      <c r="F217" s="510" t="s">
        <v>1617</v>
      </c>
      <c r="G217" s="511" t="s">
        <v>1218</v>
      </c>
      <c r="H217" s="13"/>
      <c r="I217" s="1071" t="s">
        <v>1230</v>
      </c>
      <c r="J217" s="12"/>
      <c r="K217" s="196">
        <f>ROUND(337.5*(1-$G$4),2)</f>
        <v>327.38</v>
      </c>
      <c r="L217" s="261">
        <v>2013</v>
      </c>
      <c r="M217" s="261" t="s">
        <v>1231</v>
      </c>
      <c r="N217" s="261">
        <v>10</v>
      </c>
      <c r="O217" s="284" t="s">
        <v>1233</v>
      </c>
      <c r="P217" s="283">
        <v>136</v>
      </c>
      <c r="Q217" s="310" t="s">
        <v>1232</v>
      </c>
      <c r="R217" s="321" t="s">
        <v>2052</v>
      </c>
      <c r="S217" s="142" t="s">
        <v>1807</v>
      </c>
      <c r="T217" s="288">
        <v>0.597</v>
      </c>
      <c r="U217" s="942" t="s">
        <v>313</v>
      </c>
      <c r="V217" s="360" t="e">
        <f>VLOOKUP(A217,#REF!,10,FALSE)</f>
        <v>#REF!</v>
      </c>
    </row>
    <row r="218" spans="1:22" ht="27" customHeight="1">
      <c r="A218" s="724">
        <v>70027</v>
      </c>
      <c r="B218" s="1002">
        <v>407</v>
      </c>
      <c r="C218" s="731" t="s">
        <v>1358</v>
      </c>
      <c r="D218" s="79" t="s">
        <v>1311</v>
      </c>
      <c r="E218" s="94" t="s">
        <v>1359</v>
      </c>
      <c r="F218" s="94" t="s">
        <v>1618</v>
      </c>
      <c r="G218" s="518" t="s">
        <v>1218</v>
      </c>
      <c r="H218" s="21" t="s">
        <v>1321</v>
      </c>
      <c r="I218" s="1071"/>
      <c r="J218" s="12"/>
      <c r="K218" s="196">
        <v>100</v>
      </c>
      <c r="L218" s="261">
        <v>2012</v>
      </c>
      <c r="M218" s="261" t="s">
        <v>1231</v>
      </c>
      <c r="N218" s="261">
        <v>14</v>
      </c>
      <c r="O218" s="284" t="s">
        <v>1233</v>
      </c>
      <c r="P218" s="283">
        <v>80</v>
      </c>
      <c r="Q218" s="310" t="s">
        <v>1232</v>
      </c>
      <c r="R218" s="321" t="s">
        <v>2054</v>
      </c>
      <c r="S218" s="142" t="s">
        <v>1807</v>
      </c>
      <c r="T218" s="288">
        <v>0.491</v>
      </c>
      <c r="U218" s="942" t="s">
        <v>313</v>
      </c>
      <c r="V218" s="360" t="e">
        <f>VLOOKUP(A218,#REF!,10,FALSE)</f>
        <v>#REF!</v>
      </c>
    </row>
    <row r="219" spans="1:22" ht="27" customHeight="1">
      <c r="A219" s="724">
        <v>71672</v>
      </c>
      <c r="B219" s="1002">
        <v>147</v>
      </c>
      <c r="C219" s="731" t="s">
        <v>474</v>
      </c>
      <c r="D219" s="79" t="s">
        <v>1311</v>
      </c>
      <c r="E219" s="94" t="s">
        <v>475</v>
      </c>
      <c r="F219" s="94" t="s">
        <v>477</v>
      </c>
      <c r="G219" s="518"/>
      <c r="H219" s="182"/>
      <c r="I219" s="1071"/>
      <c r="J219" s="12"/>
      <c r="K219" s="196">
        <f>ROUND(703*(1-$G$4),2)</f>
        <v>681.91</v>
      </c>
      <c r="L219" s="261">
        <v>2016</v>
      </c>
      <c r="M219" s="261" t="s">
        <v>1231</v>
      </c>
      <c r="N219" s="261">
        <v>8</v>
      </c>
      <c r="O219" s="284" t="s">
        <v>476</v>
      </c>
      <c r="P219" s="283">
        <v>144</v>
      </c>
      <c r="Q219" s="310" t="s">
        <v>1232</v>
      </c>
      <c r="R219" s="321">
        <v>9785462018503</v>
      </c>
      <c r="S219" s="142" t="s">
        <v>1807</v>
      </c>
      <c r="T219" s="288">
        <v>0.715</v>
      </c>
      <c r="U219" s="942" t="s">
        <v>313</v>
      </c>
      <c r="V219" s="360" t="e">
        <f>VLOOKUP(A219,#REF!,10,FALSE)</f>
        <v>#REF!</v>
      </c>
    </row>
    <row r="220" spans="1:22" ht="27" customHeight="1">
      <c r="A220" s="721">
        <v>68895</v>
      </c>
      <c r="B220" s="1001">
        <v>482</v>
      </c>
      <c r="C220" s="774" t="s">
        <v>1360</v>
      </c>
      <c r="D220" s="79" t="s">
        <v>1311</v>
      </c>
      <c r="E220" s="116" t="s">
        <v>1361</v>
      </c>
      <c r="F220" s="116" t="s">
        <v>1619</v>
      </c>
      <c r="G220" s="519" t="s">
        <v>1218</v>
      </c>
      <c r="H220" s="18" t="s">
        <v>1321</v>
      </c>
      <c r="I220" s="863"/>
      <c r="J220" s="15"/>
      <c r="K220" s="201">
        <v>160</v>
      </c>
      <c r="L220" s="148">
        <v>2010</v>
      </c>
      <c r="M220" s="148" t="s">
        <v>1231</v>
      </c>
      <c r="N220" s="148">
        <v>8</v>
      </c>
      <c r="O220" s="272" t="s">
        <v>1233</v>
      </c>
      <c r="P220" s="311">
        <v>152</v>
      </c>
      <c r="Q220" s="318" t="s">
        <v>1232</v>
      </c>
      <c r="R220" s="322" t="s">
        <v>2055</v>
      </c>
      <c r="S220" s="143" t="s">
        <v>1921</v>
      </c>
      <c r="T220" s="301">
        <v>0.63</v>
      </c>
      <c r="U220" s="942" t="s">
        <v>313</v>
      </c>
      <c r="V220" s="360" t="e">
        <f>VLOOKUP(A220,#REF!,10,FALSE)</f>
        <v>#REF!</v>
      </c>
    </row>
    <row r="221" spans="1:22" ht="27" customHeight="1">
      <c r="A221" s="724">
        <v>70500</v>
      </c>
      <c r="B221" s="1002">
        <v>336</v>
      </c>
      <c r="C221" s="689" t="s">
        <v>1362</v>
      </c>
      <c r="D221" s="79" t="s">
        <v>1311</v>
      </c>
      <c r="E221" s="510" t="s">
        <v>1363</v>
      </c>
      <c r="F221" s="510" t="s">
        <v>1620</v>
      </c>
      <c r="G221" s="511" t="s">
        <v>1218</v>
      </c>
      <c r="H221" s="16"/>
      <c r="I221" s="1071"/>
      <c r="J221" s="12"/>
      <c r="K221" s="196">
        <f>ROUND(262.5*(1-$G$4),2)</f>
        <v>254.63</v>
      </c>
      <c r="L221" s="261">
        <v>2014</v>
      </c>
      <c r="M221" s="261" t="s">
        <v>1231</v>
      </c>
      <c r="N221" s="261">
        <v>16</v>
      </c>
      <c r="O221" s="284" t="s">
        <v>1233</v>
      </c>
      <c r="P221" s="283">
        <v>64</v>
      </c>
      <c r="Q221" s="310" t="s">
        <v>1232</v>
      </c>
      <c r="R221" s="321" t="s">
        <v>2056</v>
      </c>
      <c r="S221" s="142" t="s">
        <v>1807</v>
      </c>
      <c r="T221" s="288">
        <v>0.44</v>
      </c>
      <c r="U221" s="942" t="s">
        <v>313</v>
      </c>
      <c r="V221" s="360" t="e">
        <f>VLOOKUP(A221,#REF!,10,FALSE)</f>
        <v>#REF!</v>
      </c>
    </row>
    <row r="222" spans="1:22" ht="27" customHeight="1">
      <c r="A222" s="724">
        <v>70254</v>
      </c>
      <c r="B222" s="1002">
        <v>547</v>
      </c>
      <c r="C222" s="731" t="s">
        <v>1364</v>
      </c>
      <c r="D222" s="79" t="s">
        <v>1311</v>
      </c>
      <c r="E222" s="94" t="s">
        <v>1365</v>
      </c>
      <c r="F222" s="94" t="s">
        <v>1621</v>
      </c>
      <c r="G222" s="518" t="s">
        <v>1218</v>
      </c>
      <c r="H222" s="13"/>
      <c r="I222" s="1071"/>
      <c r="J222" s="12"/>
      <c r="K222" s="196">
        <f>ROUND(315*(1-$G$4),2)</f>
        <v>305.55</v>
      </c>
      <c r="L222" s="261">
        <v>2013</v>
      </c>
      <c r="M222" s="261" t="s">
        <v>1231</v>
      </c>
      <c r="N222" s="261">
        <v>10</v>
      </c>
      <c r="O222" s="284" t="s">
        <v>1233</v>
      </c>
      <c r="P222" s="283">
        <v>104</v>
      </c>
      <c r="Q222" s="310" t="s">
        <v>1232</v>
      </c>
      <c r="R222" s="321" t="s">
        <v>2057</v>
      </c>
      <c r="S222" s="142" t="s">
        <v>1807</v>
      </c>
      <c r="T222" s="288">
        <v>0.576</v>
      </c>
      <c r="U222" s="942" t="s">
        <v>313</v>
      </c>
      <c r="V222" s="360" t="e">
        <f>VLOOKUP(A222,#REF!,10,FALSE)</f>
        <v>#REF!</v>
      </c>
    </row>
    <row r="223" spans="1:22" ht="27" customHeight="1">
      <c r="A223" s="751">
        <v>70612</v>
      </c>
      <c r="B223" s="1012">
        <v>408</v>
      </c>
      <c r="C223" s="752" t="s">
        <v>1366</v>
      </c>
      <c r="D223" s="494" t="s">
        <v>1311</v>
      </c>
      <c r="E223" s="157" t="s">
        <v>1367</v>
      </c>
      <c r="F223" s="157" t="s">
        <v>1622</v>
      </c>
      <c r="G223" s="495" t="s">
        <v>1218</v>
      </c>
      <c r="H223" s="346"/>
      <c r="I223" s="1061"/>
      <c r="J223" s="5"/>
      <c r="K223" s="190">
        <f>ROUND(337.5*(1-$G$4),2)</f>
        <v>327.38</v>
      </c>
      <c r="L223" s="328">
        <v>2014</v>
      </c>
      <c r="M223" s="328" t="s">
        <v>1231</v>
      </c>
      <c r="N223" s="328">
        <v>12</v>
      </c>
      <c r="O223" s="496" t="s">
        <v>1233</v>
      </c>
      <c r="P223" s="445">
        <v>88</v>
      </c>
      <c r="Q223" s="497" t="s">
        <v>1232</v>
      </c>
      <c r="R223" s="447" t="s">
        <v>2058</v>
      </c>
      <c r="S223" s="1142" t="s">
        <v>1807</v>
      </c>
      <c r="T223" s="448">
        <v>0.385</v>
      </c>
      <c r="U223" s="942" t="s">
        <v>313</v>
      </c>
      <c r="V223" s="360" t="e">
        <f>VLOOKUP(A223,#REF!,10,FALSE)</f>
        <v>#REF!</v>
      </c>
    </row>
    <row r="224" spans="1:22" ht="27" customHeight="1">
      <c r="A224" s="721">
        <v>66142</v>
      </c>
      <c r="B224" s="1001">
        <v>297</v>
      </c>
      <c r="C224" s="774" t="s">
        <v>1368</v>
      </c>
      <c r="D224" s="79" t="s">
        <v>1311</v>
      </c>
      <c r="E224" s="116" t="s">
        <v>1369</v>
      </c>
      <c r="F224" s="116" t="s">
        <v>1623</v>
      </c>
      <c r="G224" s="519" t="s">
        <v>1218</v>
      </c>
      <c r="H224" s="18" t="s">
        <v>1321</v>
      </c>
      <c r="I224" s="863"/>
      <c r="J224" s="15"/>
      <c r="K224" s="201">
        <v>100</v>
      </c>
      <c r="L224" s="148">
        <v>2010</v>
      </c>
      <c r="M224" s="148" t="s">
        <v>1231</v>
      </c>
      <c r="N224" s="148">
        <v>12</v>
      </c>
      <c r="O224" s="272" t="s">
        <v>1233</v>
      </c>
      <c r="P224" s="311">
        <v>80</v>
      </c>
      <c r="Q224" s="318" t="s">
        <v>1232</v>
      </c>
      <c r="R224" s="322" t="s">
        <v>2059</v>
      </c>
      <c r="S224" s="143" t="s">
        <v>1807</v>
      </c>
      <c r="T224" s="301">
        <v>0.46</v>
      </c>
      <c r="U224" s="942" t="s">
        <v>313</v>
      </c>
      <c r="V224" s="360" t="e">
        <f>VLOOKUP(A224,#REF!,10,FALSE)</f>
        <v>#REF!</v>
      </c>
    </row>
    <row r="225" spans="1:22" ht="27" customHeight="1">
      <c r="A225" s="1145">
        <v>70297</v>
      </c>
      <c r="B225" s="1002">
        <v>378</v>
      </c>
      <c r="C225" s="689" t="s">
        <v>1370</v>
      </c>
      <c r="D225" s="79" t="s">
        <v>1311</v>
      </c>
      <c r="E225" s="510" t="s">
        <v>1371</v>
      </c>
      <c r="F225" s="510" t="s">
        <v>1624</v>
      </c>
      <c r="G225" s="511" t="s">
        <v>1218</v>
      </c>
      <c r="H225" s="13"/>
      <c r="I225" s="1071" t="s">
        <v>1230</v>
      </c>
      <c r="J225" s="12"/>
      <c r="K225" s="196">
        <f>ROUND(375*(1-$G$4),2)</f>
        <v>363.75</v>
      </c>
      <c r="L225" s="261">
        <v>2013</v>
      </c>
      <c r="M225" s="261" t="s">
        <v>1231</v>
      </c>
      <c r="N225" s="261">
        <v>12</v>
      </c>
      <c r="O225" s="284" t="s">
        <v>1233</v>
      </c>
      <c r="P225" s="283">
        <v>128</v>
      </c>
      <c r="Q225" s="284" t="s">
        <v>1232</v>
      </c>
      <c r="R225" s="321" t="s">
        <v>2060</v>
      </c>
      <c r="S225" s="142" t="s">
        <v>1807</v>
      </c>
      <c r="T225" s="288">
        <v>0.554</v>
      </c>
      <c r="U225" s="942" t="s">
        <v>313</v>
      </c>
      <c r="V225" s="360" t="e">
        <f>VLOOKUP(A225,#REF!,10,FALSE)</f>
        <v>#REF!</v>
      </c>
    </row>
    <row r="226" spans="1:22" ht="24" customHeight="1" thickBot="1">
      <c r="A226" s="811">
        <v>69248</v>
      </c>
      <c r="B226" s="1028">
        <v>319</v>
      </c>
      <c r="C226" s="812" t="s">
        <v>1373</v>
      </c>
      <c r="D226" s="635" t="s">
        <v>1372</v>
      </c>
      <c r="E226" s="636" t="s">
        <v>1374</v>
      </c>
      <c r="F226" s="636" t="s">
        <v>1625</v>
      </c>
      <c r="G226" s="1106" t="s">
        <v>1218</v>
      </c>
      <c r="H226" s="58" t="s">
        <v>1321</v>
      </c>
      <c r="I226" s="1091"/>
      <c r="J226" s="1107"/>
      <c r="K226" s="285">
        <v>95</v>
      </c>
      <c r="L226" s="266">
        <v>2011</v>
      </c>
      <c r="M226" s="266" t="s">
        <v>1231</v>
      </c>
      <c r="N226" s="266">
        <v>14</v>
      </c>
      <c r="O226" s="274" t="s">
        <v>1233</v>
      </c>
      <c r="P226" s="637">
        <v>80</v>
      </c>
      <c r="Q226" s="274" t="s">
        <v>1232</v>
      </c>
      <c r="R226" s="480" t="s">
        <v>2094</v>
      </c>
      <c r="S226" s="1108" t="s">
        <v>1807</v>
      </c>
      <c r="T226" s="640">
        <v>0.42</v>
      </c>
      <c r="U226" s="1146" t="s">
        <v>307</v>
      </c>
      <c r="V226" s="360" t="e">
        <f>VLOOKUP(A226,#REF!,10,FALSE)</f>
        <v>#REF!</v>
      </c>
    </row>
    <row r="227" spans="1:22" ht="27" customHeight="1" thickBot="1">
      <c r="A227" s="900">
        <v>71857</v>
      </c>
      <c r="B227" s="1025">
        <v>72</v>
      </c>
      <c r="C227" s="779" t="s">
        <v>1957</v>
      </c>
      <c r="D227" s="347" t="s">
        <v>296</v>
      </c>
      <c r="E227" s="630" t="s">
        <v>1959</v>
      </c>
      <c r="F227" s="630" t="s">
        <v>1956</v>
      </c>
      <c r="G227" s="539"/>
      <c r="H227" s="171" t="s">
        <v>1320</v>
      </c>
      <c r="I227" s="1076" t="s">
        <v>1239</v>
      </c>
      <c r="J227" s="370"/>
      <c r="K227" s="196">
        <f>ROUND(320*(1-$G$4),2)</f>
        <v>310.4</v>
      </c>
      <c r="L227" s="332">
        <v>2017</v>
      </c>
      <c r="M227" s="847" t="s">
        <v>1231</v>
      </c>
      <c r="N227" s="332">
        <v>24</v>
      </c>
      <c r="O227" s="537" t="s">
        <v>1346</v>
      </c>
      <c r="P227" s="332">
        <v>88</v>
      </c>
      <c r="Q227" s="537" t="s">
        <v>1235</v>
      </c>
      <c r="R227" s="326" t="s">
        <v>1958</v>
      </c>
      <c r="S227" s="1143" t="s">
        <v>1888</v>
      </c>
      <c r="T227" s="848">
        <v>0.33</v>
      </c>
      <c r="U227" s="940" t="s">
        <v>313</v>
      </c>
      <c r="V227" s="360" t="e">
        <f>VLOOKUP(A227,#REF!,10,FALSE)</f>
        <v>#REF!</v>
      </c>
    </row>
    <row r="228" spans="1:22" ht="27" customHeight="1" thickBot="1">
      <c r="A228" s="780">
        <v>71379</v>
      </c>
      <c r="B228" s="1026">
        <v>763</v>
      </c>
      <c r="C228" s="781" t="s">
        <v>2004</v>
      </c>
      <c r="D228" s="248" t="s">
        <v>874</v>
      </c>
      <c r="E228" s="540" t="s">
        <v>2005</v>
      </c>
      <c r="F228" s="541" t="s">
        <v>2003</v>
      </c>
      <c r="G228" s="542"/>
      <c r="H228" s="249"/>
      <c r="I228" s="1077"/>
      <c r="J228" s="250"/>
      <c r="K228" s="204">
        <f>ROUND(712.5*(1-$G$4),2)</f>
        <v>691.13</v>
      </c>
      <c r="L228" s="333">
        <v>2015</v>
      </c>
      <c r="M228" s="333" t="s">
        <v>1231</v>
      </c>
      <c r="N228" s="333">
        <v>1</v>
      </c>
      <c r="O228" s="426" t="s">
        <v>1233</v>
      </c>
      <c r="P228" s="543">
        <v>240</v>
      </c>
      <c r="Q228" s="251" t="s">
        <v>1235</v>
      </c>
      <c r="R228" s="544" t="s">
        <v>43</v>
      </c>
      <c r="S228" s="1144" t="s">
        <v>1807</v>
      </c>
      <c r="T228" s="545">
        <v>0.811</v>
      </c>
      <c r="U228" s="940" t="s">
        <v>313</v>
      </c>
      <c r="V228" s="360" t="e">
        <f>VLOOKUP(A228,#REF!,10,FALSE)</f>
        <v>#REF!</v>
      </c>
    </row>
    <row r="229" spans="1:22" ht="27" customHeight="1" thickBot="1">
      <c r="A229" s="780">
        <v>71858</v>
      </c>
      <c r="B229" s="1026"/>
      <c r="C229" s="781" t="s">
        <v>803</v>
      </c>
      <c r="D229" s="248" t="s">
        <v>1379</v>
      </c>
      <c r="E229" s="540" t="s">
        <v>805</v>
      </c>
      <c r="F229" s="541" t="s">
        <v>802</v>
      </c>
      <c r="G229" s="542"/>
      <c r="H229" s="1136" t="s">
        <v>1238</v>
      </c>
      <c r="I229" s="1077" t="s">
        <v>1239</v>
      </c>
      <c r="J229" s="250"/>
      <c r="K229" s="204">
        <f>ROUND(344*(1-$G$4),2)</f>
        <v>333.68</v>
      </c>
      <c r="L229" s="333">
        <v>2017</v>
      </c>
      <c r="M229" s="333" t="s">
        <v>1231</v>
      </c>
      <c r="N229" s="333">
        <v>10</v>
      </c>
      <c r="O229" s="426" t="s">
        <v>806</v>
      </c>
      <c r="P229" s="543">
        <v>80</v>
      </c>
      <c r="Q229" s="251" t="s">
        <v>1235</v>
      </c>
      <c r="R229" s="544" t="s">
        <v>804</v>
      </c>
      <c r="S229" s="1144" t="s">
        <v>1888</v>
      </c>
      <c r="T229" s="545">
        <v>0.39</v>
      </c>
      <c r="U229" s="940" t="s">
        <v>313</v>
      </c>
      <c r="V229" s="360"/>
    </row>
    <row r="230" spans="1:22" ht="27" customHeight="1">
      <c r="A230" s="758">
        <v>71109</v>
      </c>
      <c r="B230" s="1014">
        <v>258</v>
      </c>
      <c r="C230" s="782" t="s">
        <v>1552</v>
      </c>
      <c r="D230" s="561" t="s">
        <v>1379</v>
      </c>
      <c r="E230" s="538" t="s">
        <v>1553</v>
      </c>
      <c r="F230" s="538" t="s">
        <v>1575</v>
      </c>
      <c r="G230" s="546" t="s">
        <v>1218</v>
      </c>
      <c r="H230" s="246"/>
      <c r="I230" s="1075"/>
      <c r="J230" s="474"/>
      <c r="K230" s="198">
        <f>ROUND(262.5*(1-$G$4),2)</f>
        <v>254.63</v>
      </c>
      <c r="L230" s="260">
        <v>2015</v>
      </c>
      <c r="M230" s="547">
        <v>0.1</v>
      </c>
      <c r="N230" s="260">
        <v>24</v>
      </c>
      <c r="O230" s="475" t="s">
        <v>1346</v>
      </c>
      <c r="P230" s="260">
        <v>64</v>
      </c>
      <c r="Q230" s="476" t="s">
        <v>1235</v>
      </c>
      <c r="R230" s="469" t="s">
        <v>39</v>
      </c>
      <c r="S230" s="1597" t="s">
        <v>1807</v>
      </c>
      <c r="T230" s="300">
        <v>0.253</v>
      </c>
      <c r="U230" s="1138" t="s">
        <v>313</v>
      </c>
      <c r="V230" s="360" t="e">
        <f>VLOOKUP(A230,#REF!,10,FALSE)</f>
        <v>#REF!</v>
      </c>
    </row>
    <row r="231" spans="1:22" ht="27" customHeight="1">
      <c r="A231" s="721">
        <v>71335</v>
      </c>
      <c r="B231" s="1001">
        <v>552</v>
      </c>
      <c r="C231" s="749" t="s">
        <v>1949</v>
      </c>
      <c r="D231" s="116" t="s">
        <v>1379</v>
      </c>
      <c r="E231" s="158" t="s">
        <v>1952</v>
      </c>
      <c r="F231" s="158" t="s">
        <v>1951</v>
      </c>
      <c r="G231" s="397"/>
      <c r="H231" s="101"/>
      <c r="I231" s="1071" t="s">
        <v>1239</v>
      </c>
      <c r="J231" s="85"/>
      <c r="K231" s="196">
        <f>ROUND(240*(1-$G$4),2)</f>
        <v>232.8</v>
      </c>
      <c r="L231" s="148">
        <v>2016</v>
      </c>
      <c r="M231" s="465">
        <v>0.1</v>
      </c>
      <c r="N231" s="148">
        <v>24</v>
      </c>
      <c r="O231" s="311" t="s">
        <v>1346</v>
      </c>
      <c r="P231" s="148">
        <v>48</v>
      </c>
      <c r="Q231" s="549" t="s">
        <v>1235</v>
      </c>
      <c r="R231" s="322" t="s">
        <v>1950</v>
      </c>
      <c r="S231" s="615" t="s">
        <v>1888</v>
      </c>
      <c r="T231" s="300">
        <v>0.27</v>
      </c>
      <c r="U231" s="942" t="s">
        <v>313</v>
      </c>
      <c r="V231" s="360" t="e">
        <f>VLOOKUP(A231,#REF!,10,FALSE)</f>
        <v>#REF!</v>
      </c>
    </row>
    <row r="232" spans="1:22" ht="27" customHeight="1">
      <c r="A232" s="721">
        <v>70822</v>
      </c>
      <c r="B232" s="1001">
        <v>553</v>
      </c>
      <c r="C232" s="749" t="s">
        <v>1378</v>
      </c>
      <c r="D232" s="116" t="s">
        <v>1379</v>
      </c>
      <c r="E232" s="158" t="s">
        <v>1380</v>
      </c>
      <c r="F232" s="158" t="s">
        <v>1381</v>
      </c>
      <c r="G232" s="550" t="s">
        <v>1218</v>
      </c>
      <c r="H232" s="243"/>
      <c r="I232" s="1066"/>
      <c r="J232" s="91"/>
      <c r="K232" s="196">
        <f aca="true" t="shared" si="6" ref="K232:K240">ROUND(262.5*(1-$G$4),2)</f>
        <v>254.63</v>
      </c>
      <c r="L232" s="334">
        <v>2014</v>
      </c>
      <c r="M232" s="465">
        <v>0.1</v>
      </c>
      <c r="N232" s="148">
        <v>24</v>
      </c>
      <c r="O232" s="311" t="s">
        <v>1346</v>
      </c>
      <c r="P232" s="148">
        <v>64</v>
      </c>
      <c r="Q232" s="134" t="s">
        <v>1235</v>
      </c>
      <c r="R232" s="322" t="s">
        <v>40</v>
      </c>
      <c r="S232" s="617" t="s">
        <v>1807</v>
      </c>
      <c r="T232" s="301">
        <v>0.25</v>
      </c>
      <c r="U232" s="942" t="s">
        <v>313</v>
      </c>
      <c r="V232" s="360" t="e">
        <f>VLOOKUP(A232,#REF!,10,FALSE)</f>
        <v>#REF!</v>
      </c>
    </row>
    <row r="233" spans="1:22" ht="27" customHeight="1">
      <c r="A233" s="721">
        <v>70808</v>
      </c>
      <c r="B233" s="1001"/>
      <c r="C233" s="749" t="s">
        <v>652</v>
      </c>
      <c r="D233" s="116" t="s">
        <v>1379</v>
      </c>
      <c r="E233" s="158" t="s">
        <v>655</v>
      </c>
      <c r="F233" s="158" t="s">
        <v>654</v>
      </c>
      <c r="G233" s="348"/>
      <c r="H233" s="404"/>
      <c r="I233" s="348"/>
      <c r="J233" s="404"/>
      <c r="K233" s="196">
        <f t="shared" si="6"/>
        <v>254.63</v>
      </c>
      <c r="L233" s="334">
        <v>2014</v>
      </c>
      <c r="M233" s="465">
        <v>0.1</v>
      </c>
      <c r="N233" s="148">
        <v>24</v>
      </c>
      <c r="O233" s="311" t="s">
        <v>1346</v>
      </c>
      <c r="P233" s="334">
        <v>64</v>
      </c>
      <c r="Q233" s="465" t="s">
        <v>1235</v>
      </c>
      <c r="R233" s="322" t="s">
        <v>653</v>
      </c>
      <c r="S233" s="617" t="s">
        <v>1807</v>
      </c>
      <c r="T233" s="301">
        <v>0.25</v>
      </c>
      <c r="U233" s="942" t="s">
        <v>313</v>
      </c>
      <c r="V233" s="360"/>
    </row>
    <row r="234" spans="1:22" ht="27" customHeight="1">
      <c r="A234" s="721">
        <v>71173</v>
      </c>
      <c r="B234" s="1001">
        <v>348</v>
      </c>
      <c r="C234" s="749" t="s">
        <v>1842</v>
      </c>
      <c r="D234" s="79" t="s">
        <v>1379</v>
      </c>
      <c r="E234" s="158" t="s">
        <v>1844</v>
      </c>
      <c r="F234" s="158" t="s">
        <v>1843</v>
      </c>
      <c r="G234" s="483" t="s">
        <v>1218</v>
      </c>
      <c r="H234" s="26"/>
      <c r="I234" s="1066" t="s">
        <v>1546</v>
      </c>
      <c r="J234" s="91"/>
      <c r="K234" s="196">
        <f t="shared" si="6"/>
        <v>254.63</v>
      </c>
      <c r="L234" s="334">
        <v>2015</v>
      </c>
      <c r="M234" s="465">
        <v>0.1</v>
      </c>
      <c r="N234" s="148">
        <v>24</v>
      </c>
      <c r="O234" s="311" t="s">
        <v>1346</v>
      </c>
      <c r="P234" s="148">
        <v>48</v>
      </c>
      <c r="Q234" s="134" t="s">
        <v>1235</v>
      </c>
      <c r="R234" s="322" t="s">
        <v>41</v>
      </c>
      <c r="S234" s="906" t="s">
        <v>1808</v>
      </c>
      <c r="T234" s="301">
        <v>0.2</v>
      </c>
      <c r="U234" s="942" t="s">
        <v>313</v>
      </c>
      <c r="V234" s="360" t="e">
        <f>VLOOKUP(A234,#REF!,10,FALSE)</f>
        <v>#REF!</v>
      </c>
    </row>
    <row r="235" spans="1:22" ht="27" customHeight="1">
      <c r="A235" s="721">
        <v>71022</v>
      </c>
      <c r="B235" s="1001">
        <v>359</v>
      </c>
      <c r="C235" s="749" t="s">
        <v>1526</v>
      </c>
      <c r="D235" s="79" t="s">
        <v>1379</v>
      </c>
      <c r="E235" s="158" t="s">
        <v>1528</v>
      </c>
      <c r="F235" s="158" t="s">
        <v>1527</v>
      </c>
      <c r="G235" s="511" t="s">
        <v>1218</v>
      </c>
      <c r="H235" s="169" t="s">
        <v>1320</v>
      </c>
      <c r="I235" s="1071"/>
      <c r="J235" s="27"/>
      <c r="K235" s="196">
        <f t="shared" si="6"/>
        <v>254.63</v>
      </c>
      <c r="L235" s="334">
        <v>2015</v>
      </c>
      <c r="M235" s="261" t="s">
        <v>1231</v>
      </c>
      <c r="N235" s="261">
        <v>20</v>
      </c>
      <c r="O235" s="283" t="s">
        <v>1233</v>
      </c>
      <c r="P235" s="261">
        <v>64</v>
      </c>
      <c r="Q235" s="135" t="s">
        <v>1235</v>
      </c>
      <c r="R235" s="321" t="s">
        <v>42</v>
      </c>
      <c r="S235" s="892" t="s">
        <v>1807</v>
      </c>
      <c r="T235" s="288">
        <v>0.235</v>
      </c>
      <c r="U235" s="942" t="s">
        <v>313</v>
      </c>
      <c r="V235" s="360" t="e">
        <f>VLOOKUP(A235,#REF!,10,FALSE)</f>
        <v>#REF!</v>
      </c>
    </row>
    <row r="236" spans="1:22" ht="27" customHeight="1">
      <c r="A236" s="721">
        <v>70913</v>
      </c>
      <c r="B236" s="1001">
        <v>332</v>
      </c>
      <c r="C236" s="749" t="s">
        <v>1482</v>
      </c>
      <c r="D236" s="79" t="s">
        <v>1379</v>
      </c>
      <c r="E236" s="158" t="s">
        <v>1483</v>
      </c>
      <c r="F236" s="158" t="s">
        <v>1626</v>
      </c>
      <c r="G236" s="525" t="s">
        <v>1218</v>
      </c>
      <c r="H236" s="14"/>
      <c r="I236" s="1071"/>
      <c r="J236" s="27"/>
      <c r="K236" s="196">
        <f t="shared" si="6"/>
        <v>254.63</v>
      </c>
      <c r="L236" s="334">
        <v>2015</v>
      </c>
      <c r="M236" s="261" t="s">
        <v>1231</v>
      </c>
      <c r="N236" s="261">
        <v>24</v>
      </c>
      <c r="O236" s="283" t="s">
        <v>1233</v>
      </c>
      <c r="P236" s="261">
        <v>64</v>
      </c>
      <c r="Q236" s="135" t="s">
        <v>1235</v>
      </c>
      <c r="R236" s="321" t="s">
        <v>44</v>
      </c>
      <c r="S236" s="892" t="s">
        <v>1807</v>
      </c>
      <c r="T236" s="288">
        <v>0.25</v>
      </c>
      <c r="U236" s="942" t="s">
        <v>313</v>
      </c>
      <c r="V236" s="360" t="e">
        <f>VLOOKUP(A236,#REF!,10,FALSE)</f>
        <v>#REF!</v>
      </c>
    </row>
    <row r="237" spans="1:22" ht="27" customHeight="1">
      <c r="A237" s="724">
        <v>70823</v>
      </c>
      <c r="B237" s="1002">
        <v>238</v>
      </c>
      <c r="C237" s="783" t="s">
        <v>1382</v>
      </c>
      <c r="D237" s="79" t="s">
        <v>1379</v>
      </c>
      <c r="E237" s="510" t="s">
        <v>1343</v>
      </c>
      <c r="F237" s="510" t="s">
        <v>1383</v>
      </c>
      <c r="G237" s="511" t="s">
        <v>1218</v>
      </c>
      <c r="H237" s="14"/>
      <c r="I237" s="1071"/>
      <c r="J237" s="27"/>
      <c r="K237" s="196">
        <f t="shared" si="6"/>
        <v>254.63</v>
      </c>
      <c r="L237" s="334">
        <v>2015</v>
      </c>
      <c r="M237" s="261" t="s">
        <v>1231</v>
      </c>
      <c r="N237" s="261">
        <v>20</v>
      </c>
      <c r="O237" s="283" t="s">
        <v>1233</v>
      </c>
      <c r="P237" s="261">
        <v>64</v>
      </c>
      <c r="Q237" s="135" t="s">
        <v>1235</v>
      </c>
      <c r="R237" s="321" t="s">
        <v>45</v>
      </c>
      <c r="S237" s="892" t="s">
        <v>1807</v>
      </c>
      <c r="T237" s="288">
        <v>0.23</v>
      </c>
      <c r="U237" s="942" t="s">
        <v>313</v>
      </c>
      <c r="V237" s="360" t="e">
        <f>VLOOKUP(A237,#REF!,10,FALSE)</f>
        <v>#REF!</v>
      </c>
    </row>
    <row r="238" spans="1:22" ht="27" customHeight="1">
      <c r="A238" s="724">
        <v>71773</v>
      </c>
      <c r="B238" s="1002"/>
      <c r="C238" s="783" t="s">
        <v>608</v>
      </c>
      <c r="D238" s="79" t="s">
        <v>1379</v>
      </c>
      <c r="E238" s="510" t="s">
        <v>610</v>
      </c>
      <c r="F238" s="510" t="s">
        <v>607</v>
      </c>
      <c r="G238" s="511"/>
      <c r="H238" s="129" t="s">
        <v>1238</v>
      </c>
      <c r="I238" s="863" t="s">
        <v>1239</v>
      </c>
      <c r="J238" s="27"/>
      <c r="K238" s="196">
        <f>ROUND(372*(1-$G$4),2)</f>
        <v>360.84</v>
      </c>
      <c r="L238" s="334">
        <v>2016</v>
      </c>
      <c r="M238" s="261" t="s">
        <v>1231</v>
      </c>
      <c r="N238" s="261">
        <v>24</v>
      </c>
      <c r="O238" s="283" t="s">
        <v>1346</v>
      </c>
      <c r="P238" s="261">
        <v>96</v>
      </c>
      <c r="Q238" s="283" t="s">
        <v>1235</v>
      </c>
      <c r="R238" s="684" t="s">
        <v>609</v>
      </c>
      <c r="S238" s="907" t="s">
        <v>1888</v>
      </c>
      <c r="T238" s="1415">
        <v>0.33</v>
      </c>
      <c r="U238" s="942" t="s">
        <v>313</v>
      </c>
      <c r="V238" s="360"/>
    </row>
    <row r="239" spans="1:22" ht="27" customHeight="1">
      <c r="A239" s="721">
        <v>71551</v>
      </c>
      <c r="B239" s="1001">
        <v>298</v>
      </c>
      <c r="C239" s="749" t="s">
        <v>659</v>
      </c>
      <c r="D239" s="79" t="s">
        <v>1379</v>
      </c>
      <c r="E239" s="158" t="s">
        <v>1849</v>
      </c>
      <c r="F239" s="158" t="s">
        <v>1855</v>
      </c>
      <c r="G239" s="483" t="s">
        <v>1218</v>
      </c>
      <c r="H239" s="169" t="s">
        <v>1320</v>
      </c>
      <c r="I239" s="863" t="s">
        <v>1239</v>
      </c>
      <c r="J239" s="85"/>
      <c r="K239" s="196">
        <f>ROUND(285*(1-$G$4),2)</f>
        <v>276.45</v>
      </c>
      <c r="L239" s="334">
        <v>2016</v>
      </c>
      <c r="M239" s="261" t="s">
        <v>1231</v>
      </c>
      <c r="N239" s="148">
        <v>24</v>
      </c>
      <c r="O239" s="283" t="s">
        <v>1233</v>
      </c>
      <c r="P239" s="148">
        <v>80</v>
      </c>
      <c r="Q239" s="134" t="s">
        <v>1235</v>
      </c>
      <c r="R239" s="322" t="s">
        <v>660</v>
      </c>
      <c r="S239" s="892" t="s">
        <v>1888</v>
      </c>
      <c r="T239" s="288">
        <v>0.2</v>
      </c>
      <c r="U239" s="942" t="s">
        <v>313</v>
      </c>
      <c r="V239" s="360" t="e">
        <f>VLOOKUP(A239,#REF!,10,FALSE)</f>
        <v>#REF!</v>
      </c>
    </row>
    <row r="240" spans="1:22" ht="27" customHeight="1">
      <c r="A240" s="721">
        <v>71212</v>
      </c>
      <c r="B240" s="1001">
        <v>598</v>
      </c>
      <c r="C240" s="749" t="s">
        <v>2006</v>
      </c>
      <c r="D240" s="79" t="s">
        <v>1379</v>
      </c>
      <c r="E240" s="158" t="s">
        <v>1506</v>
      </c>
      <c r="F240" s="158" t="s">
        <v>1627</v>
      </c>
      <c r="G240" s="551" t="s">
        <v>1218</v>
      </c>
      <c r="H240" s="178"/>
      <c r="I240" s="863"/>
      <c r="J240" s="85"/>
      <c r="K240" s="196">
        <f t="shared" si="6"/>
        <v>254.63</v>
      </c>
      <c r="L240" s="334">
        <v>2015</v>
      </c>
      <c r="M240" s="261" t="s">
        <v>1231</v>
      </c>
      <c r="N240" s="148">
        <v>24</v>
      </c>
      <c r="O240" s="311" t="s">
        <v>1346</v>
      </c>
      <c r="P240" s="148">
        <v>80</v>
      </c>
      <c r="Q240" s="134" t="s">
        <v>1235</v>
      </c>
      <c r="R240" s="322" t="s">
        <v>46</v>
      </c>
      <c r="S240" s="892" t="s">
        <v>1888</v>
      </c>
      <c r="T240" s="301">
        <v>0.3</v>
      </c>
      <c r="U240" s="942" t="s">
        <v>313</v>
      </c>
      <c r="V240" s="360" t="e">
        <f>VLOOKUP(A240,#REF!,10,FALSE)</f>
        <v>#REF!</v>
      </c>
    </row>
    <row r="241" spans="1:22" ht="27" customHeight="1">
      <c r="A241" s="721">
        <v>71363</v>
      </c>
      <c r="B241" s="1001">
        <v>317</v>
      </c>
      <c r="C241" s="749" t="s">
        <v>1953</v>
      </c>
      <c r="D241" s="79" t="s">
        <v>1379</v>
      </c>
      <c r="E241" s="158" t="s">
        <v>1955</v>
      </c>
      <c r="F241" s="158" t="s">
        <v>1980</v>
      </c>
      <c r="G241" s="397"/>
      <c r="H241" s="101"/>
      <c r="I241" s="863" t="s">
        <v>1239</v>
      </c>
      <c r="J241" s="85"/>
      <c r="K241" s="196">
        <f>ROUND(277.5*(1-$G$4),2)</f>
        <v>269.18</v>
      </c>
      <c r="L241" s="148">
        <v>2016</v>
      </c>
      <c r="M241" s="261" t="s">
        <v>1231</v>
      </c>
      <c r="N241" s="148">
        <v>24</v>
      </c>
      <c r="O241" s="311" t="s">
        <v>1346</v>
      </c>
      <c r="P241" s="148">
        <v>80</v>
      </c>
      <c r="Q241" s="134" t="s">
        <v>1235</v>
      </c>
      <c r="R241" s="322" t="s">
        <v>1954</v>
      </c>
      <c r="S241" s="615" t="s">
        <v>1888</v>
      </c>
      <c r="T241" s="301">
        <v>0.285</v>
      </c>
      <c r="U241" s="942" t="s">
        <v>313</v>
      </c>
      <c r="V241" s="360" t="e">
        <f>VLOOKUP(A241,#REF!,10,FALSE)</f>
        <v>#REF!</v>
      </c>
    </row>
    <row r="242" spans="1:22" ht="27" customHeight="1">
      <c r="A242" s="721">
        <v>71201</v>
      </c>
      <c r="B242" s="1001">
        <v>374</v>
      </c>
      <c r="C242" s="749" t="s">
        <v>1866</v>
      </c>
      <c r="D242" s="79" t="s">
        <v>1379</v>
      </c>
      <c r="E242" s="158" t="s">
        <v>1868</v>
      </c>
      <c r="F242" s="158" t="s">
        <v>1867</v>
      </c>
      <c r="G242" s="483" t="s">
        <v>1218</v>
      </c>
      <c r="H242" s="101"/>
      <c r="I242" s="863" t="s">
        <v>1239</v>
      </c>
      <c r="J242" s="85"/>
      <c r="K242" s="196">
        <f>ROUND(262.5*(1-$G$4),2)</f>
        <v>254.63</v>
      </c>
      <c r="L242" s="334">
        <v>2015</v>
      </c>
      <c r="M242" s="261" t="s">
        <v>1231</v>
      </c>
      <c r="N242" s="148">
        <v>24</v>
      </c>
      <c r="O242" s="311" t="s">
        <v>1346</v>
      </c>
      <c r="P242" s="148">
        <v>64</v>
      </c>
      <c r="Q242" s="134" t="s">
        <v>1512</v>
      </c>
      <c r="R242" s="322" t="s">
        <v>47</v>
      </c>
      <c r="S242" s="617" t="s">
        <v>1807</v>
      </c>
      <c r="T242" s="301">
        <v>0.25</v>
      </c>
      <c r="U242" s="942" t="s">
        <v>313</v>
      </c>
      <c r="V242" s="360" t="e">
        <f>VLOOKUP(A242,#REF!,10,FALSE)</f>
        <v>#REF!</v>
      </c>
    </row>
    <row r="243" spans="1:22" ht="27" customHeight="1">
      <c r="A243" s="793">
        <v>71507</v>
      </c>
      <c r="B243" s="1027">
        <v>270</v>
      </c>
      <c r="C243" s="785" t="s">
        <v>383</v>
      </c>
      <c r="D243" s="79" t="s">
        <v>1379</v>
      </c>
      <c r="E243" s="786" t="s">
        <v>385</v>
      </c>
      <c r="F243" s="158" t="s">
        <v>384</v>
      </c>
      <c r="G243" s="483"/>
      <c r="H243" s="129"/>
      <c r="I243" s="863" t="s">
        <v>1239</v>
      </c>
      <c r="J243" s="85"/>
      <c r="K243" s="196">
        <f>ROUND(270*(1-$G$4),2)</f>
        <v>261.9</v>
      </c>
      <c r="L243" s="334">
        <v>2016</v>
      </c>
      <c r="M243" s="261" t="s">
        <v>1231</v>
      </c>
      <c r="N243" s="148">
        <v>24</v>
      </c>
      <c r="O243" s="311" t="s">
        <v>1346</v>
      </c>
      <c r="P243" s="148">
        <v>64</v>
      </c>
      <c r="Q243" s="134" t="s">
        <v>1512</v>
      </c>
      <c r="R243" s="322">
        <v>9785990752658</v>
      </c>
      <c r="S243" s="615" t="s">
        <v>1888</v>
      </c>
      <c r="T243" s="301">
        <v>0.285</v>
      </c>
      <c r="U243" s="942" t="s">
        <v>313</v>
      </c>
      <c r="V243" s="360" t="e">
        <f>VLOOKUP(A243,#REF!,10,FALSE)</f>
        <v>#REF!</v>
      </c>
    </row>
    <row r="244" spans="1:22" ht="27" customHeight="1">
      <c r="A244" s="724">
        <v>71550</v>
      </c>
      <c r="B244" s="1002">
        <v>312</v>
      </c>
      <c r="C244" s="783" t="s">
        <v>412</v>
      </c>
      <c r="D244" s="79" t="s">
        <v>1379</v>
      </c>
      <c r="E244" s="510" t="s">
        <v>1872</v>
      </c>
      <c r="F244" s="510" t="s">
        <v>1873</v>
      </c>
      <c r="G244" s="552" t="s">
        <v>1218</v>
      </c>
      <c r="H244" s="169" t="s">
        <v>1320</v>
      </c>
      <c r="I244" s="1078"/>
      <c r="J244" s="115"/>
      <c r="K244" s="196">
        <f>ROUND(380*(1-$G$4),2)</f>
        <v>368.6</v>
      </c>
      <c r="L244" s="261">
        <v>2016</v>
      </c>
      <c r="M244" s="402">
        <v>0.1</v>
      </c>
      <c r="N244" s="264">
        <v>25</v>
      </c>
      <c r="O244" s="283" t="s">
        <v>1346</v>
      </c>
      <c r="P244" s="261">
        <v>80</v>
      </c>
      <c r="Q244" s="135" t="s">
        <v>1235</v>
      </c>
      <c r="R244" s="321">
        <v>9785990830950</v>
      </c>
      <c r="S244" s="615" t="s">
        <v>1888</v>
      </c>
      <c r="T244" s="288">
        <v>0.3</v>
      </c>
      <c r="U244" s="942" t="s">
        <v>313</v>
      </c>
      <c r="V244" s="360" t="e">
        <f>VLOOKUP(A244,#REF!,10,FALSE)</f>
        <v>#REF!</v>
      </c>
    </row>
    <row r="245" spans="1:22" ht="27" customHeight="1">
      <c r="A245" s="721">
        <v>71187</v>
      </c>
      <c r="B245" s="1001">
        <v>433</v>
      </c>
      <c r="C245" s="749" t="s">
        <v>1859</v>
      </c>
      <c r="D245" s="79" t="s">
        <v>1379</v>
      </c>
      <c r="E245" s="158" t="s">
        <v>1554</v>
      </c>
      <c r="F245" s="158" t="s">
        <v>1860</v>
      </c>
      <c r="G245" s="483" t="s">
        <v>1218</v>
      </c>
      <c r="H245" s="101"/>
      <c r="I245" s="863" t="s">
        <v>1546</v>
      </c>
      <c r="J245" s="85"/>
      <c r="K245" s="196">
        <f>ROUND(262.5*(1-$G$4),2)</f>
        <v>254.63</v>
      </c>
      <c r="L245" s="148">
        <v>2015</v>
      </c>
      <c r="M245" s="465">
        <v>0.1</v>
      </c>
      <c r="N245" s="148">
        <v>24</v>
      </c>
      <c r="O245" s="311" t="s">
        <v>1346</v>
      </c>
      <c r="P245" s="148">
        <v>96</v>
      </c>
      <c r="Q245" s="134" t="s">
        <v>1235</v>
      </c>
      <c r="R245" s="322" t="s">
        <v>48</v>
      </c>
      <c r="S245" s="617" t="s">
        <v>1807</v>
      </c>
      <c r="T245" s="301">
        <v>0.3</v>
      </c>
      <c r="U245" s="942" t="s">
        <v>313</v>
      </c>
      <c r="V245" s="360" t="e">
        <f>VLOOKUP(A245,#REF!,10,FALSE)</f>
        <v>#REF!</v>
      </c>
    </row>
    <row r="246" spans="1:22" ht="27" customHeight="1">
      <c r="A246" s="721">
        <v>71110</v>
      </c>
      <c r="B246" s="1001">
        <v>255</v>
      </c>
      <c r="C246" s="749" t="s">
        <v>656</v>
      </c>
      <c r="D246" s="79" t="s">
        <v>1379</v>
      </c>
      <c r="E246" s="158" t="s">
        <v>1554</v>
      </c>
      <c r="F246" s="158" t="s">
        <v>658</v>
      </c>
      <c r="G246" s="483"/>
      <c r="H246" s="101"/>
      <c r="I246" s="863"/>
      <c r="J246" s="85"/>
      <c r="K246" s="196">
        <f>ROUND(262.5*(1-$G$4),2)</f>
        <v>254.63</v>
      </c>
      <c r="L246" s="148">
        <v>2016</v>
      </c>
      <c r="M246" s="465">
        <v>1.1</v>
      </c>
      <c r="N246" s="148">
        <v>25</v>
      </c>
      <c r="O246" s="311" t="s">
        <v>911</v>
      </c>
      <c r="P246" s="148">
        <v>64</v>
      </c>
      <c r="Q246" s="134" t="s">
        <v>1235</v>
      </c>
      <c r="R246" s="322" t="s">
        <v>657</v>
      </c>
      <c r="S246" s="617" t="s">
        <v>1807</v>
      </c>
      <c r="T246" s="301">
        <v>0.253</v>
      </c>
      <c r="U246" s="942" t="s">
        <v>313</v>
      </c>
      <c r="V246" s="360"/>
    </row>
    <row r="247" spans="1:22" ht="27" customHeight="1" thickBot="1">
      <c r="A247" s="716">
        <v>70901</v>
      </c>
      <c r="B247" s="999">
        <v>515</v>
      </c>
      <c r="C247" s="1352" t="s">
        <v>1384</v>
      </c>
      <c r="D247" s="128" t="s">
        <v>1379</v>
      </c>
      <c r="E247" s="391" t="s">
        <v>1385</v>
      </c>
      <c r="F247" s="391" t="s">
        <v>1386</v>
      </c>
      <c r="G247" s="530" t="s">
        <v>1218</v>
      </c>
      <c r="H247" s="233" t="s">
        <v>1320</v>
      </c>
      <c r="I247" s="1073"/>
      <c r="J247" s="98"/>
      <c r="K247" s="197">
        <f>ROUND(262.5*(1-$G$4),2)</f>
        <v>254.63</v>
      </c>
      <c r="L247" s="339">
        <v>2015</v>
      </c>
      <c r="M247" s="343" t="s">
        <v>1231</v>
      </c>
      <c r="N247" s="343">
        <v>30</v>
      </c>
      <c r="O247" s="462" t="s">
        <v>1233</v>
      </c>
      <c r="P247" s="343">
        <v>48</v>
      </c>
      <c r="Q247" s="553" t="s">
        <v>1235</v>
      </c>
      <c r="R247" s="532" t="s">
        <v>49</v>
      </c>
      <c r="S247" s="1686" t="s">
        <v>1807</v>
      </c>
      <c r="T247" s="555">
        <v>0.185</v>
      </c>
      <c r="U247" s="1405" t="s">
        <v>313</v>
      </c>
      <c r="V247" s="360" t="e">
        <f>VLOOKUP(A247,#REF!,10,FALSE)</f>
        <v>#REF!</v>
      </c>
    </row>
    <row r="248" spans="1:22" ht="27" customHeight="1">
      <c r="A248" s="1697">
        <v>71723</v>
      </c>
      <c r="B248" s="1453">
        <v>236</v>
      </c>
      <c r="C248" s="556" t="s">
        <v>387</v>
      </c>
      <c r="D248" s="123" t="s">
        <v>391</v>
      </c>
      <c r="E248" s="457" t="s">
        <v>388</v>
      </c>
      <c r="F248" s="457" t="s">
        <v>386</v>
      </c>
      <c r="G248" s="437"/>
      <c r="H248" s="168" t="s">
        <v>1320</v>
      </c>
      <c r="I248" s="1060" t="s">
        <v>1239</v>
      </c>
      <c r="J248" s="238"/>
      <c r="K248" s="195">
        <f>ROUND(412*(1-$G$4),2)</f>
        <v>399.64</v>
      </c>
      <c r="L248" s="146">
        <v>2017</v>
      </c>
      <c r="M248" s="481">
        <v>0.1</v>
      </c>
      <c r="N248" s="146">
        <v>24</v>
      </c>
      <c r="O248" s="316" t="s">
        <v>1346</v>
      </c>
      <c r="P248" s="146">
        <v>112</v>
      </c>
      <c r="Q248" s="316" t="s">
        <v>1235</v>
      </c>
      <c r="R248" s="323">
        <v>9785990752696</v>
      </c>
      <c r="S248" s="911" t="s">
        <v>1888</v>
      </c>
      <c r="T248" s="1699">
        <v>0.2</v>
      </c>
      <c r="U248" s="941" t="s">
        <v>313</v>
      </c>
      <c r="V248" s="360" t="e">
        <f>VLOOKUP(A248,#REF!,10,FALSE)</f>
        <v>#REF!</v>
      </c>
    </row>
    <row r="249" spans="1:22" ht="27" customHeight="1" thickBot="1">
      <c r="A249" s="1698">
        <v>71703</v>
      </c>
      <c r="B249" s="1017">
        <v>31</v>
      </c>
      <c r="C249" s="726" t="s">
        <v>885</v>
      </c>
      <c r="D249" s="466" t="s">
        <v>391</v>
      </c>
      <c r="E249" s="406" t="s">
        <v>388</v>
      </c>
      <c r="F249" s="406" t="s">
        <v>886</v>
      </c>
      <c r="G249" s="407"/>
      <c r="H249" s="237" t="s">
        <v>1799</v>
      </c>
      <c r="I249" s="1059" t="s">
        <v>524</v>
      </c>
      <c r="J249" s="407"/>
      <c r="K249" s="200"/>
      <c r="L249" s="149">
        <v>2016</v>
      </c>
      <c r="M249" s="138" t="s">
        <v>1231</v>
      </c>
      <c r="N249" s="149">
        <v>24</v>
      </c>
      <c r="O249" s="149" t="s">
        <v>1346</v>
      </c>
      <c r="P249" s="149">
        <v>88</v>
      </c>
      <c r="Q249" s="149" t="s">
        <v>1235</v>
      </c>
      <c r="R249" s="324">
        <v>9785990885127</v>
      </c>
      <c r="S249" s="1596" t="s">
        <v>1888</v>
      </c>
      <c r="T249" s="1700">
        <v>0.31</v>
      </c>
      <c r="U249" s="987" t="s">
        <v>313</v>
      </c>
      <c r="V249" s="360"/>
    </row>
    <row r="250" spans="1:22" ht="27" customHeight="1">
      <c r="A250" s="1687">
        <v>71549</v>
      </c>
      <c r="B250" s="1688"/>
      <c r="C250" s="1689" t="s">
        <v>611</v>
      </c>
      <c r="D250" s="1690" t="s">
        <v>536</v>
      </c>
      <c r="E250" s="1691" t="s">
        <v>1434</v>
      </c>
      <c r="F250" s="1691" t="s">
        <v>677</v>
      </c>
      <c r="G250" s="1692"/>
      <c r="H250" s="252" t="s">
        <v>1555</v>
      </c>
      <c r="I250" s="1693"/>
      <c r="J250" s="474"/>
      <c r="K250" s="198">
        <f>ROUND(490*(1-$G$4),2)</f>
        <v>475.3</v>
      </c>
      <c r="L250" s="1694">
        <v>2017</v>
      </c>
      <c r="M250" s="547">
        <v>0.1</v>
      </c>
      <c r="N250" s="1695">
        <v>10</v>
      </c>
      <c r="O250" s="1695" t="s">
        <v>1233</v>
      </c>
      <c r="P250" s="1695">
        <v>128</v>
      </c>
      <c r="Q250" s="1695" t="s">
        <v>1232</v>
      </c>
      <c r="R250" s="469" t="s">
        <v>612</v>
      </c>
      <c r="S250" s="1696" t="s">
        <v>1888</v>
      </c>
      <c r="T250" s="1421">
        <v>0.541</v>
      </c>
      <c r="U250" s="935" t="s">
        <v>313</v>
      </c>
      <c r="V250" s="360"/>
    </row>
    <row r="251" spans="1:22" ht="27" customHeight="1" thickBot="1">
      <c r="A251" s="799">
        <v>71706</v>
      </c>
      <c r="B251" s="1029"/>
      <c r="C251" s="913" t="s">
        <v>526</v>
      </c>
      <c r="D251" s="800" t="s">
        <v>536</v>
      </c>
      <c r="E251" s="801" t="s">
        <v>527</v>
      </c>
      <c r="F251" s="801" t="s">
        <v>525</v>
      </c>
      <c r="G251" s="349"/>
      <c r="H251" s="215"/>
      <c r="I251" s="1079" t="s">
        <v>1239</v>
      </c>
      <c r="J251" s="349"/>
      <c r="K251" s="200">
        <f>ROUND(320*(1-$G$4),2)</f>
        <v>310.4</v>
      </c>
      <c r="L251" s="372">
        <v>2016</v>
      </c>
      <c r="M251" s="490">
        <v>0.1</v>
      </c>
      <c r="N251" s="350" t="s">
        <v>393</v>
      </c>
      <c r="O251" s="350" t="s">
        <v>1346</v>
      </c>
      <c r="P251" s="350" t="s">
        <v>529</v>
      </c>
      <c r="Q251" s="350" t="s">
        <v>1235</v>
      </c>
      <c r="R251" s="324">
        <v>9785990885288</v>
      </c>
      <c r="S251" s="352" t="s">
        <v>1888</v>
      </c>
      <c r="T251" s="912">
        <v>0.285</v>
      </c>
      <c r="U251" s="934" t="s">
        <v>313</v>
      </c>
      <c r="V251" s="360" t="e">
        <f>VLOOKUP(A251,#REF!,10,FALSE)</f>
        <v>#REF!</v>
      </c>
    </row>
    <row r="252" spans="1:22" ht="27" customHeight="1">
      <c r="A252" s="988">
        <v>71784</v>
      </c>
      <c r="B252" s="1453"/>
      <c r="C252" s="790" t="s">
        <v>620</v>
      </c>
      <c r="D252" s="164" t="s">
        <v>390</v>
      </c>
      <c r="E252" s="983" t="s">
        <v>621</v>
      </c>
      <c r="F252" s="983" t="s">
        <v>619</v>
      </c>
      <c r="G252" s="984"/>
      <c r="H252" s="182" t="s">
        <v>1238</v>
      </c>
      <c r="I252" s="1070" t="s">
        <v>1239</v>
      </c>
      <c r="J252" s="862"/>
      <c r="K252" s="198">
        <f>ROUND(186*(1-$G$4),2)</f>
        <v>180.42</v>
      </c>
      <c r="L252" s="341">
        <v>2017</v>
      </c>
      <c r="M252" s="260" t="s">
        <v>1231</v>
      </c>
      <c r="N252" s="341">
        <v>25</v>
      </c>
      <c r="O252" s="475" t="s">
        <v>1255</v>
      </c>
      <c r="P252" s="260">
        <v>64</v>
      </c>
      <c r="Q252" s="475" t="s">
        <v>1235</v>
      </c>
      <c r="R252" s="507">
        <v>9785990752764</v>
      </c>
      <c r="S252" s="414" t="s">
        <v>1888</v>
      </c>
      <c r="T252" s="509">
        <v>0.19</v>
      </c>
      <c r="U252" s="986" t="s">
        <v>313</v>
      </c>
      <c r="V252" s="360"/>
    </row>
    <row r="253" spans="1:22" ht="27" customHeight="1">
      <c r="A253" s="737">
        <v>71503</v>
      </c>
      <c r="B253" s="1001">
        <v>182</v>
      </c>
      <c r="C253" s="557" t="s">
        <v>378</v>
      </c>
      <c r="D253" s="79" t="s">
        <v>390</v>
      </c>
      <c r="E253" s="158" t="s">
        <v>380</v>
      </c>
      <c r="F253" s="510" t="s">
        <v>379</v>
      </c>
      <c r="G253" s="511"/>
      <c r="H253" s="182"/>
      <c r="I253" s="1071" t="s">
        <v>1239</v>
      </c>
      <c r="J253" s="12"/>
      <c r="K253" s="196">
        <f>ROUND(190*(1-$G$4),2)</f>
        <v>184.3</v>
      </c>
      <c r="L253" s="261">
        <v>2016</v>
      </c>
      <c r="M253" s="261" t="s">
        <v>1231</v>
      </c>
      <c r="N253" s="261">
        <v>25</v>
      </c>
      <c r="O253" s="284" t="s">
        <v>1255</v>
      </c>
      <c r="P253" s="283">
        <v>64</v>
      </c>
      <c r="Q253" s="284" t="s">
        <v>1235</v>
      </c>
      <c r="R253" s="321">
        <v>9785990830882</v>
      </c>
      <c r="S253" s="558" t="s">
        <v>1888</v>
      </c>
      <c r="T253" s="555">
        <v>0.19</v>
      </c>
      <c r="U253" s="937" t="s">
        <v>313</v>
      </c>
      <c r="V253" s="360" t="e">
        <f>VLOOKUP(A253,#REF!,10,FALSE)</f>
        <v>#REF!</v>
      </c>
    </row>
    <row r="254" spans="1:22" ht="27" customHeight="1">
      <c r="A254" s="737">
        <v>71677</v>
      </c>
      <c r="B254" s="1001">
        <v>56</v>
      </c>
      <c r="C254" s="557" t="s">
        <v>670</v>
      </c>
      <c r="D254" s="79" t="s">
        <v>390</v>
      </c>
      <c r="E254" s="158" t="s">
        <v>1414</v>
      </c>
      <c r="F254" s="510" t="s">
        <v>672</v>
      </c>
      <c r="G254" s="511"/>
      <c r="H254" s="182"/>
      <c r="I254" s="1071" t="s">
        <v>524</v>
      </c>
      <c r="J254" s="12"/>
      <c r="K254" s="196">
        <f>ROUND(210*(1-$G$4),2)</f>
        <v>203.7</v>
      </c>
      <c r="L254" s="261">
        <v>2016</v>
      </c>
      <c r="M254" s="261" t="s">
        <v>1231</v>
      </c>
      <c r="N254" s="261">
        <v>25</v>
      </c>
      <c r="O254" s="284" t="s">
        <v>1255</v>
      </c>
      <c r="P254" s="283">
        <v>64</v>
      </c>
      <c r="Q254" s="284" t="s">
        <v>1235</v>
      </c>
      <c r="R254" s="321" t="s">
        <v>671</v>
      </c>
      <c r="S254" s="558" t="s">
        <v>1888</v>
      </c>
      <c r="T254" s="555">
        <v>0.19</v>
      </c>
      <c r="U254" s="937" t="s">
        <v>313</v>
      </c>
      <c r="V254" s="360"/>
    </row>
    <row r="255" spans="1:22" ht="27" customHeight="1" thickBot="1">
      <c r="A255" s="1473">
        <v>71697</v>
      </c>
      <c r="B255" s="999">
        <v>43</v>
      </c>
      <c r="C255" s="717" t="s">
        <v>673</v>
      </c>
      <c r="D255" s="128" t="s">
        <v>390</v>
      </c>
      <c r="E255" s="391" t="s">
        <v>676</v>
      </c>
      <c r="F255" s="529" t="s">
        <v>675</v>
      </c>
      <c r="G255" s="530"/>
      <c r="H255" s="215"/>
      <c r="I255" s="1073" t="s">
        <v>524</v>
      </c>
      <c r="J255" s="25"/>
      <c r="K255" s="197">
        <f>ROUND(210*(1-$G$4),2)</f>
        <v>203.7</v>
      </c>
      <c r="L255" s="343">
        <v>2016</v>
      </c>
      <c r="M255" s="343" t="s">
        <v>1231</v>
      </c>
      <c r="N255" s="343">
        <v>25</v>
      </c>
      <c r="O255" s="425" t="s">
        <v>1255</v>
      </c>
      <c r="P255" s="462">
        <v>64</v>
      </c>
      <c r="Q255" s="425" t="s">
        <v>1235</v>
      </c>
      <c r="R255" s="532" t="s">
        <v>674</v>
      </c>
      <c r="S255" s="558" t="s">
        <v>1888</v>
      </c>
      <c r="T255" s="555">
        <v>0.19</v>
      </c>
      <c r="U255" s="937" t="s">
        <v>313</v>
      </c>
      <c r="V255" s="360"/>
    </row>
    <row r="256" spans="1:22" ht="27" customHeight="1">
      <c r="A256" s="747">
        <v>71275</v>
      </c>
      <c r="B256" s="1011">
        <v>273</v>
      </c>
      <c r="C256" s="556" t="s">
        <v>662</v>
      </c>
      <c r="D256" s="78" t="s">
        <v>912</v>
      </c>
      <c r="E256" s="457" t="s">
        <v>1312</v>
      </c>
      <c r="F256" s="492" t="s">
        <v>661</v>
      </c>
      <c r="G256" s="516"/>
      <c r="H256" s="181"/>
      <c r="I256" s="1069" t="s">
        <v>524</v>
      </c>
      <c r="J256" s="33"/>
      <c r="K256" s="195">
        <f>ROUND(135*(1-$G$4),2)</f>
        <v>130.95</v>
      </c>
      <c r="L256" s="330">
        <v>2015</v>
      </c>
      <c r="M256" s="330" t="s">
        <v>1231</v>
      </c>
      <c r="N256" s="330">
        <v>20</v>
      </c>
      <c r="O256" s="413" t="s">
        <v>1375</v>
      </c>
      <c r="P256" s="461">
        <v>64</v>
      </c>
      <c r="Q256" s="413" t="s">
        <v>1235</v>
      </c>
      <c r="R256" s="320" t="s">
        <v>663</v>
      </c>
      <c r="S256" s="1474" t="s">
        <v>1807</v>
      </c>
      <c r="T256" s="666">
        <v>0.135</v>
      </c>
      <c r="U256" s="1353" t="s">
        <v>313</v>
      </c>
      <c r="V256" s="360"/>
    </row>
    <row r="257" spans="1:22" ht="27" customHeight="1">
      <c r="A257" s="721">
        <v>71276</v>
      </c>
      <c r="B257" s="1001">
        <v>251</v>
      </c>
      <c r="C257" s="557" t="s">
        <v>665</v>
      </c>
      <c r="D257" s="79" t="s">
        <v>912</v>
      </c>
      <c r="E257" s="158" t="s">
        <v>1312</v>
      </c>
      <c r="F257" s="510" t="s">
        <v>664</v>
      </c>
      <c r="G257" s="511"/>
      <c r="H257" s="182"/>
      <c r="I257" s="1071" t="s">
        <v>524</v>
      </c>
      <c r="J257" s="12"/>
      <c r="K257" s="196">
        <f>ROUND(135*(1-$G$4),2)</f>
        <v>130.95</v>
      </c>
      <c r="L257" s="261">
        <v>2015</v>
      </c>
      <c r="M257" s="261" t="s">
        <v>1231</v>
      </c>
      <c r="N257" s="261">
        <v>20</v>
      </c>
      <c r="O257" s="284" t="s">
        <v>1375</v>
      </c>
      <c r="P257" s="283">
        <v>64</v>
      </c>
      <c r="Q257" s="284" t="s">
        <v>1235</v>
      </c>
      <c r="R257" s="321" t="s">
        <v>666</v>
      </c>
      <c r="S257" s="558" t="s">
        <v>1807</v>
      </c>
      <c r="T257" s="555">
        <v>0.135</v>
      </c>
      <c r="U257" s="937" t="s">
        <v>313</v>
      </c>
      <c r="V257" s="360"/>
    </row>
    <row r="258" spans="1:22" ht="27" customHeight="1" thickBot="1">
      <c r="A258" s="811">
        <v>71236</v>
      </c>
      <c r="B258" s="1028">
        <v>285</v>
      </c>
      <c r="C258" s="1475" t="s">
        <v>668</v>
      </c>
      <c r="D258" s="367" t="s">
        <v>912</v>
      </c>
      <c r="E258" s="1476" t="s">
        <v>1312</v>
      </c>
      <c r="F258" s="827" t="s">
        <v>667</v>
      </c>
      <c r="G258" s="704"/>
      <c r="H258" s="1477"/>
      <c r="I258" s="1088" t="s">
        <v>524</v>
      </c>
      <c r="J258" s="165"/>
      <c r="K258" s="199">
        <f>ROUND(135*(1-$G$4),2)</f>
        <v>130.95</v>
      </c>
      <c r="L258" s="705">
        <v>2015</v>
      </c>
      <c r="M258" s="705" t="s">
        <v>1231</v>
      </c>
      <c r="N258" s="705">
        <v>40</v>
      </c>
      <c r="O258" s="706" t="s">
        <v>1375</v>
      </c>
      <c r="P258" s="707">
        <v>56</v>
      </c>
      <c r="Q258" s="706" t="s">
        <v>1235</v>
      </c>
      <c r="R258" s="709" t="s">
        <v>669</v>
      </c>
      <c r="S258" s="358" t="s">
        <v>1807</v>
      </c>
      <c r="T258" s="515">
        <v>0.125</v>
      </c>
      <c r="U258" s="934" t="s">
        <v>313</v>
      </c>
      <c r="V258" s="360"/>
    </row>
    <row r="259" spans="1:22" ht="27" customHeight="1">
      <c r="A259" s="747">
        <v>69410</v>
      </c>
      <c r="B259" s="1011">
        <v>445</v>
      </c>
      <c r="C259" s="813" t="s">
        <v>1388</v>
      </c>
      <c r="D259" s="162" t="s">
        <v>1387</v>
      </c>
      <c r="E259" s="159" t="s">
        <v>1229</v>
      </c>
      <c r="F259" s="159" t="s">
        <v>1628</v>
      </c>
      <c r="G259" s="606" t="s">
        <v>1218</v>
      </c>
      <c r="H259" s="46" t="s">
        <v>1229</v>
      </c>
      <c r="I259" s="1080"/>
      <c r="J259" s="45"/>
      <c r="K259" s="207">
        <f>ROUND(135*(1-$G$4),2)</f>
        <v>130.95</v>
      </c>
      <c r="L259" s="337">
        <v>2012</v>
      </c>
      <c r="M259" s="146" t="s">
        <v>1231</v>
      </c>
      <c r="N259" s="146">
        <v>30</v>
      </c>
      <c r="O259" s="607" t="s">
        <v>1375</v>
      </c>
      <c r="P259" s="316">
        <v>72</v>
      </c>
      <c r="Q259" s="607" t="s">
        <v>1235</v>
      </c>
      <c r="R259" s="323" t="s">
        <v>2061</v>
      </c>
      <c r="S259" s="433" t="s">
        <v>1807</v>
      </c>
      <c r="T259" s="641">
        <v>0.132</v>
      </c>
      <c r="U259" s="941" t="s">
        <v>313</v>
      </c>
      <c r="V259" s="360" t="e">
        <f>VLOOKUP(A259,#REF!,10,FALSE)</f>
        <v>#REF!</v>
      </c>
    </row>
    <row r="260" spans="1:22" ht="27" customHeight="1">
      <c r="A260" s="788">
        <v>69793</v>
      </c>
      <c r="B260" s="1030">
        <v>379</v>
      </c>
      <c r="C260" s="831" t="s">
        <v>1389</v>
      </c>
      <c r="D260" s="286" t="s">
        <v>1387</v>
      </c>
      <c r="E260" s="116"/>
      <c r="F260" s="116" t="s">
        <v>1629</v>
      </c>
      <c r="G260" s="519" t="s">
        <v>1218</v>
      </c>
      <c r="H260" s="17"/>
      <c r="I260" s="863"/>
      <c r="J260" s="15"/>
      <c r="K260" s="201">
        <f>ROUND(135*(1-$G$4),2)</f>
        <v>130.95</v>
      </c>
      <c r="L260" s="334">
        <v>2012</v>
      </c>
      <c r="M260" s="148" t="s">
        <v>1231</v>
      </c>
      <c r="N260" s="148">
        <v>30</v>
      </c>
      <c r="O260" s="272" t="s">
        <v>1375</v>
      </c>
      <c r="P260" s="311">
        <v>80</v>
      </c>
      <c r="Q260" s="272" t="s">
        <v>1235</v>
      </c>
      <c r="R260" s="322" t="s">
        <v>2062</v>
      </c>
      <c r="S260" s="143" t="s">
        <v>1807</v>
      </c>
      <c r="T260" s="642">
        <v>0.165</v>
      </c>
      <c r="U260" s="942" t="s">
        <v>313</v>
      </c>
      <c r="V260" s="360" t="e">
        <f>VLOOKUP(A260,#REF!,10,FALSE)</f>
        <v>#REF!</v>
      </c>
    </row>
    <row r="261" spans="1:22" ht="27" customHeight="1">
      <c r="A261" s="721">
        <v>70930</v>
      </c>
      <c r="B261" s="1001">
        <v>128</v>
      </c>
      <c r="C261" s="557" t="s">
        <v>260</v>
      </c>
      <c r="D261" s="286" t="s">
        <v>1387</v>
      </c>
      <c r="E261" s="158" t="s">
        <v>1419</v>
      </c>
      <c r="F261" s="158" t="s">
        <v>261</v>
      </c>
      <c r="G261" s="397"/>
      <c r="H261" s="169" t="s">
        <v>1320</v>
      </c>
      <c r="I261" s="863"/>
      <c r="J261" s="85"/>
      <c r="K261" s="201">
        <f>ROUND(145*(1-$G$4),2)</f>
        <v>140.65</v>
      </c>
      <c r="L261" s="148">
        <v>2015</v>
      </c>
      <c r="M261" s="148" t="s">
        <v>1231</v>
      </c>
      <c r="N261" s="148">
        <v>30</v>
      </c>
      <c r="O261" s="311" t="s">
        <v>1375</v>
      </c>
      <c r="P261" s="148">
        <v>64</v>
      </c>
      <c r="Q261" s="311" t="s">
        <v>1235</v>
      </c>
      <c r="R261" s="318" t="s">
        <v>330</v>
      </c>
      <c r="S261" s="357" t="s">
        <v>1807</v>
      </c>
      <c r="T261" s="642">
        <v>0.12</v>
      </c>
      <c r="U261" s="942" t="s">
        <v>313</v>
      </c>
      <c r="V261" s="360" t="e">
        <f>VLOOKUP(A261,#REF!,10,FALSE)</f>
        <v>#REF!</v>
      </c>
    </row>
    <row r="262" spans="1:22" ht="27" customHeight="1">
      <c r="A262" s="721">
        <v>68751</v>
      </c>
      <c r="B262" s="1001">
        <v>607</v>
      </c>
      <c r="C262" s="774" t="s">
        <v>1390</v>
      </c>
      <c r="D262" s="286" t="s">
        <v>1387</v>
      </c>
      <c r="E262" s="116" t="s">
        <v>1391</v>
      </c>
      <c r="F262" s="116" t="s">
        <v>1630</v>
      </c>
      <c r="G262" s="519" t="s">
        <v>1218</v>
      </c>
      <c r="H262" s="18" t="s">
        <v>1321</v>
      </c>
      <c r="I262" s="863"/>
      <c r="J262" s="15"/>
      <c r="K262" s="201">
        <v>50</v>
      </c>
      <c r="L262" s="334">
        <v>2011</v>
      </c>
      <c r="M262" s="148" t="s">
        <v>1231</v>
      </c>
      <c r="N262" s="148">
        <v>30</v>
      </c>
      <c r="O262" s="272" t="s">
        <v>1375</v>
      </c>
      <c r="P262" s="311">
        <v>80</v>
      </c>
      <c r="Q262" s="272" t="s">
        <v>1235</v>
      </c>
      <c r="R262" s="322" t="s">
        <v>2063</v>
      </c>
      <c r="S262" s="143" t="s">
        <v>1807</v>
      </c>
      <c r="T262" s="642">
        <v>0.165</v>
      </c>
      <c r="U262" s="942" t="s">
        <v>313</v>
      </c>
      <c r="V262" s="360" t="e">
        <f>VLOOKUP(A262,#REF!,10,FALSE)</f>
        <v>#REF!</v>
      </c>
    </row>
    <row r="263" spans="1:22" ht="27" customHeight="1">
      <c r="A263" s="721">
        <v>71194</v>
      </c>
      <c r="B263" s="1001">
        <v>230</v>
      </c>
      <c r="C263" s="557" t="s">
        <v>1810</v>
      </c>
      <c r="D263" s="286" t="s">
        <v>1387</v>
      </c>
      <c r="E263" s="158" t="s">
        <v>1863</v>
      </c>
      <c r="F263" s="158" t="s">
        <v>1811</v>
      </c>
      <c r="G263" s="483" t="s">
        <v>1218</v>
      </c>
      <c r="H263" s="178"/>
      <c r="I263" s="863"/>
      <c r="J263" s="404"/>
      <c r="K263" s="201">
        <f aca="true" t="shared" si="7" ref="K263:K277">ROUND(135*(1-$G$4),2)</f>
        <v>130.95</v>
      </c>
      <c r="L263" s="148">
        <v>2015</v>
      </c>
      <c r="M263" s="148" t="s">
        <v>1231</v>
      </c>
      <c r="N263" s="148">
        <v>30</v>
      </c>
      <c r="O263" s="311" t="s">
        <v>1375</v>
      </c>
      <c r="P263" s="148">
        <v>80</v>
      </c>
      <c r="Q263" s="311" t="s">
        <v>1235</v>
      </c>
      <c r="R263" s="322" t="s">
        <v>2064</v>
      </c>
      <c r="S263" s="143" t="s">
        <v>1807</v>
      </c>
      <c r="T263" s="642">
        <v>0.165</v>
      </c>
      <c r="U263" s="942" t="s">
        <v>313</v>
      </c>
      <c r="V263" s="360" t="e">
        <f>VLOOKUP(A263,#REF!,10,FALSE)</f>
        <v>#REF!</v>
      </c>
    </row>
    <row r="264" spans="1:22" ht="27" customHeight="1">
      <c r="A264" s="724">
        <v>70391</v>
      </c>
      <c r="B264" s="1002">
        <v>544</v>
      </c>
      <c r="C264" s="731" t="s">
        <v>1392</v>
      </c>
      <c r="D264" s="286" t="s">
        <v>1387</v>
      </c>
      <c r="E264" s="94" t="s">
        <v>1393</v>
      </c>
      <c r="F264" s="94" t="s">
        <v>1631</v>
      </c>
      <c r="G264" s="564"/>
      <c r="H264" s="19"/>
      <c r="I264" s="1071"/>
      <c r="J264" s="12"/>
      <c r="K264" s="201">
        <f t="shared" si="7"/>
        <v>130.95</v>
      </c>
      <c r="L264" s="334">
        <v>2013</v>
      </c>
      <c r="M264" s="261" t="s">
        <v>1231</v>
      </c>
      <c r="N264" s="261">
        <v>30</v>
      </c>
      <c r="O264" s="284" t="s">
        <v>1375</v>
      </c>
      <c r="P264" s="283">
        <v>80</v>
      </c>
      <c r="Q264" s="284" t="s">
        <v>1235</v>
      </c>
      <c r="R264" s="321" t="s">
        <v>2065</v>
      </c>
      <c r="S264" s="142" t="s">
        <v>1807</v>
      </c>
      <c r="T264" s="871">
        <v>0.165</v>
      </c>
      <c r="U264" s="942" t="s">
        <v>313</v>
      </c>
      <c r="V264" s="360" t="e">
        <f>VLOOKUP(A264,#REF!,10,FALSE)</f>
        <v>#REF!</v>
      </c>
    </row>
    <row r="265" spans="1:22" ht="27" customHeight="1">
      <c r="A265" s="721">
        <v>69945</v>
      </c>
      <c r="B265" s="1001">
        <v>393</v>
      </c>
      <c r="C265" s="774" t="s">
        <v>1394</v>
      </c>
      <c r="D265" s="286" t="s">
        <v>1387</v>
      </c>
      <c r="E265" s="116" t="s">
        <v>1395</v>
      </c>
      <c r="F265" s="116" t="s">
        <v>1632</v>
      </c>
      <c r="G265" s="519" t="s">
        <v>1218</v>
      </c>
      <c r="H265" s="17"/>
      <c r="I265" s="863"/>
      <c r="J265" s="15"/>
      <c r="K265" s="201">
        <f t="shared" si="7"/>
        <v>130.95</v>
      </c>
      <c r="L265" s="334">
        <v>2012</v>
      </c>
      <c r="M265" s="148" t="s">
        <v>1231</v>
      </c>
      <c r="N265" s="148">
        <v>30</v>
      </c>
      <c r="O265" s="272" t="s">
        <v>1375</v>
      </c>
      <c r="P265" s="311">
        <v>80</v>
      </c>
      <c r="Q265" s="272" t="s">
        <v>1235</v>
      </c>
      <c r="R265" s="322" t="s">
        <v>2066</v>
      </c>
      <c r="S265" s="143" t="s">
        <v>1807</v>
      </c>
      <c r="T265" s="642">
        <v>0.165</v>
      </c>
      <c r="U265" s="942" t="s">
        <v>313</v>
      </c>
      <c r="V265" s="360" t="e">
        <f>VLOOKUP(A265,#REF!,10,FALSE)</f>
        <v>#REF!</v>
      </c>
    </row>
    <row r="266" spans="1:22" ht="27" customHeight="1">
      <c r="A266" s="721">
        <v>69052</v>
      </c>
      <c r="B266" s="1001">
        <v>613</v>
      </c>
      <c r="C266" s="774" t="s">
        <v>1396</v>
      </c>
      <c r="D266" s="286" t="s">
        <v>1387</v>
      </c>
      <c r="E266" s="116" t="s">
        <v>1397</v>
      </c>
      <c r="F266" s="116" t="s">
        <v>1633</v>
      </c>
      <c r="G266" s="519" t="s">
        <v>1218</v>
      </c>
      <c r="H266" s="17" t="s">
        <v>1229</v>
      </c>
      <c r="I266" s="863"/>
      <c r="J266" s="15"/>
      <c r="K266" s="201">
        <f t="shared" si="7"/>
        <v>130.95</v>
      </c>
      <c r="L266" s="334">
        <v>2011</v>
      </c>
      <c r="M266" s="148" t="s">
        <v>1231</v>
      </c>
      <c r="N266" s="148">
        <v>30</v>
      </c>
      <c r="O266" s="272" t="s">
        <v>1375</v>
      </c>
      <c r="P266" s="311">
        <v>80</v>
      </c>
      <c r="Q266" s="272" t="s">
        <v>1235</v>
      </c>
      <c r="R266" s="322" t="s">
        <v>2067</v>
      </c>
      <c r="S266" s="143" t="s">
        <v>1807</v>
      </c>
      <c r="T266" s="642">
        <v>0.19</v>
      </c>
      <c r="U266" s="942" t="s">
        <v>313</v>
      </c>
      <c r="V266" s="360" t="e">
        <f>VLOOKUP(A266,#REF!,10,FALSE)</f>
        <v>#REF!</v>
      </c>
    </row>
    <row r="267" spans="1:22" ht="27" customHeight="1">
      <c r="A267" s="721">
        <v>71170</v>
      </c>
      <c r="B267" s="1001">
        <v>249</v>
      </c>
      <c r="C267" s="557" t="s">
        <v>1813</v>
      </c>
      <c r="D267" s="286" t="s">
        <v>1387</v>
      </c>
      <c r="E267" s="158" t="s">
        <v>1827</v>
      </c>
      <c r="F267" s="158" t="s">
        <v>1812</v>
      </c>
      <c r="G267" s="551" t="s">
        <v>1218</v>
      </c>
      <c r="H267" s="169" t="s">
        <v>1320</v>
      </c>
      <c r="I267" s="863"/>
      <c r="J267" s="85"/>
      <c r="K267" s="201">
        <f t="shared" si="7"/>
        <v>130.95</v>
      </c>
      <c r="L267" s="148">
        <v>2015</v>
      </c>
      <c r="M267" s="148" t="s">
        <v>1231</v>
      </c>
      <c r="N267" s="272">
        <v>30</v>
      </c>
      <c r="O267" s="311" t="s">
        <v>1375</v>
      </c>
      <c r="P267" s="272">
        <v>80</v>
      </c>
      <c r="Q267" s="272" t="s">
        <v>1235</v>
      </c>
      <c r="R267" s="322" t="s">
        <v>2068</v>
      </c>
      <c r="S267" s="617" t="s">
        <v>1807</v>
      </c>
      <c r="T267" s="642">
        <v>0.165</v>
      </c>
      <c r="U267" s="942" t="s">
        <v>313</v>
      </c>
      <c r="V267" s="360" t="e">
        <f>VLOOKUP(A267,#REF!,10,FALSE)</f>
        <v>#REF!</v>
      </c>
    </row>
    <row r="268" spans="1:22" ht="27" customHeight="1">
      <c r="A268" s="721">
        <v>70539</v>
      </c>
      <c r="B268" s="1001">
        <v>327</v>
      </c>
      <c r="C268" s="774" t="s">
        <v>1398</v>
      </c>
      <c r="D268" s="286" t="s">
        <v>1387</v>
      </c>
      <c r="E268" s="116" t="s">
        <v>1399</v>
      </c>
      <c r="F268" s="116" t="s">
        <v>1634</v>
      </c>
      <c r="G268" s="519" t="s">
        <v>1218</v>
      </c>
      <c r="H268" s="14"/>
      <c r="I268" s="863"/>
      <c r="J268" s="15"/>
      <c r="K268" s="201">
        <f t="shared" si="7"/>
        <v>130.95</v>
      </c>
      <c r="L268" s="334">
        <v>2014</v>
      </c>
      <c r="M268" s="148" t="s">
        <v>1231</v>
      </c>
      <c r="N268" s="148">
        <v>30</v>
      </c>
      <c r="O268" s="272" t="s">
        <v>1375</v>
      </c>
      <c r="P268" s="311">
        <v>80</v>
      </c>
      <c r="Q268" s="272" t="s">
        <v>1235</v>
      </c>
      <c r="R268" s="322" t="s">
        <v>2069</v>
      </c>
      <c r="S268" s="143" t="s">
        <v>1807</v>
      </c>
      <c r="T268" s="642">
        <v>0.165</v>
      </c>
      <c r="U268" s="942" t="s">
        <v>313</v>
      </c>
      <c r="V268" s="360" t="e">
        <f>VLOOKUP(A268,#REF!,10,FALSE)</f>
        <v>#REF!</v>
      </c>
    </row>
    <row r="269" spans="1:22" ht="27" customHeight="1">
      <c r="A269" s="721">
        <v>69962</v>
      </c>
      <c r="B269" s="1001"/>
      <c r="C269" s="774" t="s">
        <v>879</v>
      </c>
      <c r="D269" s="286" t="s">
        <v>1387</v>
      </c>
      <c r="E269" s="116" t="s">
        <v>900</v>
      </c>
      <c r="F269" s="116" t="s">
        <v>881</v>
      </c>
      <c r="G269" s="519"/>
      <c r="H269" s="14"/>
      <c r="I269" s="863"/>
      <c r="J269" s="15"/>
      <c r="K269" s="201">
        <f>ROUND(180*(1-$G$4),2)</f>
        <v>174.6</v>
      </c>
      <c r="L269" s="334">
        <v>2012</v>
      </c>
      <c r="M269" s="148" t="s">
        <v>1231</v>
      </c>
      <c r="N269" s="148">
        <v>30</v>
      </c>
      <c r="O269" s="272" t="s">
        <v>1375</v>
      </c>
      <c r="P269" s="311">
        <v>80</v>
      </c>
      <c r="Q269" s="272" t="s">
        <v>1235</v>
      </c>
      <c r="R269" s="322" t="s">
        <v>880</v>
      </c>
      <c r="S269" s="143" t="s">
        <v>1807</v>
      </c>
      <c r="T269" s="642">
        <v>0.162</v>
      </c>
      <c r="U269" s="942" t="s">
        <v>313</v>
      </c>
      <c r="V269" s="360"/>
    </row>
    <row r="270" spans="1:22" ht="27" customHeight="1">
      <c r="A270" s="721">
        <v>70094</v>
      </c>
      <c r="B270" s="1001">
        <v>227</v>
      </c>
      <c r="C270" s="774" t="s">
        <v>637</v>
      </c>
      <c r="D270" s="286" t="s">
        <v>1387</v>
      </c>
      <c r="E270" s="116" t="s">
        <v>2033</v>
      </c>
      <c r="F270" s="116" t="s">
        <v>639</v>
      </c>
      <c r="G270" s="519"/>
      <c r="H270" s="14"/>
      <c r="I270" s="863"/>
      <c r="J270" s="15"/>
      <c r="K270" s="201">
        <f>ROUND(135*(1-$G$4),2)</f>
        <v>130.95</v>
      </c>
      <c r="L270" s="334">
        <v>2013</v>
      </c>
      <c r="M270" s="148" t="s">
        <v>1231</v>
      </c>
      <c r="N270" s="148">
        <v>30</v>
      </c>
      <c r="O270" s="272" t="s">
        <v>1375</v>
      </c>
      <c r="P270" s="311">
        <v>64</v>
      </c>
      <c r="Q270" s="272" t="s">
        <v>1235</v>
      </c>
      <c r="R270" s="322" t="s">
        <v>638</v>
      </c>
      <c r="S270" s="143" t="s">
        <v>1807</v>
      </c>
      <c r="T270" s="642">
        <v>0.122</v>
      </c>
      <c r="U270" s="942" t="s">
        <v>313</v>
      </c>
      <c r="V270" s="360"/>
    </row>
    <row r="271" spans="1:22" ht="27" customHeight="1">
      <c r="A271" s="724">
        <v>70499</v>
      </c>
      <c r="B271" s="1002">
        <v>546</v>
      </c>
      <c r="C271" s="731" t="s">
        <v>1485</v>
      </c>
      <c r="D271" s="286" t="s">
        <v>1387</v>
      </c>
      <c r="E271" s="94" t="s">
        <v>1487</v>
      </c>
      <c r="F271" s="94" t="s">
        <v>1486</v>
      </c>
      <c r="G271" s="518" t="s">
        <v>1218</v>
      </c>
      <c r="H271" s="19"/>
      <c r="I271" s="1071"/>
      <c r="J271" s="12"/>
      <c r="K271" s="201">
        <f t="shared" si="7"/>
        <v>130.95</v>
      </c>
      <c r="L271" s="334">
        <v>2014</v>
      </c>
      <c r="M271" s="261" t="s">
        <v>1231</v>
      </c>
      <c r="N271" s="261">
        <v>30</v>
      </c>
      <c r="O271" s="284" t="s">
        <v>1375</v>
      </c>
      <c r="P271" s="283">
        <v>64</v>
      </c>
      <c r="Q271" s="284" t="s">
        <v>1235</v>
      </c>
      <c r="R271" s="321" t="s">
        <v>2070</v>
      </c>
      <c r="S271" s="142" t="s">
        <v>1807</v>
      </c>
      <c r="T271" s="871">
        <v>0.162</v>
      </c>
      <c r="U271" s="942" t="s">
        <v>313</v>
      </c>
      <c r="V271" s="360" t="e">
        <f>VLOOKUP(A271,#REF!,10,FALSE)</f>
        <v>#REF!</v>
      </c>
    </row>
    <row r="272" spans="1:22" ht="27" customHeight="1">
      <c r="A272" s="724">
        <v>68920</v>
      </c>
      <c r="B272" s="1002"/>
      <c r="C272" s="731" t="s">
        <v>640</v>
      </c>
      <c r="D272" s="286" t="s">
        <v>1387</v>
      </c>
      <c r="E272" s="94" t="s">
        <v>901</v>
      </c>
      <c r="F272" s="94" t="s">
        <v>1611</v>
      </c>
      <c r="G272" s="518"/>
      <c r="H272" s="19"/>
      <c r="I272" s="1071"/>
      <c r="J272" s="12"/>
      <c r="K272" s="201">
        <f>ROUND(180*(1-$G$4),2)</f>
        <v>174.6</v>
      </c>
      <c r="L272" s="334">
        <v>2011</v>
      </c>
      <c r="M272" s="261" t="s">
        <v>1231</v>
      </c>
      <c r="N272" s="261">
        <v>30</v>
      </c>
      <c r="O272" s="284" t="s">
        <v>1375</v>
      </c>
      <c r="P272" s="283">
        <v>80</v>
      </c>
      <c r="Q272" s="284" t="s">
        <v>1235</v>
      </c>
      <c r="R272" s="321" t="s">
        <v>641</v>
      </c>
      <c r="S272" s="142" t="s">
        <v>1807</v>
      </c>
      <c r="T272" s="871">
        <v>0.165</v>
      </c>
      <c r="U272" s="942" t="s">
        <v>313</v>
      </c>
      <c r="V272" s="360"/>
    </row>
    <row r="273" spans="1:22" ht="27" customHeight="1">
      <c r="A273" s="724">
        <v>70325</v>
      </c>
      <c r="B273" s="1002">
        <v>505</v>
      </c>
      <c r="C273" s="689" t="s">
        <v>1400</v>
      </c>
      <c r="D273" s="286" t="s">
        <v>1387</v>
      </c>
      <c r="E273" s="510" t="s">
        <v>1377</v>
      </c>
      <c r="F273" s="510" t="s">
        <v>1635</v>
      </c>
      <c r="G273" s="511" t="s">
        <v>1218</v>
      </c>
      <c r="H273" s="19"/>
      <c r="I273" s="1071"/>
      <c r="J273" s="12"/>
      <c r="K273" s="201">
        <f t="shared" si="7"/>
        <v>130.95</v>
      </c>
      <c r="L273" s="334">
        <v>2011</v>
      </c>
      <c r="M273" s="261" t="s">
        <v>1231</v>
      </c>
      <c r="N273" s="261">
        <v>30</v>
      </c>
      <c r="O273" s="284" t="s">
        <v>1375</v>
      </c>
      <c r="P273" s="283">
        <v>80</v>
      </c>
      <c r="Q273" s="284" t="s">
        <v>1235</v>
      </c>
      <c r="R273" s="321" t="s">
        <v>2071</v>
      </c>
      <c r="S273" s="142" t="s">
        <v>1807</v>
      </c>
      <c r="T273" s="871">
        <v>0.165</v>
      </c>
      <c r="U273" s="942" t="s">
        <v>313</v>
      </c>
      <c r="V273" s="360" t="e">
        <f>VLOOKUP(A273,#REF!,10,FALSE)</f>
        <v>#REF!</v>
      </c>
    </row>
    <row r="274" spans="1:22" ht="27" customHeight="1">
      <c r="A274" s="721">
        <v>69075</v>
      </c>
      <c r="B274" s="1001">
        <v>372</v>
      </c>
      <c r="C274" s="774" t="s">
        <v>1401</v>
      </c>
      <c r="D274" s="286" t="s">
        <v>1387</v>
      </c>
      <c r="E274" s="116" t="s">
        <v>1402</v>
      </c>
      <c r="F274" s="116" t="s">
        <v>1636</v>
      </c>
      <c r="G274" s="519" t="s">
        <v>1218</v>
      </c>
      <c r="H274" s="17" t="s">
        <v>1229</v>
      </c>
      <c r="I274" s="863"/>
      <c r="J274" s="15"/>
      <c r="K274" s="201">
        <f t="shared" si="7"/>
        <v>130.95</v>
      </c>
      <c r="L274" s="334">
        <v>2011</v>
      </c>
      <c r="M274" s="148" t="s">
        <v>1231</v>
      </c>
      <c r="N274" s="148">
        <v>30</v>
      </c>
      <c r="O274" s="272" t="s">
        <v>1375</v>
      </c>
      <c r="P274" s="311">
        <v>80</v>
      </c>
      <c r="Q274" s="272" t="s">
        <v>1235</v>
      </c>
      <c r="R274" s="322" t="s">
        <v>2072</v>
      </c>
      <c r="S274" s="143" t="s">
        <v>1807</v>
      </c>
      <c r="T274" s="642">
        <v>0.148</v>
      </c>
      <c r="U274" s="942" t="s">
        <v>313</v>
      </c>
      <c r="V274" s="360" t="e">
        <f>VLOOKUP(A274,#REF!,10,FALSE)</f>
        <v>#REF!</v>
      </c>
    </row>
    <row r="275" spans="1:22" ht="27" customHeight="1">
      <c r="A275" s="724">
        <v>69814</v>
      </c>
      <c r="B275" s="1002">
        <v>435</v>
      </c>
      <c r="C275" s="731" t="s">
        <v>1403</v>
      </c>
      <c r="D275" s="286" t="s">
        <v>1387</v>
      </c>
      <c r="E275" s="94" t="s">
        <v>1395</v>
      </c>
      <c r="F275" s="94" t="s">
        <v>1637</v>
      </c>
      <c r="G275" s="518" t="s">
        <v>1218</v>
      </c>
      <c r="H275" s="19"/>
      <c r="I275" s="1071"/>
      <c r="J275" s="12"/>
      <c r="K275" s="201">
        <f t="shared" si="7"/>
        <v>130.95</v>
      </c>
      <c r="L275" s="334">
        <v>2012</v>
      </c>
      <c r="M275" s="261" t="s">
        <v>1231</v>
      </c>
      <c r="N275" s="261">
        <v>30</v>
      </c>
      <c r="O275" s="284" t="s">
        <v>1375</v>
      </c>
      <c r="P275" s="283">
        <v>56</v>
      </c>
      <c r="Q275" s="272" t="s">
        <v>1235</v>
      </c>
      <c r="R275" s="322" t="s">
        <v>2073</v>
      </c>
      <c r="S275" s="142" t="s">
        <v>1807</v>
      </c>
      <c r="T275" s="642">
        <v>0.107</v>
      </c>
      <c r="U275" s="942" t="s">
        <v>313</v>
      </c>
      <c r="V275" s="360" t="e">
        <f>VLOOKUP(A275,#REF!,10,FALSE)</f>
        <v>#REF!</v>
      </c>
    </row>
    <row r="276" spans="1:22" ht="27" customHeight="1">
      <c r="A276" s="716">
        <v>70777</v>
      </c>
      <c r="B276" s="999">
        <v>450</v>
      </c>
      <c r="C276" s="717" t="s">
        <v>1522</v>
      </c>
      <c r="D276" s="643" t="s">
        <v>1387</v>
      </c>
      <c r="E276" s="391" t="s">
        <v>1353</v>
      </c>
      <c r="F276" s="391" t="s">
        <v>1638</v>
      </c>
      <c r="G276" s="484" t="s">
        <v>1218</v>
      </c>
      <c r="H276" s="876"/>
      <c r="I276" s="1092"/>
      <c r="J276" s="235"/>
      <c r="K276" s="210">
        <f t="shared" si="7"/>
        <v>130.95</v>
      </c>
      <c r="L276" s="259">
        <v>2014</v>
      </c>
      <c r="M276" s="343" t="s">
        <v>1231</v>
      </c>
      <c r="N276" s="259">
        <v>30</v>
      </c>
      <c r="O276" s="393" t="s">
        <v>1375</v>
      </c>
      <c r="P276" s="259">
        <v>64</v>
      </c>
      <c r="Q276" s="393" t="s">
        <v>1235</v>
      </c>
      <c r="R276" s="325" t="s">
        <v>2074</v>
      </c>
      <c r="S276" s="1404" t="s">
        <v>1807</v>
      </c>
      <c r="T276" s="646">
        <v>0.16</v>
      </c>
      <c r="U276" s="1405" t="s">
        <v>313</v>
      </c>
      <c r="V276" s="360" t="e">
        <f>VLOOKUP(A276,#REF!,10,FALSE)</f>
        <v>#REF!</v>
      </c>
    </row>
    <row r="277" spans="1:22" ht="27" customHeight="1" thickBot="1">
      <c r="A277" s="771">
        <v>70144</v>
      </c>
      <c r="B277" s="1021">
        <v>468</v>
      </c>
      <c r="C277" s="772" t="s">
        <v>642</v>
      </c>
      <c r="D277" s="566" t="s">
        <v>1387</v>
      </c>
      <c r="E277" s="368" t="s">
        <v>1323</v>
      </c>
      <c r="F277" s="368" t="s">
        <v>644</v>
      </c>
      <c r="G277" s="1416"/>
      <c r="H277" s="1413"/>
      <c r="I277" s="1072"/>
      <c r="J277" s="22"/>
      <c r="K277" s="202">
        <f t="shared" si="7"/>
        <v>130.95</v>
      </c>
      <c r="L277" s="335">
        <v>2013</v>
      </c>
      <c r="M277" s="338" t="s">
        <v>1231</v>
      </c>
      <c r="N277" s="338">
        <v>30</v>
      </c>
      <c r="O277" s="289" t="s">
        <v>1375</v>
      </c>
      <c r="P277" s="454">
        <v>80</v>
      </c>
      <c r="Q277" s="289" t="s">
        <v>1235</v>
      </c>
      <c r="R277" s="513" t="s">
        <v>643</v>
      </c>
      <c r="S277" s="1417" t="s">
        <v>1807</v>
      </c>
      <c r="T277" s="872">
        <v>0.165</v>
      </c>
      <c r="U277" s="987" t="s">
        <v>313</v>
      </c>
      <c r="V277" s="360"/>
    </row>
    <row r="278" spans="1:22" ht="27" customHeight="1">
      <c r="A278" s="809">
        <v>71319</v>
      </c>
      <c r="B278" s="1011">
        <v>224</v>
      </c>
      <c r="C278" s="765" t="s">
        <v>1928</v>
      </c>
      <c r="D278" s="164" t="s">
        <v>1933</v>
      </c>
      <c r="E278" s="538" t="s">
        <v>1932</v>
      </c>
      <c r="F278" s="674" t="s">
        <v>1927</v>
      </c>
      <c r="G278" s="631"/>
      <c r="H278" s="1110"/>
      <c r="I278" s="1070" t="s">
        <v>1239</v>
      </c>
      <c r="J278" s="43"/>
      <c r="K278" s="198">
        <f aca="true" t="shared" si="8" ref="K278:K291">ROUND(97.5*(1-$G$4),2)</f>
        <v>94.58</v>
      </c>
      <c r="L278" s="342">
        <v>2015</v>
      </c>
      <c r="M278" s="421" t="s">
        <v>1231</v>
      </c>
      <c r="N278" s="260">
        <v>30</v>
      </c>
      <c r="O278" s="475" t="s">
        <v>1375</v>
      </c>
      <c r="P278" s="260">
        <v>32</v>
      </c>
      <c r="Q278" s="475" t="s">
        <v>1235</v>
      </c>
      <c r="R278" s="469" t="s">
        <v>64</v>
      </c>
      <c r="S278" s="1137" t="s">
        <v>1888</v>
      </c>
      <c r="T278" s="1319">
        <v>0.106</v>
      </c>
      <c r="U278" s="1138" t="s">
        <v>313</v>
      </c>
      <c r="V278" s="360" t="e">
        <f>VLOOKUP(A278,#REF!,10,FALSE)</f>
        <v>#REF!</v>
      </c>
    </row>
    <row r="279" spans="1:22" ht="27" customHeight="1">
      <c r="A279" s="758">
        <v>71498</v>
      </c>
      <c r="B279" s="1014">
        <v>469</v>
      </c>
      <c r="C279" s="765" t="s">
        <v>376</v>
      </c>
      <c r="D279" s="164" t="s">
        <v>1404</v>
      </c>
      <c r="E279" s="538" t="s">
        <v>1312</v>
      </c>
      <c r="F279" s="538" t="s">
        <v>377</v>
      </c>
      <c r="G279" s="631"/>
      <c r="H279" s="1110"/>
      <c r="I279" s="1070" t="s">
        <v>1239</v>
      </c>
      <c r="J279" s="43"/>
      <c r="K279" s="198">
        <f>ROUND(120*(1-$G$4),2)</f>
        <v>116.4</v>
      </c>
      <c r="L279" s="342">
        <v>2016</v>
      </c>
      <c r="M279" s="421" t="s">
        <v>1231</v>
      </c>
      <c r="N279" s="260">
        <v>30</v>
      </c>
      <c r="O279" s="475" t="s">
        <v>1375</v>
      </c>
      <c r="P279" s="260">
        <v>32</v>
      </c>
      <c r="Q279" s="475" t="s">
        <v>1235</v>
      </c>
      <c r="R279" s="469">
        <v>9785462018497</v>
      </c>
      <c r="S279" s="1137" t="s">
        <v>1807</v>
      </c>
      <c r="T279" s="1319">
        <v>0.1</v>
      </c>
      <c r="U279" s="1138" t="s">
        <v>313</v>
      </c>
      <c r="V279" s="360" t="e">
        <f>VLOOKUP(A279,#REF!,10,FALSE)</f>
        <v>#REF!</v>
      </c>
    </row>
    <row r="280" spans="1:22" ht="27" customHeight="1">
      <c r="A280" s="758">
        <v>71114</v>
      </c>
      <c r="B280" s="1014">
        <v>396</v>
      </c>
      <c r="C280" s="765" t="s">
        <v>1556</v>
      </c>
      <c r="D280" s="164" t="s">
        <v>1404</v>
      </c>
      <c r="E280" s="538" t="s">
        <v>1295</v>
      </c>
      <c r="F280" s="538" t="s">
        <v>1639</v>
      </c>
      <c r="G280" s="546" t="s">
        <v>1218</v>
      </c>
      <c r="H280" s="252" t="s">
        <v>1555</v>
      </c>
      <c r="I280" s="1082" t="s">
        <v>1239</v>
      </c>
      <c r="J280" s="236"/>
      <c r="K280" s="198">
        <f t="shared" si="8"/>
        <v>94.58</v>
      </c>
      <c r="L280" s="260">
        <v>2015</v>
      </c>
      <c r="M280" s="504" t="s">
        <v>1231</v>
      </c>
      <c r="N280" s="260">
        <v>30</v>
      </c>
      <c r="O280" s="475" t="s">
        <v>1375</v>
      </c>
      <c r="P280" s="260">
        <v>32</v>
      </c>
      <c r="Q280" s="476" t="s">
        <v>1235</v>
      </c>
      <c r="R280" s="469" t="s">
        <v>2132</v>
      </c>
      <c r="S280" s="1137" t="s">
        <v>1807</v>
      </c>
      <c r="T280" s="1319">
        <v>0.1</v>
      </c>
      <c r="U280" s="1138" t="s">
        <v>313</v>
      </c>
      <c r="V280" s="360" t="e">
        <f>VLOOKUP(A280,#REF!,10,FALSE)</f>
        <v>#REF!</v>
      </c>
    </row>
    <row r="281" spans="1:22" ht="27" customHeight="1">
      <c r="A281" s="724">
        <v>70589</v>
      </c>
      <c r="B281" s="1002">
        <v>559</v>
      </c>
      <c r="C281" s="689" t="s">
        <v>1405</v>
      </c>
      <c r="D281" s="79" t="s">
        <v>1404</v>
      </c>
      <c r="E281" s="510" t="s">
        <v>1406</v>
      </c>
      <c r="F281" s="94" t="s">
        <v>1640</v>
      </c>
      <c r="G281" s="565"/>
      <c r="H281" s="570"/>
      <c r="I281" s="1083" t="s">
        <v>1239</v>
      </c>
      <c r="J281" s="34"/>
      <c r="K281" s="196">
        <f t="shared" si="8"/>
        <v>94.58</v>
      </c>
      <c r="L281" s="334">
        <v>2014</v>
      </c>
      <c r="M281" s="261" t="s">
        <v>1231</v>
      </c>
      <c r="N281" s="261">
        <v>30</v>
      </c>
      <c r="O281" s="283" t="s">
        <v>1375</v>
      </c>
      <c r="P281" s="261">
        <v>32</v>
      </c>
      <c r="Q281" s="135" t="s">
        <v>1235</v>
      </c>
      <c r="R281" s="321" t="s">
        <v>2133</v>
      </c>
      <c r="S281" s="892" t="s">
        <v>1807</v>
      </c>
      <c r="T281" s="871">
        <v>0.1</v>
      </c>
      <c r="U281" s="942" t="s">
        <v>313</v>
      </c>
      <c r="V281" s="360" t="e">
        <f>VLOOKUP(A281,#REF!,10,FALSE)</f>
        <v>#REF!</v>
      </c>
    </row>
    <row r="282" spans="1:22" ht="27" customHeight="1">
      <c r="A282" s="721">
        <v>71003</v>
      </c>
      <c r="B282" s="1001">
        <v>463</v>
      </c>
      <c r="C282" s="557" t="s">
        <v>1514</v>
      </c>
      <c r="D282" s="79" t="s">
        <v>1404</v>
      </c>
      <c r="E282" s="158" t="s">
        <v>1515</v>
      </c>
      <c r="F282" s="158" t="s">
        <v>1854</v>
      </c>
      <c r="G282" s="483" t="s">
        <v>1218</v>
      </c>
      <c r="H282" s="101"/>
      <c r="I282" s="1083" t="s">
        <v>1239</v>
      </c>
      <c r="J282" s="404"/>
      <c r="K282" s="196">
        <f t="shared" si="8"/>
        <v>94.58</v>
      </c>
      <c r="L282" s="148">
        <v>2015</v>
      </c>
      <c r="M282" s="261" t="s">
        <v>1231</v>
      </c>
      <c r="N282" s="148">
        <v>30</v>
      </c>
      <c r="O282" s="311" t="s">
        <v>1375</v>
      </c>
      <c r="P282" s="148">
        <v>32</v>
      </c>
      <c r="Q282" s="134" t="s">
        <v>1235</v>
      </c>
      <c r="R282" s="322" t="s">
        <v>2134</v>
      </c>
      <c r="S282" s="617" t="s">
        <v>1807</v>
      </c>
      <c r="T282" s="642">
        <v>0.1</v>
      </c>
      <c r="U282" s="942" t="s">
        <v>313</v>
      </c>
      <c r="V282" s="360" t="e">
        <f>VLOOKUP(A282,#REF!,10,FALSE)</f>
        <v>#REF!</v>
      </c>
    </row>
    <row r="283" spans="1:22" ht="27" customHeight="1">
      <c r="A283" s="721">
        <v>71184</v>
      </c>
      <c r="B283" s="1001">
        <v>259</v>
      </c>
      <c r="C283" s="557" t="s">
        <v>1850</v>
      </c>
      <c r="D283" s="79" t="s">
        <v>1404</v>
      </c>
      <c r="E283" s="158" t="s">
        <v>1830</v>
      </c>
      <c r="F283" s="158" t="s">
        <v>1853</v>
      </c>
      <c r="G283" s="571" t="s">
        <v>1218</v>
      </c>
      <c r="H283" s="178"/>
      <c r="I283" s="1083" t="s">
        <v>1239</v>
      </c>
      <c r="J283" s="85"/>
      <c r="K283" s="196">
        <f t="shared" si="8"/>
        <v>94.58</v>
      </c>
      <c r="L283" s="148">
        <v>2015</v>
      </c>
      <c r="M283" s="261" t="s">
        <v>1231</v>
      </c>
      <c r="N283" s="148">
        <v>30</v>
      </c>
      <c r="O283" s="311" t="s">
        <v>1375</v>
      </c>
      <c r="P283" s="148">
        <v>32</v>
      </c>
      <c r="Q283" s="134" t="s">
        <v>1235</v>
      </c>
      <c r="R283" s="322" t="s">
        <v>0</v>
      </c>
      <c r="S283" s="617" t="s">
        <v>1807</v>
      </c>
      <c r="T283" s="642">
        <v>0.11</v>
      </c>
      <c r="U283" s="942" t="s">
        <v>313</v>
      </c>
      <c r="V283" s="360" t="e">
        <f>VLOOKUP(A283,#REF!,10,FALSE)</f>
        <v>#REF!</v>
      </c>
    </row>
    <row r="284" spans="1:22" ht="27" customHeight="1">
      <c r="A284" s="721">
        <v>70054</v>
      </c>
      <c r="B284" s="1001">
        <v>306</v>
      </c>
      <c r="C284" s="774" t="s">
        <v>1407</v>
      </c>
      <c r="D284" s="79" t="s">
        <v>1404</v>
      </c>
      <c r="E284" s="116" t="s">
        <v>1408</v>
      </c>
      <c r="F284" s="94" t="s">
        <v>1641</v>
      </c>
      <c r="G284" s="519" t="s">
        <v>1218</v>
      </c>
      <c r="H284" s="17"/>
      <c r="I284" s="1083" t="s">
        <v>1239</v>
      </c>
      <c r="J284" s="34"/>
      <c r="K284" s="196">
        <f t="shared" si="8"/>
        <v>94.58</v>
      </c>
      <c r="L284" s="334">
        <v>2012</v>
      </c>
      <c r="M284" s="148" t="s">
        <v>1231</v>
      </c>
      <c r="N284" s="148">
        <v>30</v>
      </c>
      <c r="O284" s="272" t="s">
        <v>1375</v>
      </c>
      <c r="P284" s="311">
        <v>32</v>
      </c>
      <c r="Q284" s="318" t="s">
        <v>1235</v>
      </c>
      <c r="R284" s="322" t="s">
        <v>1</v>
      </c>
      <c r="S284" s="143" t="s">
        <v>1807</v>
      </c>
      <c r="T284" s="642">
        <v>0.1</v>
      </c>
      <c r="U284" s="942" t="s">
        <v>313</v>
      </c>
      <c r="V284" s="360" t="e">
        <f>VLOOKUP(A284,#REF!,10,FALSE)</f>
        <v>#REF!</v>
      </c>
    </row>
    <row r="285" spans="1:22" ht="27" customHeight="1">
      <c r="A285" s="721">
        <v>70911</v>
      </c>
      <c r="B285" s="1001">
        <v>337</v>
      </c>
      <c r="C285" s="557" t="s">
        <v>1409</v>
      </c>
      <c r="D285" s="79" t="s">
        <v>1404</v>
      </c>
      <c r="E285" s="158" t="s">
        <v>1250</v>
      </c>
      <c r="F285" s="94" t="s">
        <v>1642</v>
      </c>
      <c r="G285" s="550" t="s">
        <v>1218</v>
      </c>
      <c r="H285" s="14"/>
      <c r="I285" s="1083" t="s">
        <v>1239</v>
      </c>
      <c r="J285" s="34"/>
      <c r="K285" s="196">
        <f t="shared" si="8"/>
        <v>94.58</v>
      </c>
      <c r="L285" s="334">
        <v>2015</v>
      </c>
      <c r="M285" s="465">
        <v>0.1</v>
      </c>
      <c r="N285" s="148">
        <v>30</v>
      </c>
      <c r="O285" s="311" t="s">
        <v>1375</v>
      </c>
      <c r="P285" s="148">
        <v>32</v>
      </c>
      <c r="Q285" s="134" t="s">
        <v>1235</v>
      </c>
      <c r="R285" s="322" t="s">
        <v>2</v>
      </c>
      <c r="S285" s="617" t="s">
        <v>1807</v>
      </c>
      <c r="T285" s="642">
        <v>0.1</v>
      </c>
      <c r="U285" s="942" t="s">
        <v>313</v>
      </c>
      <c r="V285" s="360" t="e">
        <f>VLOOKUP(A285,#REF!,10,FALSE)</f>
        <v>#REF!</v>
      </c>
    </row>
    <row r="286" spans="1:22" ht="27" customHeight="1">
      <c r="A286" s="724">
        <v>70761</v>
      </c>
      <c r="B286" s="1002">
        <v>417</v>
      </c>
      <c r="C286" s="731" t="s">
        <v>1410</v>
      </c>
      <c r="D286" s="79" t="s">
        <v>1404</v>
      </c>
      <c r="E286" s="94" t="s">
        <v>1411</v>
      </c>
      <c r="F286" s="94" t="s">
        <v>1412</v>
      </c>
      <c r="G286" s="518" t="s">
        <v>1218</v>
      </c>
      <c r="H286" s="26"/>
      <c r="I286" s="1071" t="s">
        <v>1239</v>
      </c>
      <c r="J286" s="12"/>
      <c r="K286" s="196">
        <f t="shared" si="8"/>
        <v>94.58</v>
      </c>
      <c r="L286" s="334">
        <v>2014</v>
      </c>
      <c r="M286" s="261" t="s">
        <v>1231</v>
      </c>
      <c r="N286" s="261">
        <v>30</v>
      </c>
      <c r="O286" s="284" t="s">
        <v>1375</v>
      </c>
      <c r="P286" s="283">
        <v>32</v>
      </c>
      <c r="Q286" s="310" t="s">
        <v>1235</v>
      </c>
      <c r="R286" s="321" t="s">
        <v>3</v>
      </c>
      <c r="S286" s="142" t="s">
        <v>1807</v>
      </c>
      <c r="T286" s="871">
        <v>0.105</v>
      </c>
      <c r="U286" s="942" t="s">
        <v>313</v>
      </c>
      <c r="V286" s="360" t="e">
        <f>VLOOKUP(A286,#REF!,10,FALSE)</f>
        <v>#REF!</v>
      </c>
    </row>
    <row r="287" spans="1:22" ht="27" customHeight="1">
      <c r="A287" s="724">
        <v>70515</v>
      </c>
      <c r="B287" s="1002">
        <v>510</v>
      </c>
      <c r="C287" s="731" t="s">
        <v>1413</v>
      </c>
      <c r="D287" s="79" t="s">
        <v>1404</v>
      </c>
      <c r="E287" s="94" t="s">
        <v>1414</v>
      </c>
      <c r="F287" s="94" t="s">
        <v>1643</v>
      </c>
      <c r="G287" s="518" t="s">
        <v>1218</v>
      </c>
      <c r="H287" s="20"/>
      <c r="I287" s="1071" t="s">
        <v>1239</v>
      </c>
      <c r="J287" s="12"/>
      <c r="K287" s="196">
        <f t="shared" si="8"/>
        <v>94.58</v>
      </c>
      <c r="L287" s="334">
        <v>2014</v>
      </c>
      <c r="M287" s="261" t="s">
        <v>1231</v>
      </c>
      <c r="N287" s="261">
        <v>30</v>
      </c>
      <c r="O287" s="284" t="s">
        <v>1375</v>
      </c>
      <c r="P287" s="283">
        <v>32</v>
      </c>
      <c r="Q287" s="310" t="s">
        <v>1235</v>
      </c>
      <c r="R287" s="321" t="s">
        <v>4</v>
      </c>
      <c r="S287" s="142" t="s">
        <v>1807</v>
      </c>
      <c r="T287" s="871">
        <v>0.1</v>
      </c>
      <c r="U287" s="942" t="s">
        <v>313</v>
      </c>
      <c r="V287" s="360" t="e">
        <f>VLOOKUP(A287,#REF!,10,FALSE)</f>
        <v>#REF!</v>
      </c>
    </row>
    <row r="288" spans="1:22" ht="27" customHeight="1">
      <c r="A288" s="791">
        <v>70884</v>
      </c>
      <c r="B288" s="1032">
        <v>290</v>
      </c>
      <c r="C288" s="792" t="s">
        <v>1415</v>
      </c>
      <c r="D288" s="79" t="s">
        <v>1404</v>
      </c>
      <c r="E288" s="832" t="s">
        <v>1416</v>
      </c>
      <c r="F288" s="94" t="s">
        <v>1644</v>
      </c>
      <c r="G288" s="550" t="s">
        <v>1218</v>
      </c>
      <c r="H288" s="26"/>
      <c r="I288" s="1071" t="s">
        <v>1239</v>
      </c>
      <c r="J288" s="12"/>
      <c r="K288" s="196">
        <f t="shared" si="8"/>
        <v>94.58</v>
      </c>
      <c r="L288" s="334">
        <v>2014</v>
      </c>
      <c r="M288" s="261" t="s">
        <v>1231</v>
      </c>
      <c r="N288" s="849">
        <v>30</v>
      </c>
      <c r="O288" s="850" t="s">
        <v>1375</v>
      </c>
      <c r="P288" s="849">
        <v>32</v>
      </c>
      <c r="Q288" s="851" t="s">
        <v>1235</v>
      </c>
      <c r="R288" s="852" t="s">
        <v>7</v>
      </c>
      <c r="S288" s="142" t="s">
        <v>1807</v>
      </c>
      <c r="T288" s="1320">
        <v>0.1</v>
      </c>
      <c r="U288" s="942" t="s">
        <v>313</v>
      </c>
      <c r="V288" s="360" t="e">
        <f>VLOOKUP(A288,#REF!,10,FALSE)</f>
        <v>#REF!</v>
      </c>
    </row>
    <row r="289" spans="1:22" s="96" customFormat="1" ht="27" customHeight="1">
      <c r="A289" s="721">
        <v>71295</v>
      </c>
      <c r="B289" s="1001">
        <v>200</v>
      </c>
      <c r="C289" s="557" t="s">
        <v>1904</v>
      </c>
      <c r="D289" s="79" t="s">
        <v>1404</v>
      </c>
      <c r="E289" s="158" t="s">
        <v>1906</v>
      </c>
      <c r="F289" s="158" t="s">
        <v>1905</v>
      </c>
      <c r="G289" s="397"/>
      <c r="H289" s="101"/>
      <c r="I289" s="1071" t="s">
        <v>1239</v>
      </c>
      <c r="J289" s="85"/>
      <c r="K289" s="196">
        <f t="shared" si="8"/>
        <v>94.58</v>
      </c>
      <c r="L289" s="334">
        <v>2015</v>
      </c>
      <c r="M289" s="261" t="s">
        <v>1231</v>
      </c>
      <c r="N289" s="148">
        <v>30</v>
      </c>
      <c r="O289" s="311" t="s">
        <v>1375</v>
      </c>
      <c r="P289" s="148">
        <v>32</v>
      </c>
      <c r="Q289" s="134" t="s">
        <v>1235</v>
      </c>
      <c r="R289" s="322" t="s">
        <v>8</v>
      </c>
      <c r="S289" s="142" t="s">
        <v>1807</v>
      </c>
      <c r="T289" s="1320">
        <v>0.1</v>
      </c>
      <c r="U289" s="942" t="s">
        <v>313</v>
      </c>
      <c r="V289" s="360" t="e">
        <f>VLOOKUP(A289,#REF!,10,FALSE)</f>
        <v>#REF!</v>
      </c>
    </row>
    <row r="290" spans="1:22" ht="27" customHeight="1">
      <c r="A290" s="721">
        <v>70961</v>
      </c>
      <c r="B290" s="1001">
        <v>269</v>
      </c>
      <c r="C290" s="557" t="s">
        <v>1513</v>
      </c>
      <c r="D290" s="79" t="s">
        <v>1404</v>
      </c>
      <c r="E290" s="158" t="s">
        <v>1343</v>
      </c>
      <c r="F290" s="158" t="s">
        <v>1645</v>
      </c>
      <c r="G290" s="483" t="s">
        <v>1218</v>
      </c>
      <c r="H290" s="219" t="s">
        <v>1320</v>
      </c>
      <c r="I290" s="863" t="s">
        <v>1239</v>
      </c>
      <c r="J290" s="397"/>
      <c r="K290" s="196">
        <f t="shared" si="8"/>
        <v>94.58</v>
      </c>
      <c r="L290" s="148">
        <v>2015</v>
      </c>
      <c r="M290" s="261" t="s">
        <v>1231</v>
      </c>
      <c r="N290" s="148">
        <v>30</v>
      </c>
      <c r="O290" s="311" t="s">
        <v>1375</v>
      </c>
      <c r="P290" s="148">
        <v>32</v>
      </c>
      <c r="Q290" s="134" t="s">
        <v>1235</v>
      </c>
      <c r="R290" s="322" t="s">
        <v>6</v>
      </c>
      <c r="S290" s="617" t="s">
        <v>1807</v>
      </c>
      <c r="T290" s="642">
        <v>0.105</v>
      </c>
      <c r="U290" s="942" t="s">
        <v>313</v>
      </c>
      <c r="V290" s="360" t="e">
        <f>VLOOKUP(A290,#REF!,10,FALSE)</f>
        <v>#REF!</v>
      </c>
    </row>
    <row r="291" spans="1:22" ht="27" customHeight="1">
      <c r="A291" s="724">
        <v>70395</v>
      </c>
      <c r="B291" s="1002">
        <v>366</v>
      </c>
      <c r="C291" s="689" t="s">
        <v>1417</v>
      </c>
      <c r="D291" s="79" t="s">
        <v>1404</v>
      </c>
      <c r="E291" s="510" t="s">
        <v>1317</v>
      </c>
      <c r="F291" s="94" t="s">
        <v>1646</v>
      </c>
      <c r="G291" s="511" t="s">
        <v>1218</v>
      </c>
      <c r="H291" s="19"/>
      <c r="I291" s="1071" t="s">
        <v>1239</v>
      </c>
      <c r="J291" s="12"/>
      <c r="K291" s="196">
        <f t="shared" si="8"/>
        <v>94.58</v>
      </c>
      <c r="L291" s="334">
        <v>2013</v>
      </c>
      <c r="M291" s="261" t="s">
        <v>1231</v>
      </c>
      <c r="N291" s="261">
        <v>30</v>
      </c>
      <c r="O291" s="284" t="s">
        <v>1375</v>
      </c>
      <c r="P291" s="283">
        <v>32</v>
      </c>
      <c r="Q291" s="310" t="s">
        <v>1235</v>
      </c>
      <c r="R291" s="321" t="s">
        <v>9</v>
      </c>
      <c r="S291" s="142" t="s">
        <v>1807</v>
      </c>
      <c r="T291" s="871">
        <v>0.1</v>
      </c>
      <c r="U291" s="942" t="s">
        <v>313</v>
      </c>
      <c r="V291" s="360" t="e">
        <f>VLOOKUP(A291,#REF!,10,FALSE)</f>
        <v>#REF!</v>
      </c>
    </row>
    <row r="292" spans="1:22" ht="27" customHeight="1">
      <c r="A292" s="721">
        <v>71010</v>
      </c>
      <c r="B292" s="1001">
        <v>493</v>
      </c>
      <c r="C292" s="557" t="s">
        <v>1524</v>
      </c>
      <c r="D292" s="79" t="s">
        <v>1404</v>
      </c>
      <c r="E292" s="158" t="s">
        <v>1521</v>
      </c>
      <c r="F292" s="158" t="s">
        <v>1525</v>
      </c>
      <c r="G292" s="483" t="s">
        <v>1218</v>
      </c>
      <c r="H292" s="101"/>
      <c r="I292" s="1071" t="s">
        <v>1239</v>
      </c>
      <c r="J292" s="85"/>
      <c r="K292" s="196">
        <f>ROUND(135*(1-$G$4),2)</f>
        <v>130.95</v>
      </c>
      <c r="L292" s="148">
        <v>2015</v>
      </c>
      <c r="M292" s="261" t="s">
        <v>1231</v>
      </c>
      <c r="N292" s="148">
        <v>30</v>
      </c>
      <c r="O292" s="311" t="s">
        <v>1375</v>
      </c>
      <c r="P292" s="148">
        <v>32</v>
      </c>
      <c r="Q292" s="134" t="s">
        <v>1235</v>
      </c>
      <c r="R292" s="322" t="s">
        <v>10</v>
      </c>
      <c r="S292" s="617" t="s">
        <v>1807</v>
      </c>
      <c r="T292" s="642">
        <v>0.105</v>
      </c>
      <c r="U292" s="942" t="s">
        <v>313</v>
      </c>
      <c r="V292" s="360" t="e">
        <f>VLOOKUP(A292,#REF!,10,FALSE)</f>
        <v>#REF!</v>
      </c>
    </row>
    <row r="293" spans="1:22" ht="27" customHeight="1">
      <c r="A293" s="721">
        <v>70833</v>
      </c>
      <c r="B293" s="1001">
        <v>139</v>
      </c>
      <c r="C293" s="557" t="s">
        <v>1418</v>
      </c>
      <c r="D293" s="79" t="s">
        <v>1404</v>
      </c>
      <c r="E293" s="158" t="s">
        <v>1419</v>
      </c>
      <c r="F293" s="94" t="s">
        <v>1420</v>
      </c>
      <c r="G293" s="488" t="s">
        <v>1218</v>
      </c>
      <c r="H293" s="178" t="s">
        <v>1330</v>
      </c>
      <c r="I293" s="1071" t="s">
        <v>1239</v>
      </c>
      <c r="J293" s="12"/>
      <c r="K293" s="196">
        <f>ROUND(105*(1-$G$4),2)</f>
        <v>101.85</v>
      </c>
      <c r="L293" s="334">
        <v>2014</v>
      </c>
      <c r="M293" s="261" t="s">
        <v>1231</v>
      </c>
      <c r="N293" s="148">
        <v>30</v>
      </c>
      <c r="O293" s="311" t="s">
        <v>1375</v>
      </c>
      <c r="P293" s="148">
        <v>32</v>
      </c>
      <c r="Q293" s="134" t="s">
        <v>1235</v>
      </c>
      <c r="R293" s="322" t="s">
        <v>297</v>
      </c>
      <c r="S293" s="617" t="s">
        <v>1807</v>
      </c>
      <c r="T293" s="642">
        <v>0.1</v>
      </c>
      <c r="U293" s="942" t="s">
        <v>313</v>
      </c>
      <c r="V293" s="360" t="e">
        <f>VLOOKUP(A293,#REF!,10,FALSE)</f>
        <v>#REF!</v>
      </c>
    </row>
    <row r="294" spans="1:22" ht="27" customHeight="1">
      <c r="A294" s="724">
        <v>70419</v>
      </c>
      <c r="B294" s="1002">
        <v>406</v>
      </c>
      <c r="C294" s="689" t="s">
        <v>265</v>
      </c>
      <c r="D294" s="79" t="s">
        <v>1404</v>
      </c>
      <c r="E294" s="510" t="s">
        <v>1325</v>
      </c>
      <c r="F294" s="94" t="s">
        <v>367</v>
      </c>
      <c r="G294" s="511" t="s">
        <v>1218</v>
      </c>
      <c r="H294" s="26"/>
      <c r="I294" s="1071" t="s">
        <v>1239</v>
      </c>
      <c r="J294" s="12"/>
      <c r="K294" s="196">
        <f>ROUND(97.5*(1-$G$4),2)</f>
        <v>94.58</v>
      </c>
      <c r="L294" s="334">
        <v>2013</v>
      </c>
      <c r="M294" s="261" t="s">
        <v>1231</v>
      </c>
      <c r="N294" s="261">
        <v>40</v>
      </c>
      <c r="O294" s="284" t="s">
        <v>1375</v>
      </c>
      <c r="P294" s="283">
        <v>32</v>
      </c>
      <c r="Q294" s="284" t="s">
        <v>1235</v>
      </c>
      <c r="R294" s="310" t="s">
        <v>366</v>
      </c>
      <c r="S294" s="617" t="s">
        <v>1807</v>
      </c>
      <c r="T294" s="871">
        <v>0.1</v>
      </c>
      <c r="U294" s="942" t="s">
        <v>313</v>
      </c>
      <c r="V294" s="360" t="e">
        <f>VLOOKUP(A294,#REF!,10,FALSE)</f>
        <v>#REF!</v>
      </c>
    </row>
    <row r="295" spans="1:22" ht="27" customHeight="1">
      <c r="A295" s="793">
        <v>71436</v>
      </c>
      <c r="B295" s="1027">
        <v>99</v>
      </c>
      <c r="C295" s="557" t="s">
        <v>1501</v>
      </c>
      <c r="D295" s="79" t="s">
        <v>1404</v>
      </c>
      <c r="E295" s="158" t="s">
        <v>1280</v>
      </c>
      <c r="F295" s="94" t="s">
        <v>1502</v>
      </c>
      <c r="G295" s="488" t="s">
        <v>1218</v>
      </c>
      <c r="H295" s="229" t="s">
        <v>1330</v>
      </c>
      <c r="I295" s="1071" t="s">
        <v>1239</v>
      </c>
      <c r="J295" s="12"/>
      <c r="K295" s="196">
        <f>ROUND(105*(1-$G$4),2)</f>
        <v>101.85</v>
      </c>
      <c r="L295" s="334">
        <v>2016</v>
      </c>
      <c r="M295" s="402">
        <v>0.1</v>
      </c>
      <c r="N295" s="148">
        <v>30</v>
      </c>
      <c r="O295" s="311" t="s">
        <v>1375</v>
      </c>
      <c r="P295" s="148">
        <v>32</v>
      </c>
      <c r="Q295" s="134" t="s">
        <v>1235</v>
      </c>
      <c r="R295" s="322" t="s">
        <v>14</v>
      </c>
      <c r="S295" s="617" t="s">
        <v>1807</v>
      </c>
      <c r="T295" s="642">
        <v>0.1</v>
      </c>
      <c r="U295" s="942" t="s">
        <v>313</v>
      </c>
      <c r="V295" s="360" t="e">
        <f>VLOOKUP(A295,#REF!,10,FALSE)</f>
        <v>#REF!</v>
      </c>
    </row>
    <row r="296" spans="1:22" ht="27" customHeight="1">
      <c r="A296" s="721">
        <v>70960</v>
      </c>
      <c r="B296" s="1001">
        <v>315</v>
      </c>
      <c r="C296" s="731" t="s">
        <v>1421</v>
      </c>
      <c r="D296" s="79" t="s">
        <v>1404</v>
      </c>
      <c r="E296" s="94" t="s">
        <v>1280</v>
      </c>
      <c r="F296" s="94" t="s">
        <v>1279</v>
      </c>
      <c r="G296" s="518" t="s">
        <v>1218</v>
      </c>
      <c r="H296" s="14"/>
      <c r="I296" s="1071" t="s">
        <v>1239</v>
      </c>
      <c r="J296" s="12"/>
      <c r="K296" s="196">
        <f>ROUND(97.5*(1-$G$4),2)</f>
        <v>94.58</v>
      </c>
      <c r="L296" s="334">
        <v>2015</v>
      </c>
      <c r="M296" s="261" t="s">
        <v>1231</v>
      </c>
      <c r="N296" s="261">
        <v>30</v>
      </c>
      <c r="O296" s="284" t="s">
        <v>1375</v>
      </c>
      <c r="P296" s="283">
        <v>32</v>
      </c>
      <c r="Q296" s="310" t="s">
        <v>1235</v>
      </c>
      <c r="R296" s="321" t="s">
        <v>15</v>
      </c>
      <c r="S296" s="142" t="s">
        <v>1807</v>
      </c>
      <c r="T296" s="871">
        <v>0.1</v>
      </c>
      <c r="U296" s="942" t="s">
        <v>313</v>
      </c>
      <c r="V296" s="360" t="e">
        <f>VLOOKUP(A296,#REF!,10,FALSE)</f>
        <v>#REF!</v>
      </c>
    </row>
    <row r="297" spans="1:22" ht="27" customHeight="1">
      <c r="A297" s="721">
        <v>70910</v>
      </c>
      <c r="B297" s="1001">
        <v>362</v>
      </c>
      <c r="C297" s="557" t="s">
        <v>1422</v>
      </c>
      <c r="D297" s="79" t="s">
        <v>1404</v>
      </c>
      <c r="E297" s="158" t="s">
        <v>1423</v>
      </c>
      <c r="F297" s="94" t="s">
        <v>1647</v>
      </c>
      <c r="G297" s="551" t="s">
        <v>1218</v>
      </c>
      <c r="H297" s="14"/>
      <c r="I297" s="863" t="s">
        <v>1239</v>
      </c>
      <c r="J297" s="85"/>
      <c r="K297" s="196">
        <f>ROUND(97.5*(1-$G$4),2)</f>
        <v>94.58</v>
      </c>
      <c r="L297" s="334">
        <v>2014</v>
      </c>
      <c r="M297" s="261" t="s">
        <v>1231</v>
      </c>
      <c r="N297" s="148">
        <v>30</v>
      </c>
      <c r="O297" s="311" t="s">
        <v>1375</v>
      </c>
      <c r="P297" s="148">
        <v>32</v>
      </c>
      <c r="Q297" s="134" t="s">
        <v>1235</v>
      </c>
      <c r="R297" s="322" t="s">
        <v>16</v>
      </c>
      <c r="S297" s="617" t="s">
        <v>1808</v>
      </c>
      <c r="T297" s="642">
        <v>0.1</v>
      </c>
      <c r="U297" s="942" t="s">
        <v>313</v>
      </c>
      <c r="V297" s="360" t="e">
        <f>VLOOKUP(A297,#REF!,10,FALSE)</f>
        <v>#REF!</v>
      </c>
    </row>
    <row r="298" spans="1:22" ht="27" customHeight="1">
      <c r="A298" s="721">
        <v>71112</v>
      </c>
      <c r="B298" s="1001">
        <v>253</v>
      </c>
      <c r="C298" s="557" t="s">
        <v>1424</v>
      </c>
      <c r="D298" s="79" t="s">
        <v>1404</v>
      </c>
      <c r="E298" s="158" t="s">
        <v>1425</v>
      </c>
      <c r="F298" s="94" t="s">
        <v>1648</v>
      </c>
      <c r="G298" s="550" t="s">
        <v>1218</v>
      </c>
      <c r="H298" s="14"/>
      <c r="I298" s="1071" t="s">
        <v>1239</v>
      </c>
      <c r="J298" s="12"/>
      <c r="K298" s="196">
        <f>ROUND(97.5*(1-$G$4),2)</f>
        <v>94.58</v>
      </c>
      <c r="L298" s="148">
        <v>2014</v>
      </c>
      <c r="M298" s="261" t="s">
        <v>1231</v>
      </c>
      <c r="N298" s="148">
        <v>30</v>
      </c>
      <c r="O298" s="311" t="s">
        <v>1375</v>
      </c>
      <c r="P298" s="148">
        <v>32</v>
      </c>
      <c r="Q298" s="134" t="s">
        <v>1235</v>
      </c>
      <c r="R298" s="322" t="s">
        <v>17</v>
      </c>
      <c r="S298" s="617" t="s">
        <v>1807</v>
      </c>
      <c r="T298" s="642">
        <v>0.1</v>
      </c>
      <c r="U298" s="942" t="s">
        <v>313</v>
      </c>
      <c r="V298" s="360" t="e">
        <f>VLOOKUP(A298,#REF!,10,FALSE)</f>
        <v>#REF!</v>
      </c>
    </row>
    <row r="299" spans="1:22" ht="27" customHeight="1">
      <c r="A299" s="791">
        <v>70885</v>
      </c>
      <c r="B299" s="1032">
        <v>321</v>
      </c>
      <c r="C299" s="792" t="s">
        <v>1426</v>
      </c>
      <c r="D299" s="79" t="s">
        <v>1404</v>
      </c>
      <c r="E299" s="832" t="s">
        <v>1427</v>
      </c>
      <c r="F299" s="94" t="s">
        <v>1649</v>
      </c>
      <c r="G299" s="550" t="s">
        <v>1218</v>
      </c>
      <c r="H299" s="220"/>
      <c r="I299" s="1071" t="s">
        <v>1239</v>
      </c>
      <c r="J299" s="12"/>
      <c r="K299" s="196">
        <f>ROUND(97.5*(1-$G$4),2)</f>
        <v>94.58</v>
      </c>
      <c r="L299" s="849">
        <v>2014</v>
      </c>
      <c r="M299" s="261" t="s">
        <v>1231</v>
      </c>
      <c r="N299" s="849">
        <v>30</v>
      </c>
      <c r="O299" s="850" t="s">
        <v>1375</v>
      </c>
      <c r="P299" s="849">
        <v>32</v>
      </c>
      <c r="Q299" s="851" t="s">
        <v>1235</v>
      </c>
      <c r="R299" s="852" t="s">
        <v>18</v>
      </c>
      <c r="S299" s="894" t="s">
        <v>1807</v>
      </c>
      <c r="T299" s="1320">
        <v>0.1</v>
      </c>
      <c r="U299" s="942" t="s">
        <v>313</v>
      </c>
      <c r="V299" s="360" t="e">
        <f>VLOOKUP(A299,#REF!,10,FALSE)</f>
        <v>#REF!</v>
      </c>
    </row>
    <row r="300" spans="1:22" ht="27" customHeight="1" thickBot="1">
      <c r="A300" s="725">
        <v>71128</v>
      </c>
      <c r="B300" s="1003">
        <v>623</v>
      </c>
      <c r="C300" s="726" t="s">
        <v>1846</v>
      </c>
      <c r="D300" s="60" t="s">
        <v>1404</v>
      </c>
      <c r="E300" s="406" t="s">
        <v>1280</v>
      </c>
      <c r="F300" s="406" t="s">
        <v>1845</v>
      </c>
      <c r="G300" s="573"/>
      <c r="H300" s="57" t="s">
        <v>1321</v>
      </c>
      <c r="I300" s="1072" t="s">
        <v>1239</v>
      </c>
      <c r="J300" s="138"/>
      <c r="K300" s="200">
        <v>120</v>
      </c>
      <c r="L300" s="149">
        <v>2015</v>
      </c>
      <c r="M300" s="338" t="s">
        <v>1231</v>
      </c>
      <c r="N300" s="149">
        <v>1</v>
      </c>
      <c r="O300" s="244" t="s">
        <v>1375</v>
      </c>
      <c r="P300" s="149">
        <v>64</v>
      </c>
      <c r="Q300" s="136" t="s">
        <v>1235</v>
      </c>
      <c r="R300" s="324" t="s">
        <v>5</v>
      </c>
      <c r="S300" s="1318" t="s">
        <v>1807</v>
      </c>
      <c r="T300" s="1321">
        <v>0.2</v>
      </c>
      <c r="U300" s="987" t="s">
        <v>313</v>
      </c>
      <c r="V300" s="360" t="e">
        <f>VLOOKUP(A300,#REF!,10,FALSE)</f>
        <v>#REF!</v>
      </c>
    </row>
    <row r="301" spans="1:22" ht="27" customHeight="1" thickBot="1">
      <c r="A301" s="721">
        <v>71554</v>
      </c>
      <c r="B301" s="1001">
        <v>37</v>
      </c>
      <c r="C301" s="557" t="s">
        <v>413</v>
      </c>
      <c r="D301" s="833" t="s">
        <v>1429</v>
      </c>
      <c r="E301" s="158" t="s">
        <v>1506</v>
      </c>
      <c r="F301" s="158" t="s">
        <v>1852</v>
      </c>
      <c r="G301" s="574" t="s">
        <v>1218</v>
      </c>
      <c r="H301" s="229" t="s">
        <v>1330</v>
      </c>
      <c r="I301" s="863" t="s">
        <v>1239</v>
      </c>
      <c r="J301" s="85"/>
      <c r="K301" s="201">
        <f>ROUND(63*(1-$G$4),2)</f>
        <v>61.11</v>
      </c>
      <c r="L301" s="148">
        <v>2016</v>
      </c>
      <c r="M301" s="261" t="s">
        <v>1231</v>
      </c>
      <c r="N301" s="148">
        <v>40</v>
      </c>
      <c r="O301" s="311" t="s">
        <v>1249</v>
      </c>
      <c r="P301" s="148">
        <v>32</v>
      </c>
      <c r="Q301" s="134" t="s">
        <v>1235</v>
      </c>
      <c r="R301" s="322">
        <v>9785990830998</v>
      </c>
      <c r="S301" s="617" t="s">
        <v>1888</v>
      </c>
      <c r="T301" s="555">
        <v>0.075</v>
      </c>
      <c r="U301" s="936" t="s">
        <v>313</v>
      </c>
      <c r="V301" s="360" t="e">
        <f>VLOOKUP(A301,#REF!,10,FALSE)</f>
        <v>#REF!</v>
      </c>
    </row>
    <row r="302" spans="1:22" ht="27" customHeight="1">
      <c r="A302" s="724">
        <v>69902</v>
      </c>
      <c r="B302" s="1002">
        <v>451</v>
      </c>
      <c r="C302" s="689" t="s">
        <v>1428</v>
      </c>
      <c r="D302" s="833" t="s">
        <v>1429</v>
      </c>
      <c r="E302" s="510"/>
      <c r="F302" s="510" t="s">
        <v>1650</v>
      </c>
      <c r="G302" s="511" t="s">
        <v>1218</v>
      </c>
      <c r="H302" s="13"/>
      <c r="I302" s="1084" t="s">
        <v>1239</v>
      </c>
      <c r="J302" s="36"/>
      <c r="K302" s="201">
        <f>ROUND(52.5*(1-$G$4),2)</f>
        <v>50.93</v>
      </c>
      <c r="L302" s="261">
        <v>2012</v>
      </c>
      <c r="M302" s="261" t="s">
        <v>1231</v>
      </c>
      <c r="N302" s="261">
        <v>40</v>
      </c>
      <c r="O302" s="283" t="s">
        <v>1249</v>
      </c>
      <c r="P302" s="261">
        <v>32</v>
      </c>
      <c r="Q302" s="135" t="s">
        <v>1235</v>
      </c>
      <c r="R302" s="321" t="s">
        <v>2075</v>
      </c>
      <c r="S302" s="892" t="s">
        <v>1807</v>
      </c>
      <c r="T302" s="303">
        <v>0.075</v>
      </c>
      <c r="U302" s="936" t="s">
        <v>313</v>
      </c>
      <c r="V302" s="360" t="e">
        <f>VLOOKUP(A302,#REF!,10,FALSE)</f>
        <v>#REF!</v>
      </c>
    </row>
    <row r="303" spans="1:22" ht="27" customHeight="1">
      <c r="A303" s="721">
        <v>71336</v>
      </c>
      <c r="B303" s="1001">
        <v>291</v>
      </c>
      <c r="C303" s="557" t="s">
        <v>1934</v>
      </c>
      <c r="D303" s="833" t="s">
        <v>1429</v>
      </c>
      <c r="E303" s="158" t="s">
        <v>1937</v>
      </c>
      <c r="F303" s="158" t="s">
        <v>1936</v>
      </c>
      <c r="G303" s="405"/>
      <c r="H303" s="101"/>
      <c r="I303" s="1084" t="s">
        <v>1239</v>
      </c>
      <c r="J303" s="85"/>
      <c r="K303" s="201">
        <f>ROUND(67.5*(1-$G$4),2)</f>
        <v>65.48</v>
      </c>
      <c r="L303" s="148">
        <v>2015</v>
      </c>
      <c r="M303" s="261" t="s">
        <v>1231</v>
      </c>
      <c r="N303" s="148">
        <v>40</v>
      </c>
      <c r="O303" s="311" t="s">
        <v>1249</v>
      </c>
      <c r="P303" s="148">
        <v>32</v>
      </c>
      <c r="Q303" s="134" t="s">
        <v>1235</v>
      </c>
      <c r="R303" s="322" t="s">
        <v>1935</v>
      </c>
      <c r="S303" s="617" t="s">
        <v>1888</v>
      </c>
      <c r="T303" s="301">
        <v>0.075</v>
      </c>
      <c r="U303" s="936" t="s">
        <v>313</v>
      </c>
      <c r="V303" s="360" t="e">
        <f>VLOOKUP(A303,#REF!,10,FALSE)</f>
        <v>#REF!</v>
      </c>
    </row>
    <row r="304" spans="1:22" ht="27" customHeight="1">
      <c r="A304" s="896">
        <v>71757</v>
      </c>
      <c r="B304" s="974">
        <v>346</v>
      </c>
      <c r="C304" s="882" t="s">
        <v>573</v>
      </c>
      <c r="D304" s="833" t="s">
        <v>1429</v>
      </c>
      <c r="E304" s="888" t="s">
        <v>575</v>
      </c>
      <c r="F304" s="888" t="s">
        <v>572</v>
      </c>
      <c r="G304" s="889"/>
      <c r="H304" s="182"/>
      <c r="I304" s="1084" t="s">
        <v>1239</v>
      </c>
      <c r="K304" s="201">
        <f>ROUND(75*(1-$G$4),2)</f>
        <v>72.75</v>
      </c>
      <c r="L304" s="148">
        <v>2016</v>
      </c>
      <c r="M304" s="261" t="s">
        <v>1231</v>
      </c>
      <c r="N304" s="890">
        <v>40</v>
      </c>
      <c r="O304" s="878" t="s">
        <v>1249</v>
      </c>
      <c r="P304" s="890">
        <v>32</v>
      </c>
      <c r="Q304" s="878" t="s">
        <v>1235</v>
      </c>
      <c r="R304" s="331" t="s">
        <v>574</v>
      </c>
      <c r="S304" s="893" t="s">
        <v>1888</v>
      </c>
      <c r="T304" s="891">
        <v>0.075</v>
      </c>
      <c r="U304" s="936" t="s">
        <v>313</v>
      </c>
      <c r="V304" s="360"/>
    </row>
    <row r="305" spans="1:22" ht="27" customHeight="1">
      <c r="A305" s="721">
        <v>71297</v>
      </c>
      <c r="B305" s="1001">
        <v>145</v>
      </c>
      <c r="C305" s="557" t="s">
        <v>1902</v>
      </c>
      <c r="D305" s="833" t="s">
        <v>1429</v>
      </c>
      <c r="E305" s="158" t="s">
        <v>1903</v>
      </c>
      <c r="F305" s="158" t="s">
        <v>1901</v>
      </c>
      <c r="G305" s="397"/>
      <c r="H305" s="101"/>
      <c r="I305" s="1084" t="s">
        <v>1239</v>
      </c>
      <c r="J305" s="85"/>
      <c r="K305" s="201">
        <f>ROUND(52.5*(1-$G$4),2)</f>
        <v>50.93</v>
      </c>
      <c r="L305" s="148">
        <v>2015</v>
      </c>
      <c r="M305" s="261" t="s">
        <v>1231</v>
      </c>
      <c r="N305" s="148">
        <v>40</v>
      </c>
      <c r="O305" s="311" t="s">
        <v>1249</v>
      </c>
      <c r="P305" s="148">
        <v>32</v>
      </c>
      <c r="Q305" s="134" t="s">
        <v>1235</v>
      </c>
      <c r="R305" s="322" t="s">
        <v>2076</v>
      </c>
      <c r="S305" s="617" t="s">
        <v>1807</v>
      </c>
      <c r="T305" s="288">
        <v>0.075</v>
      </c>
      <c r="U305" s="936" t="s">
        <v>313</v>
      </c>
      <c r="V305" s="360" t="e">
        <f>VLOOKUP(A305,#REF!,10,FALSE)</f>
        <v>#REF!</v>
      </c>
    </row>
    <row r="306" spans="1:22" ht="27" customHeight="1">
      <c r="A306" s="721">
        <v>71144</v>
      </c>
      <c r="B306" s="1001">
        <v>252</v>
      </c>
      <c r="C306" s="557" t="s">
        <v>645</v>
      </c>
      <c r="D306" s="833" t="s">
        <v>1429</v>
      </c>
      <c r="E306" s="158" t="s">
        <v>648</v>
      </c>
      <c r="F306" s="158" t="s">
        <v>647</v>
      </c>
      <c r="G306" s="397"/>
      <c r="H306" s="348"/>
      <c r="I306" s="1084" t="s">
        <v>1239</v>
      </c>
      <c r="K306" s="201">
        <f>ROUND(63.8*(1-$G$4),2)</f>
        <v>61.89</v>
      </c>
      <c r="L306" s="148">
        <v>2015</v>
      </c>
      <c r="M306" s="261" t="s">
        <v>1231</v>
      </c>
      <c r="N306" s="148">
        <v>40</v>
      </c>
      <c r="O306" s="148" t="s">
        <v>1249</v>
      </c>
      <c r="P306" s="261">
        <v>32</v>
      </c>
      <c r="Q306" s="148" t="s">
        <v>1235</v>
      </c>
      <c r="R306" s="311" t="s">
        <v>646</v>
      </c>
      <c r="S306" s="617" t="s">
        <v>1807</v>
      </c>
      <c r="T306" s="288">
        <v>0.075</v>
      </c>
      <c r="U306" s="936" t="s">
        <v>313</v>
      </c>
      <c r="V306" s="360"/>
    </row>
    <row r="307" spans="1:22" ht="27" customHeight="1">
      <c r="A307" s="724">
        <v>70171</v>
      </c>
      <c r="B307" s="1002">
        <v>410</v>
      </c>
      <c r="C307" s="689" t="s">
        <v>1430</v>
      </c>
      <c r="D307" s="833" t="s">
        <v>1429</v>
      </c>
      <c r="E307" s="94"/>
      <c r="F307" s="510" t="s">
        <v>1651</v>
      </c>
      <c r="G307" s="511" t="s">
        <v>1218</v>
      </c>
      <c r="H307" s="14"/>
      <c r="I307" s="1084" t="s">
        <v>1239</v>
      </c>
      <c r="J307" s="12"/>
      <c r="K307" s="201">
        <f aca="true" t="shared" si="9" ref="K307:K318">ROUND(52.5*(1-$G$4),2)</f>
        <v>50.93</v>
      </c>
      <c r="L307" s="261">
        <v>2013</v>
      </c>
      <c r="M307" s="261" t="s">
        <v>1231</v>
      </c>
      <c r="N307" s="261">
        <v>40</v>
      </c>
      <c r="O307" s="284" t="s">
        <v>1249</v>
      </c>
      <c r="P307" s="283">
        <v>32</v>
      </c>
      <c r="Q307" s="310" t="s">
        <v>1235</v>
      </c>
      <c r="R307" s="321" t="s">
        <v>2077</v>
      </c>
      <c r="S307" s="142" t="s">
        <v>1807</v>
      </c>
      <c r="T307" s="288">
        <v>0.075</v>
      </c>
      <c r="U307" s="936" t="s">
        <v>313</v>
      </c>
      <c r="V307" s="360" t="e">
        <f>VLOOKUP(A307,#REF!,10,FALSE)</f>
        <v>#REF!</v>
      </c>
    </row>
    <row r="308" spans="1:22" ht="27" customHeight="1">
      <c r="A308" s="794">
        <v>69150</v>
      </c>
      <c r="B308" s="1033">
        <v>484</v>
      </c>
      <c r="C308" s="774" t="s">
        <v>1431</v>
      </c>
      <c r="D308" s="833" t="s">
        <v>1429</v>
      </c>
      <c r="E308" s="116" t="s">
        <v>1229</v>
      </c>
      <c r="F308" s="510" t="s">
        <v>1652</v>
      </c>
      <c r="G308" s="519" t="s">
        <v>1218</v>
      </c>
      <c r="H308" s="17"/>
      <c r="I308" s="1084" t="s">
        <v>1239</v>
      </c>
      <c r="J308" s="15"/>
      <c r="K308" s="201">
        <f t="shared" si="9"/>
        <v>50.93</v>
      </c>
      <c r="L308" s="148">
        <v>2012</v>
      </c>
      <c r="M308" s="148" t="s">
        <v>1231</v>
      </c>
      <c r="N308" s="148">
        <v>40</v>
      </c>
      <c r="O308" s="272" t="s">
        <v>1249</v>
      </c>
      <c r="P308" s="311">
        <v>32</v>
      </c>
      <c r="Q308" s="318" t="s">
        <v>1235</v>
      </c>
      <c r="R308" s="322" t="s">
        <v>2078</v>
      </c>
      <c r="S308" s="143" t="s">
        <v>1807</v>
      </c>
      <c r="T308" s="301">
        <v>0.075</v>
      </c>
      <c r="U308" s="936" t="s">
        <v>313</v>
      </c>
      <c r="V308" s="360" t="e">
        <f>VLOOKUP(A308,#REF!,10,FALSE)</f>
        <v>#REF!</v>
      </c>
    </row>
    <row r="309" spans="1:22" ht="27" customHeight="1">
      <c r="A309" s="724">
        <v>71115</v>
      </c>
      <c r="B309" s="1002">
        <v>178</v>
      </c>
      <c r="C309" s="689" t="s">
        <v>1433</v>
      </c>
      <c r="D309" s="833" t="s">
        <v>1429</v>
      </c>
      <c r="E309" s="510" t="s">
        <v>1434</v>
      </c>
      <c r="F309" s="510" t="s">
        <v>1653</v>
      </c>
      <c r="G309" s="511" t="s">
        <v>1218</v>
      </c>
      <c r="H309" s="14"/>
      <c r="I309" s="1071" t="s">
        <v>1239</v>
      </c>
      <c r="J309" s="12"/>
      <c r="K309" s="201">
        <f t="shared" si="9"/>
        <v>50.93</v>
      </c>
      <c r="L309" s="334">
        <v>2015</v>
      </c>
      <c r="M309" s="261" t="s">
        <v>1231</v>
      </c>
      <c r="N309" s="261">
        <v>40</v>
      </c>
      <c r="O309" s="284" t="s">
        <v>1249</v>
      </c>
      <c r="P309" s="283">
        <v>32</v>
      </c>
      <c r="Q309" s="310" t="s">
        <v>1235</v>
      </c>
      <c r="R309" s="321" t="s">
        <v>2079</v>
      </c>
      <c r="S309" s="142" t="s">
        <v>1807</v>
      </c>
      <c r="T309" s="288">
        <v>0.079</v>
      </c>
      <c r="U309" s="936" t="s">
        <v>313</v>
      </c>
      <c r="V309" s="360" t="e">
        <f>VLOOKUP(A309,#REF!,10,FALSE)</f>
        <v>#REF!</v>
      </c>
    </row>
    <row r="310" spans="1:22" ht="27" customHeight="1">
      <c r="A310" s="791">
        <v>70883</v>
      </c>
      <c r="B310" s="1032">
        <v>474</v>
      </c>
      <c r="C310" s="792" t="s">
        <v>1435</v>
      </c>
      <c r="D310" s="833" t="s">
        <v>1429</v>
      </c>
      <c r="E310" s="832" t="s">
        <v>1352</v>
      </c>
      <c r="F310" s="510" t="s">
        <v>1654</v>
      </c>
      <c r="G310" s="550" t="s">
        <v>1218</v>
      </c>
      <c r="H310" s="14"/>
      <c r="I310" s="1071" t="s">
        <v>1239</v>
      </c>
      <c r="J310" s="12"/>
      <c r="K310" s="201">
        <f t="shared" si="9"/>
        <v>50.93</v>
      </c>
      <c r="L310" s="334">
        <v>2014</v>
      </c>
      <c r="M310" s="465">
        <v>0.1</v>
      </c>
      <c r="N310" s="849">
        <v>40</v>
      </c>
      <c r="O310" s="850" t="s">
        <v>1249</v>
      </c>
      <c r="P310" s="849">
        <v>32</v>
      </c>
      <c r="Q310" s="851" t="s">
        <v>1235</v>
      </c>
      <c r="R310" s="852" t="s">
        <v>2080</v>
      </c>
      <c r="S310" s="894" t="s">
        <v>1807</v>
      </c>
      <c r="T310" s="853">
        <v>0.08</v>
      </c>
      <c r="U310" s="936" t="s">
        <v>313</v>
      </c>
      <c r="V310" s="360" t="e">
        <f>VLOOKUP(A310,#REF!,10,FALSE)</f>
        <v>#REF!</v>
      </c>
    </row>
    <row r="311" spans="1:22" ht="27" customHeight="1">
      <c r="A311" s="721">
        <v>71196</v>
      </c>
      <c r="B311" s="1001">
        <v>172</v>
      </c>
      <c r="C311" s="557" t="s">
        <v>1436</v>
      </c>
      <c r="D311" s="833" t="s">
        <v>1429</v>
      </c>
      <c r="E311" s="94" t="s">
        <v>1437</v>
      </c>
      <c r="F311" s="510" t="s">
        <v>1655</v>
      </c>
      <c r="G311" s="518" t="s">
        <v>1218</v>
      </c>
      <c r="H311" s="14"/>
      <c r="I311" s="1071" t="s">
        <v>1239</v>
      </c>
      <c r="J311" s="12"/>
      <c r="K311" s="201">
        <f t="shared" si="9"/>
        <v>50.93</v>
      </c>
      <c r="L311" s="334">
        <v>2015</v>
      </c>
      <c r="M311" s="261" t="s">
        <v>1231</v>
      </c>
      <c r="N311" s="261">
        <v>40</v>
      </c>
      <c r="O311" s="284" t="s">
        <v>1249</v>
      </c>
      <c r="P311" s="283">
        <v>32</v>
      </c>
      <c r="Q311" s="310" t="s">
        <v>1235</v>
      </c>
      <c r="R311" s="321" t="s">
        <v>2081</v>
      </c>
      <c r="S311" s="142" t="s">
        <v>1807</v>
      </c>
      <c r="T311" s="288">
        <v>0.079</v>
      </c>
      <c r="U311" s="936" t="s">
        <v>313</v>
      </c>
      <c r="V311" s="360" t="e">
        <f>VLOOKUP(A311,#REF!,10,FALSE)</f>
        <v>#REF!</v>
      </c>
    </row>
    <row r="312" spans="1:22" ht="27" customHeight="1">
      <c r="A312" s="721">
        <v>70816</v>
      </c>
      <c r="B312" s="1001">
        <v>448</v>
      </c>
      <c r="C312" s="774" t="s">
        <v>1439</v>
      </c>
      <c r="D312" s="833" t="s">
        <v>1429</v>
      </c>
      <c r="E312" s="116" t="s">
        <v>1440</v>
      </c>
      <c r="F312" s="116" t="s">
        <v>1781</v>
      </c>
      <c r="G312" s="488" t="s">
        <v>1218</v>
      </c>
      <c r="H312" s="575"/>
      <c r="I312" s="1071" t="s">
        <v>1239</v>
      </c>
      <c r="J312" s="12"/>
      <c r="K312" s="201">
        <f t="shared" si="9"/>
        <v>50.93</v>
      </c>
      <c r="L312" s="334">
        <v>2014</v>
      </c>
      <c r="M312" s="261" t="s">
        <v>1231</v>
      </c>
      <c r="N312" s="261">
        <v>40</v>
      </c>
      <c r="O312" s="284" t="s">
        <v>1249</v>
      </c>
      <c r="P312" s="283">
        <v>32</v>
      </c>
      <c r="Q312" s="310" t="s">
        <v>1235</v>
      </c>
      <c r="R312" s="321" t="s">
        <v>2082</v>
      </c>
      <c r="S312" s="142" t="s">
        <v>1807</v>
      </c>
      <c r="T312" s="288">
        <v>0.08</v>
      </c>
      <c r="U312" s="936" t="s">
        <v>313</v>
      </c>
      <c r="V312" s="360" t="e">
        <f>VLOOKUP(A312,#REF!,10,FALSE)</f>
        <v>#REF!</v>
      </c>
    </row>
    <row r="313" spans="1:22" ht="27" customHeight="1">
      <c r="A313" s="724">
        <v>70189</v>
      </c>
      <c r="B313" s="1002">
        <v>514</v>
      </c>
      <c r="C313" s="689" t="s">
        <v>1441</v>
      </c>
      <c r="D313" s="833" t="s">
        <v>1429</v>
      </c>
      <c r="E313" s="510"/>
      <c r="F313" s="510" t="s">
        <v>1656</v>
      </c>
      <c r="G313" s="511" t="s">
        <v>1218</v>
      </c>
      <c r="H313" s="19"/>
      <c r="I313" s="1084" t="s">
        <v>1239</v>
      </c>
      <c r="J313" s="36"/>
      <c r="K313" s="201">
        <f t="shared" si="9"/>
        <v>50.93</v>
      </c>
      <c r="L313" s="334">
        <v>2013</v>
      </c>
      <c r="M313" s="261" t="s">
        <v>1231</v>
      </c>
      <c r="N313" s="261">
        <v>40</v>
      </c>
      <c r="O313" s="283" t="s">
        <v>1249</v>
      </c>
      <c r="P313" s="261">
        <v>32</v>
      </c>
      <c r="Q313" s="135" t="s">
        <v>1235</v>
      </c>
      <c r="R313" s="321" t="s">
        <v>2083</v>
      </c>
      <c r="S313" s="892" t="s">
        <v>1807</v>
      </c>
      <c r="T313" s="288">
        <v>0.075</v>
      </c>
      <c r="U313" s="936" t="s">
        <v>313</v>
      </c>
      <c r="V313" s="360" t="e">
        <f>VLOOKUP(A313,#REF!,10,FALSE)</f>
        <v>#REF!</v>
      </c>
    </row>
    <row r="314" spans="1:22" ht="27" customHeight="1">
      <c r="A314" s="724">
        <v>70553</v>
      </c>
      <c r="B314" s="1002">
        <v>460</v>
      </c>
      <c r="C314" s="731" t="s">
        <v>1442</v>
      </c>
      <c r="D314" s="833" t="s">
        <v>1429</v>
      </c>
      <c r="E314" s="158" t="s">
        <v>1376</v>
      </c>
      <c r="F314" s="94" t="s">
        <v>1657</v>
      </c>
      <c r="G314" s="518" t="s">
        <v>1218</v>
      </c>
      <c r="H314" s="233"/>
      <c r="I314" s="1084" t="s">
        <v>1239</v>
      </c>
      <c r="J314" s="12"/>
      <c r="K314" s="201">
        <f t="shared" si="9"/>
        <v>50.93</v>
      </c>
      <c r="L314" s="334">
        <v>2014</v>
      </c>
      <c r="M314" s="261" t="s">
        <v>1231</v>
      </c>
      <c r="N314" s="261">
        <v>40</v>
      </c>
      <c r="O314" s="284" t="s">
        <v>1249</v>
      </c>
      <c r="P314" s="283">
        <v>32</v>
      </c>
      <c r="Q314" s="310" t="s">
        <v>1235</v>
      </c>
      <c r="R314" s="321" t="s">
        <v>2084</v>
      </c>
      <c r="S314" s="142" t="s">
        <v>1807</v>
      </c>
      <c r="T314" s="288">
        <v>0.075</v>
      </c>
      <c r="U314" s="936" t="s">
        <v>313</v>
      </c>
      <c r="V314" s="360" t="e">
        <f>VLOOKUP(A314,#REF!,10,FALSE)</f>
        <v>#REF!</v>
      </c>
    </row>
    <row r="315" spans="1:22" ht="27" customHeight="1">
      <c r="A315" s="718">
        <v>71430</v>
      </c>
      <c r="B315" s="1000">
        <v>373</v>
      </c>
      <c r="C315" s="719" t="s">
        <v>285</v>
      </c>
      <c r="D315" s="833" t="s">
        <v>1429</v>
      </c>
      <c r="E315" s="158" t="s">
        <v>1438</v>
      </c>
      <c r="F315" s="158" t="s">
        <v>287</v>
      </c>
      <c r="G315" s="91"/>
      <c r="H315" s="178"/>
      <c r="I315" s="1084" t="s">
        <v>1239</v>
      </c>
      <c r="J315" s="85"/>
      <c r="K315" s="201">
        <f>ROUND(71.3*(1-$G$4),2)</f>
        <v>69.16</v>
      </c>
      <c r="L315" s="262">
        <v>2016</v>
      </c>
      <c r="M315" s="261" t="s">
        <v>1231</v>
      </c>
      <c r="N315" s="261">
        <v>40</v>
      </c>
      <c r="O315" s="396" t="s">
        <v>1249</v>
      </c>
      <c r="P315" s="283">
        <v>32</v>
      </c>
      <c r="Q315" s="310" t="s">
        <v>1235</v>
      </c>
      <c r="R315" s="322" t="s">
        <v>286</v>
      </c>
      <c r="S315" s="357" t="s">
        <v>1888</v>
      </c>
      <c r="T315" s="288">
        <v>0.08</v>
      </c>
      <c r="U315" s="936" t="s">
        <v>313</v>
      </c>
      <c r="V315" s="360" t="e">
        <f>VLOOKUP(A315,#REF!,10,FALSE)</f>
        <v>#REF!</v>
      </c>
    </row>
    <row r="316" spans="1:22" ht="27" customHeight="1">
      <c r="A316" s="721">
        <v>69175</v>
      </c>
      <c r="B316" s="1001">
        <v>486</v>
      </c>
      <c r="C316" s="774" t="s">
        <v>1443</v>
      </c>
      <c r="D316" s="833" t="s">
        <v>1429</v>
      </c>
      <c r="E316" s="116" t="s">
        <v>1229</v>
      </c>
      <c r="F316" s="116" t="s">
        <v>1658</v>
      </c>
      <c r="G316" s="519" t="s">
        <v>1218</v>
      </c>
      <c r="H316" s="125" t="s">
        <v>1229</v>
      </c>
      <c r="I316" s="1084" t="s">
        <v>1239</v>
      </c>
      <c r="J316" s="15"/>
      <c r="K316" s="201">
        <f t="shared" si="9"/>
        <v>50.93</v>
      </c>
      <c r="L316" s="334">
        <v>2011</v>
      </c>
      <c r="M316" s="148" t="s">
        <v>1231</v>
      </c>
      <c r="N316" s="148">
        <v>50</v>
      </c>
      <c r="O316" s="272" t="s">
        <v>1249</v>
      </c>
      <c r="P316" s="311">
        <v>32</v>
      </c>
      <c r="Q316" s="318" t="s">
        <v>1235</v>
      </c>
      <c r="R316" s="322" t="s">
        <v>2085</v>
      </c>
      <c r="S316" s="143" t="s">
        <v>1807</v>
      </c>
      <c r="T316" s="301">
        <v>0.075</v>
      </c>
      <c r="U316" s="936" t="s">
        <v>313</v>
      </c>
      <c r="V316" s="360" t="e">
        <f>VLOOKUP(A316,#REF!,10,FALSE)</f>
        <v>#REF!</v>
      </c>
    </row>
    <row r="317" spans="1:22" ht="27" customHeight="1">
      <c r="A317" s="724">
        <v>70346</v>
      </c>
      <c r="B317" s="1002">
        <v>350</v>
      </c>
      <c r="C317" s="731" t="s">
        <v>1444</v>
      </c>
      <c r="D317" s="833" t="s">
        <v>1429</v>
      </c>
      <c r="E317" s="94" t="s">
        <v>1229</v>
      </c>
      <c r="F317" s="94" t="s">
        <v>1659</v>
      </c>
      <c r="G317" s="518" t="s">
        <v>1218</v>
      </c>
      <c r="H317" s="35"/>
      <c r="I317" s="1084" t="s">
        <v>1239</v>
      </c>
      <c r="J317" s="12"/>
      <c r="K317" s="201">
        <f t="shared" si="9"/>
        <v>50.93</v>
      </c>
      <c r="L317" s="334">
        <v>2013</v>
      </c>
      <c r="M317" s="261" t="s">
        <v>1231</v>
      </c>
      <c r="N317" s="261">
        <v>40</v>
      </c>
      <c r="O317" s="284" t="s">
        <v>1249</v>
      </c>
      <c r="P317" s="283">
        <v>32</v>
      </c>
      <c r="Q317" s="310" t="s">
        <v>1235</v>
      </c>
      <c r="R317" s="321" t="s">
        <v>2086</v>
      </c>
      <c r="S317" s="142" t="s">
        <v>1807</v>
      </c>
      <c r="T317" s="288">
        <v>0.075</v>
      </c>
      <c r="U317" s="936" t="s">
        <v>313</v>
      </c>
      <c r="V317" s="360" t="e">
        <f>VLOOKUP(A317,#REF!,10,FALSE)</f>
        <v>#REF!</v>
      </c>
    </row>
    <row r="318" spans="1:22" ht="27" customHeight="1" thickBot="1">
      <c r="A318" s="725">
        <v>69174</v>
      </c>
      <c r="B318" s="1003">
        <v>388</v>
      </c>
      <c r="C318" s="795" t="s">
        <v>1445</v>
      </c>
      <c r="D318" s="834" t="s">
        <v>1429</v>
      </c>
      <c r="E318" s="576" t="s">
        <v>1229</v>
      </c>
      <c r="F318" s="576" t="s">
        <v>1660</v>
      </c>
      <c r="G318" s="577" t="s">
        <v>1218</v>
      </c>
      <c r="H318" s="37" t="s">
        <v>1229</v>
      </c>
      <c r="I318" s="1081" t="s">
        <v>1239</v>
      </c>
      <c r="J318" s="24"/>
      <c r="K318" s="202">
        <f t="shared" si="9"/>
        <v>50.93</v>
      </c>
      <c r="L318" s="335">
        <v>2011</v>
      </c>
      <c r="M318" s="149" t="s">
        <v>1231</v>
      </c>
      <c r="N318" s="149">
        <v>50</v>
      </c>
      <c r="O318" s="578" t="s">
        <v>1249</v>
      </c>
      <c r="P318" s="244">
        <v>32</v>
      </c>
      <c r="Q318" s="441" t="s">
        <v>1235</v>
      </c>
      <c r="R318" s="324" t="s">
        <v>2087</v>
      </c>
      <c r="S318" s="895" t="s">
        <v>1807</v>
      </c>
      <c r="T318" s="455">
        <v>0.075</v>
      </c>
      <c r="U318" s="934" t="s">
        <v>313</v>
      </c>
      <c r="V318" s="360" t="e">
        <f>VLOOKUP(A318,#REF!,10,FALSE)</f>
        <v>#REF!</v>
      </c>
    </row>
    <row r="319" spans="1:22" ht="27" customHeight="1">
      <c r="A319" s="802">
        <v>71425</v>
      </c>
      <c r="B319" s="1034">
        <v>690</v>
      </c>
      <c r="C319" s="803" t="s">
        <v>271</v>
      </c>
      <c r="D319" s="164" t="s">
        <v>1466</v>
      </c>
      <c r="E319" s="538" t="s">
        <v>2033</v>
      </c>
      <c r="F319" s="538" t="s">
        <v>272</v>
      </c>
      <c r="G319" s="468"/>
      <c r="H319" s="345" t="s">
        <v>1320</v>
      </c>
      <c r="I319" s="1075" t="s">
        <v>1239</v>
      </c>
      <c r="J319" s="236"/>
      <c r="K319" s="194">
        <f aca="true" t="shared" si="10" ref="K319:K324">ROUND(45*(1-$G$4),2)</f>
        <v>43.65</v>
      </c>
      <c r="L319" s="351">
        <v>2016</v>
      </c>
      <c r="M319" s="421">
        <v>0.1</v>
      </c>
      <c r="N319" s="351">
        <v>50</v>
      </c>
      <c r="O319" s="595" t="s">
        <v>1249</v>
      </c>
      <c r="P319" s="351">
        <v>16</v>
      </c>
      <c r="Q319" s="595" t="s">
        <v>1235</v>
      </c>
      <c r="R319" s="596" t="s">
        <v>291</v>
      </c>
      <c r="S319" s="355" t="s">
        <v>1807</v>
      </c>
      <c r="T319" s="300">
        <v>0.051</v>
      </c>
      <c r="U319" s="935" t="s">
        <v>313</v>
      </c>
      <c r="V319" s="360" t="e">
        <f>VLOOKUP(A319,#REF!,10,FALSE)</f>
        <v>#REF!</v>
      </c>
    </row>
    <row r="320" spans="1:22" ht="27" customHeight="1">
      <c r="A320" s="804">
        <v>70505</v>
      </c>
      <c r="B320" s="1035">
        <v>657</v>
      </c>
      <c r="C320" s="805" t="s">
        <v>1488</v>
      </c>
      <c r="D320" s="164" t="s">
        <v>1466</v>
      </c>
      <c r="E320" s="836" t="s">
        <v>1489</v>
      </c>
      <c r="F320" s="158" t="s">
        <v>1674</v>
      </c>
      <c r="G320" s="525" t="s">
        <v>1218</v>
      </c>
      <c r="H320" s="172" t="s">
        <v>1320</v>
      </c>
      <c r="I320" s="1075" t="s">
        <v>1239</v>
      </c>
      <c r="J320" s="80"/>
      <c r="K320" s="190">
        <f t="shared" si="10"/>
        <v>43.65</v>
      </c>
      <c r="L320" s="261">
        <v>2014</v>
      </c>
      <c r="M320" s="402">
        <v>0.1</v>
      </c>
      <c r="N320" s="261">
        <v>50</v>
      </c>
      <c r="O320" s="597" t="s">
        <v>1249</v>
      </c>
      <c r="P320" s="283">
        <v>16</v>
      </c>
      <c r="Q320" s="135" t="s">
        <v>1235</v>
      </c>
      <c r="R320" s="318" t="s">
        <v>2125</v>
      </c>
      <c r="S320" s="598" t="s">
        <v>1807</v>
      </c>
      <c r="T320" s="300">
        <v>0.051</v>
      </c>
      <c r="U320" s="933" t="s">
        <v>313</v>
      </c>
      <c r="V320" s="360" t="e">
        <f>VLOOKUP(A320,#REF!,10,FALSE)</f>
        <v>#REF!</v>
      </c>
    </row>
    <row r="321" spans="1:22" ht="27" customHeight="1">
      <c r="A321" s="718">
        <v>71427</v>
      </c>
      <c r="B321" s="1000">
        <v>589</v>
      </c>
      <c r="C321" s="719" t="s">
        <v>275</v>
      </c>
      <c r="D321" s="164" t="s">
        <v>1466</v>
      </c>
      <c r="E321" s="158" t="s">
        <v>289</v>
      </c>
      <c r="F321" s="158" t="s">
        <v>276</v>
      </c>
      <c r="G321" s="91"/>
      <c r="H321" s="172" t="s">
        <v>1320</v>
      </c>
      <c r="I321" s="1075" t="s">
        <v>1239</v>
      </c>
      <c r="J321" s="85"/>
      <c r="K321" s="190">
        <f t="shared" si="10"/>
        <v>43.65</v>
      </c>
      <c r="L321" s="262">
        <v>2016</v>
      </c>
      <c r="M321" s="402">
        <v>0.1</v>
      </c>
      <c r="N321" s="262">
        <v>50</v>
      </c>
      <c r="O321" s="396" t="s">
        <v>1249</v>
      </c>
      <c r="P321" s="262">
        <v>16</v>
      </c>
      <c r="Q321" s="396" t="s">
        <v>1235</v>
      </c>
      <c r="R321" s="318" t="s">
        <v>288</v>
      </c>
      <c r="S321" s="290" t="s">
        <v>1807</v>
      </c>
      <c r="T321" s="300">
        <v>0.051</v>
      </c>
      <c r="U321" s="936" t="s">
        <v>313</v>
      </c>
      <c r="V321" s="360" t="e">
        <f>VLOOKUP(A321,#REF!,10,FALSE)</f>
        <v>#REF!</v>
      </c>
    </row>
    <row r="322" spans="1:22" ht="27" customHeight="1">
      <c r="A322" s="718">
        <v>71429</v>
      </c>
      <c r="B322" s="1000">
        <v>631</v>
      </c>
      <c r="C322" s="835" t="s">
        <v>1465</v>
      </c>
      <c r="D322" s="164" t="s">
        <v>1466</v>
      </c>
      <c r="E322" s="836" t="s">
        <v>1467</v>
      </c>
      <c r="F322" s="836" t="s">
        <v>1675</v>
      </c>
      <c r="G322" s="525" t="s">
        <v>1218</v>
      </c>
      <c r="H322" s="172" t="s">
        <v>1320</v>
      </c>
      <c r="I322" s="1071" t="s">
        <v>1239</v>
      </c>
      <c r="J322" s="80"/>
      <c r="K322" s="190">
        <f t="shared" si="10"/>
        <v>43.65</v>
      </c>
      <c r="L322" s="261">
        <v>2016</v>
      </c>
      <c r="M322" s="402">
        <v>0.1</v>
      </c>
      <c r="N322" s="261">
        <v>50</v>
      </c>
      <c r="O322" s="854" t="s">
        <v>1249</v>
      </c>
      <c r="P322" s="283">
        <v>16</v>
      </c>
      <c r="Q322" s="135" t="s">
        <v>1235</v>
      </c>
      <c r="R322" s="318" t="s">
        <v>290</v>
      </c>
      <c r="S322" s="163" t="s">
        <v>1807</v>
      </c>
      <c r="T322" s="288">
        <v>0.051</v>
      </c>
      <c r="U322" s="936" t="s">
        <v>313</v>
      </c>
      <c r="V322" s="360" t="e">
        <f>VLOOKUP(A322,#REF!,10,FALSE)</f>
        <v>#REF!</v>
      </c>
    </row>
    <row r="323" spans="1:22" ht="27" customHeight="1">
      <c r="A323" s="718">
        <v>70959</v>
      </c>
      <c r="B323" s="1000">
        <v>719</v>
      </c>
      <c r="C323" s="835" t="s">
        <v>561</v>
      </c>
      <c r="D323" s="164" t="s">
        <v>1466</v>
      </c>
      <c r="E323" s="836" t="s">
        <v>563</v>
      </c>
      <c r="F323" s="836" t="s">
        <v>562</v>
      </c>
      <c r="G323" s="525"/>
      <c r="H323" s="172" t="s">
        <v>1320</v>
      </c>
      <c r="I323" s="1071" t="s">
        <v>1239</v>
      </c>
      <c r="J323" s="80"/>
      <c r="K323" s="190">
        <f t="shared" si="10"/>
        <v>43.65</v>
      </c>
      <c r="L323" s="261">
        <v>2016</v>
      </c>
      <c r="M323" s="402">
        <v>0.1</v>
      </c>
      <c r="N323" s="261">
        <v>50</v>
      </c>
      <c r="O323" s="854" t="s">
        <v>1249</v>
      </c>
      <c r="P323" s="283">
        <v>16</v>
      </c>
      <c r="Q323" s="135" t="s">
        <v>1235</v>
      </c>
      <c r="R323" s="318" t="s">
        <v>290</v>
      </c>
      <c r="S323" s="163" t="s">
        <v>1807</v>
      </c>
      <c r="T323" s="288">
        <v>0.051</v>
      </c>
      <c r="U323" s="936" t="s">
        <v>313</v>
      </c>
      <c r="V323" s="360"/>
    </row>
    <row r="324" spans="1:22" ht="27" customHeight="1" thickBot="1">
      <c r="A324" s="804">
        <v>70507</v>
      </c>
      <c r="B324" s="1035">
        <v>700</v>
      </c>
      <c r="C324" s="805" t="s">
        <v>1490</v>
      </c>
      <c r="D324" s="79" t="s">
        <v>1466</v>
      </c>
      <c r="E324" s="836" t="s">
        <v>1489</v>
      </c>
      <c r="F324" s="836" t="s">
        <v>1676</v>
      </c>
      <c r="G324" s="525" t="s">
        <v>1218</v>
      </c>
      <c r="H324" s="172" t="s">
        <v>1320</v>
      </c>
      <c r="I324" s="1071" t="s">
        <v>1239</v>
      </c>
      <c r="J324" s="80"/>
      <c r="K324" s="190">
        <f t="shared" si="10"/>
        <v>43.65</v>
      </c>
      <c r="L324" s="261">
        <v>2014</v>
      </c>
      <c r="M324" s="402">
        <v>0.1</v>
      </c>
      <c r="N324" s="261">
        <v>50</v>
      </c>
      <c r="O324" s="597" t="s">
        <v>1249</v>
      </c>
      <c r="P324" s="283">
        <v>16</v>
      </c>
      <c r="Q324" s="135" t="s">
        <v>1235</v>
      </c>
      <c r="R324" s="318" t="s">
        <v>2126</v>
      </c>
      <c r="S324" s="599" t="s">
        <v>1807</v>
      </c>
      <c r="T324" s="288">
        <v>0.051</v>
      </c>
      <c r="U324" s="937" t="s">
        <v>313</v>
      </c>
      <c r="V324" s="360" t="e">
        <f>VLOOKUP(A324,#REF!,10,FALSE)</f>
        <v>#REF!</v>
      </c>
    </row>
    <row r="325" spans="1:22" ht="28.5" customHeight="1" thickBot="1">
      <c r="A325" s="1103" t="s">
        <v>1236</v>
      </c>
      <c r="B325" s="1044"/>
      <c r="C325" s="824"/>
      <c r="D325" s="72"/>
      <c r="E325" s="72"/>
      <c r="F325" s="72"/>
      <c r="G325" s="699"/>
      <c r="H325" s="73" t="s">
        <v>1229</v>
      </c>
      <c r="I325" s="73"/>
      <c r="J325" s="74"/>
      <c r="K325" s="212"/>
      <c r="L325" s="75"/>
      <c r="M325" s="867"/>
      <c r="N325" s="75"/>
      <c r="O325" s="76"/>
      <c r="P325" s="76"/>
      <c r="Q325" s="76"/>
      <c r="R325" s="75"/>
      <c r="S325" s="296"/>
      <c r="T325" s="306"/>
      <c r="U325" s="959"/>
      <c r="V325" s="360" t="e">
        <f>VLOOKUP(A325,#REF!,10,FALSE)</f>
        <v>#REF!</v>
      </c>
    </row>
    <row r="326" spans="1:22" ht="27" customHeight="1">
      <c r="A326" s="747">
        <v>70896</v>
      </c>
      <c r="B326" s="1011">
        <v>532</v>
      </c>
      <c r="C326" s="556" t="s">
        <v>1241</v>
      </c>
      <c r="D326" s="159" t="s">
        <v>1237</v>
      </c>
      <c r="E326" s="457" t="s">
        <v>1242</v>
      </c>
      <c r="F326" s="457" t="s">
        <v>1582</v>
      </c>
      <c r="G326" s="458" t="s">
        <v>1218</v>
      </c>
      <c r="H326" s="141"/>
      <c r="I326" s="1065" t="s">
        <v>1239</v>
      </c>
      <c r="J326" s="104"/>
      <c r="K326" s="195">
        <f>ROUND(165*(1-$G$4),2)</f>
        <v>160.05</v>
      </c>
      <c r="L326" s="146">
        <v>2014</v>
      </c>
      <c r="M326" s="481">
        <v>0.18</v>
      </c>
      <c r="N326" s="146">
        <v>20</v>
      </c>
      <c r="O326" s="316" t="s">
        <v>1243</v>
      </c>
      <c r="P326" s="146">
        <v>48</v>
      </c>
      <c r="Q326" s="315" t="s">
        <v>1240</v>
      </c>
      <c r="R326" s="323" t="s">
        <v>50</v>
      </c>
      <c r="S326" s="482" t="s">
        <v>1807</v>
      </c>
      <c r="T326" s="299">
        <v>0.17</v>
      </c>
      <c r="U326" s="926" t="s">
        <v>313</v>
      </c>
      <c r="V326" s="360" t="e">
        <f>VLOOKUP(A326,#REF!,10,FALSE)</f>
        <v>#REF!</v>
      </c>
    </row>
    <row r="327" spans="1:22" ht="27" customHeight="1">
      <c r="A327" s="721">
        <v>70898</v>
      </c>
      <c r="B327" s="1001">
        <v>727</v>
      </c>
      <c r="C327" s="557" t="s">
        <v>1244</v>
      </c>
      <c r="D327" s="116" t="s">
        <v>1237</v>
      </c>
      <c r="E327" s="158" t="s">
        <v>1242</v>
      </c>
      <c r="F327" s="158" t="s">
        <v>1583</v>
      </c>
      <c r="G327" s="483" t="s">
        <v>1218</v>
      </c>
      <c r="H327" s="6"/>
      <c r="I327" s="1066" t="s">
        <v>1239</v>
      </c>
      <c r="J327" s="91"/>
      <c r="K327" s="196">
        <f>ROUND(165*(1-$G$4),2)</f>
        <v>160.05</v>
      </c>
      <c r="L327" s="148">
        <v>2014</v>
      </c>
      <c r="M327" s="465">
        <v>0.18</v>
      </c>
      <c r="N327" s="148">
        <v>20</v>
      </c>
      <c r="O327" s="311" t="s">
        <v>1245</v>
      </c>
      <c r="P327" s="148">
        <v>48</v>
      </c>
      <c r="Q327" s="134" t="s">
        <v>1240</v>
      </c>
      <c r="R327" s="322" t="s">
        <v>52</v>
      </c>
      <c r="S327" s="239" t="s">
        <v>1807</v>
      </c>
      <c r="T327" s="301">
        <v>0.17</v>
      </c>
      <c r="U327" s="927" t="s">
        <v>313</v>
      </c>
      <c r="V327" s="360" t="e">
        <f>VLOOKUP(A327,#REF!,10,FALSE)</f>
        <v>#REF!</v>
      </c>
    </row>
    <row r="328" spans="1:22" ht="27" customHeight="1">
      <c r="A328" s="721">
        <v>70900</v>
      </c>
      <c r="B328" s="1001">
        <v>431</v>
      </c>
      <c r="C328" s="557" t="s">
        <v>1246</v>
      </c>
      <c r="D328" s="116" t="s">
        <v>1237</v>
      </c>
      <c r="E328" s="158" t="s">
        <v>1242</v>
      </c>
      <c r="F328" s="158" t="s">
        <v>1584</v>
      </c>
      <c r="G328" s="483" t="s">
        <v>1218</v>
      </c>
      <c r="H328" s="6"/>
      <c r="I328" s="1066" t="s">
        <v>1239</v>
      </c>
      <c r="J328" s="91"/>
      <c r="K328" s="196">
        <f>ROUND(165*(1-$G$4),2)</f>
        <v>160.05</v>
      </c>
      <c r="L328" s="148">
        <v>2014</v>
      </c>
      <c r="M328" s="465">
        <v>0.18</v>
      </c>
      <c r="N328" s="148">
        <v>20</v>
      </c>
      <c r="O328" s="311" t="s">
        <v>1245</v>
      </c>
      <c r="P328" s="148">
        <v>48</v>
      </c>
      <c r="Q328" s="134" t="s">
        <v>1240</v>
      </c>
      <c r="R328" s="322" t="s">
        <v>51</v>
      </c>
      <c r="S328" s="239" t="s">
        <v>1807</v>
      </c>
      <c r="T328" s="301">
        <v>0.17</v>
      </c>
      <c r="U328" s="927" t="s">
        <v>313</v>
      </c>
      <c r="V328" s="360" t="e">
        <f>VLOOKUP(A328,#REF!,10,FALSE)</f>
        <v>#REF!</v>
      </c>
    </row>
    <row r="329" spans="1:22" ht="27" customHeight="1" thickBot="1">
      <c r="A329" s="716">
        <v>70899</v>
      </c>
      <c r="B329" s="999">
        <v>568</v>
      </c>
      <c r="C329" s="717" t="s">
        <v>1247</v>
      </c>
      <c r="D329" s="766" t="s">
        <v>1237</v>
      </c>
      <c r="E329" s="391" t="s">
        <v>1242</v>
      </c>
      <c r="F329" s="391" t="s">
        <v>1585</v>
      </c>
      <c r="G329" s="484" t="s">
        <v>1218</v>
      </c>
      <c r="H329" s="126"/>
      <c r="I329" s="1067" t="s">
        <v>1239</v>
      </c>
      <c r="J329" s="438"/>
      <c r="K329" s="197">
        <f>ROUND(165*(1-$G$4),2)</f>
        <v>160.05</v>
      </c>
      <c r="L329" s="259">
        <v>2014</v>
      </c>
      <c r="M329" s="485">
        <v>0.18</v>
      </c>
      <c r="N329" s="259">
        <v>20</v>
      </c>
      <c r="O329" s="393" t="s">
        <v>1248</v>
      </c>
      <c r="P329" s="259">
        <v>48</v>
      </c>
      <c r="Q329" s="270" t="s">
        <v>1240</v>
      </c>
      <c r="R329" s="325" t="s">
        <v>53</v>
      </c>
      <c r="S329" s="486" t="s">
        <v>1807</v>
      </c>
      <c r="T329" s="302">
        <v>0.17</v>
      </c>
      <c r="U329" s="931" t="s">
        <v>313</v>
      </c>
      <c r="V329" s="360" t="e">
        <f>VLOOKUP(A329,#REF!,10,FALSE)</f>
        <v>#REF!</v>
      </c>
    </row>
    <row r="330" spans="1:22" ht="27" customHeight="1">
      <c r="A330" s="747">
        <v>70747</v>
      </c>
      <c r="B330" s="1011">
        <v>496</v>
      </c>
      <c r="C330" s="556" t="s">
        <v>1251</v>
      </c>
      <c r="D330" s="159" t="s">
        <v>1252</v>
      </c>
      <c r="E330" s="457" t="s">
        <v>1253</v>
      </c>
      <c r="F330" s="457" t="s">
        <v>1254</v>
      </c>
      <c r="G330" s="487" t="s">
        <v>1218</v>
      </c>
      <c r="H330" s="216"/>
      <c r="I330" s="1065" t="s">
        <v>1230</v>
      </c>
      <c r="J330" s="104"/>
      <c r="K330" s="195">
        <f aca="true" t="shared" si="11" ref="K330:K341">ROUND(63.8*(1-$G$4),2)</f>
        <v>61.89</v>
      </c>
      <c r="L330" s="146">
        <v>2014</v>
      </c>
      <c r="M330" s="481">
        <v>0.18</v>
      </c>
      <c r="N330" s="146">
        <v>550</v>
      </c>
      <c r="O330" s="316" t="s">
        <v>1255</v>
      </c>
      <c r="P330" s="146">
        <v>2</v>
      </c>
      <c r="Q330" s="315" t="s">
        <v>1240</v>
      </c>
      <c r="R330" s="323" t="s">
        <v>28</v>
      </c>
      <c r="S330" s="482" t="s">
        <v>1807</v>
      </c>
      <c r="T330" s="299">
        <v>0.035</v>
      </c>
      <c r="U330" s="926" t="s">
        <v>313</v>
      </c>
      <c r="V330" s="360" t="e">
        <f>VLOOKUP(A330,#REF!,10,FALSE)</f>
        <v>#REF!</v>
      </c>
    </row>
    <row r="331" spans="1:22" ht="27" customHeight="1">
      <c r="A331" s="721">
        <v>70748</v>
      </c>
      <c r="B331" s="1001">
        <v>296</v>
      </c>
      <c r="C331" s="557" t="s">
        <v>1256</v>
      </c>
      <c r="D331" s="116" t="s">
        <v>1252</v>
      </c>
      <c r="E331" s="158" t="s">
        <v>1253</v>
      </c>
      <c r="F331" s="158" t="s">
        <v>1257</v>
      </c>
      <c r="G331" s="488" t="s">
        <v>1218</v>
      </c>
      <c r="H331" s="217"/>
      <c r="I331" s="1066" t="s">
        <v>1230</v>
      </c>
      <c r="J331" s="91"/>
      <c r="K331" s="198">
        <f t="shared" si="11"/>
        <v>61.89</v>
      </c>
      <c r="L331" s="148">
        <v>2014</v>
      </c>
      <c r="M331" s="465">
        <v>0.18</v>
      </c>
      <c r="N331" s="148">
        <v>650</v>
      </c>
      <c r="O331" s="311" t="s">
        <v>1255</v>
      </c>
      <c r="P331" s="148">
        <v>2</v>
      </c>
      <c r="Q331" s="134" t="s">
        <v>1240</v>
      </c>
      <c r="R331" s="322" t="s">
        <v>36</v>
      </c>
      <c r="S331" s="239" t="s">
        <v>1807</v>
      </c>
      <c r="T331" s="301">
        <v>0.028</v>
      </c>
      <c r="U331" s="927" t="s">
        <v>313</v>
      </c>
      <c r="V331" s="360" t="e">
        <f>VLOOKUP(A331,#REF!,10,FALSE)</f>
        <v>#REF!</v>
      </c>
    </row>
    <row r="332" spans="1:22" ht="27" customHeight="1">
      <c r="A332" s="721">
        <v>70749</v>
      </c>
      <c r="B332" s="1001">
        <v>357</v>
      </c>
      <c r="C332" s="557" t="s">
        <v>1258</v>
      </c>
      <c r="D332" s="116" t="s">
        <v>1252</v>
      </c>
      <c r="E332" s="158" t="s">
        <v>1253</v>
      </c>
      <c r="F332" s="158" t="s">
        <v>1259</v>
      </c>
      <c r="G332" s="488" t="s">
        <v>1218</v>
      </c>
      <c r="H332" s="217"/>
      <c r="I332" s="1066" t="s">
        <v>1230</v>
      </c>
      <c r="J332" s="91"/>
      <c r="K332" s="198">
        <f t="shared" si="11"/>
        <v>61.89</v>
      </c>
      <c r="L332" s="148">
        <v>2014</v>
      </c>
      <c r="M332" s="465">
        <v>0.18</v>
      </c>
      <c r="N332" s="148">
        <v>650</v>
      </c>
      <c r="O332" s="311" t="s">
        <v>1255</v>
      </c>
      <c r="P332" s="148">
        <v>2</v>
      </c>
      <c r="Q332" s="134" t="s">
        <v>1240</v>
      </c>
      <c r="R332" s="322" t="s">
        <v>27</v>
      </c>
      <c r="S332" s="239" t="s">
        <v>1807</v>
      </c>
      <c r="T332" s="301">
        <v>0.027</v>
      </c>
      <c r="U332" s="927" t="s">
        <v>313</v>
      </c>
      <c r="V332" s="360" t="e">
        <f>VLOOKUP(A332,#REF!,10,FALSE)</f>
        <v>#REF!</v>
      </c>
    </row>
    <row r="333" spans="1:22" ht="27" customHeight="1">
      <c r="A333" s="721">
        <v>70750</v>
      </c>
      <c r="B333" s="1001">
        <v>497</v>
      </c>
      <c r="C333" s="557" t="s">
        <v>1260</v>
      </c>
      <c r="D333" s="116" t="s">
        <v>1252</v>
      </c>
      <c r="E333" s="158" t="s">
        <v>1253</v>
      </c>
      <c r="F333" s="158" t="s">
        <v>1261</v>
      </c>
      <c r="G333" s="488" t="s">
        <v>1218</v>
      </c>
      <c r="H333" s="217"/>
      <c r="I333" s="1066" t="s">
        <v>1230</v>
      </c>
      <c r="J333" s="91"/>
      <c r="K333" s="198">
        <f t="shared" si="11"/>
        <v>61.89</v>
      </c>
      <c r="L333" s="148">
        <v>2014</v>
      </c>
      <c r="M333" s="465">
        <v>0.18</v>
      </c>
      <c r="N333" s="148">
        <v>550</v>
      </c>
      <c r="O333" s="311" t="s">
        <v>1255</v>
      </c>
      <c r="P333" s="148">
        <v>2</v>
      </c>
      <c r="Q333" s="134" t="s">
        <v>1240</v>
      </c>
      <c r="R333" s="322" t="s">
        <v>29</v>
      </c>
      <c r="S333" s="239" t="s">
        <v>1807</v>
      </c>
      <c r="T333" s="301">
        <v>0.035</v>
      </c>
      <c r="U333" s="927" t="s">
        <v>313</v>
      </c>
      <c r="V333" s="360" t="e">
        <f>VLOOKUP(A333,#REF!,10,FALSE)</f>
        <v>#REF!</v>
      </c>
    </row>
    <row r="334" spans="1:22" ht="27" customHeight="1">
      <c r="A334" s="721">
        <v>70751</v>
      </c>
      <c r="B334" s="1001">
        <v>693</v>
      </c>
      <c r="C334" s="557" t="s">
        <v>1262</v>
      </c>
      <c r="D334" s="116" t="s">
        <v>1252</v>
      </c>
      <c r="E334" s="158" t="s">
        <v>1253</v>
      </c>
      <c r="F334" s="158" t="s">
        <v>1263</v>
      </c>
      <c r="G334" s="488" t="s">
        <v>1218</v>
      </c>
      <c r="H334" s="217"/>
      <c r="I334" s="1066" t="s">
        <v>1230</v>
      </c>
      <c r="J334" s="91"/>
      <c r="K334" s="198">
        <f t="shared" si="11"/>
        <v>61.89</v>
      </c>
      <c r="L334" s="148">
        <v>2014</v>
      </c>
      <c r="M334" s="465">
        <v>0.18</v>
      </c>
      <c r="N334" s="148">
        <v>550</v>
      </c>
      <c r="O334" s="311" t="s">
        <v>1255</v>
      </c>
      <c r="P334" s="148">
        <v>2</v>
      </c>
      <c r="Q334" s="134" t="s">
        <v>1240</v>
      </c>
      <c r="R334" s="322" t="s">
        <v>32</v>
      </c>
      <c r="S334" s="239" t="s">
        <v>1807</v>
      </c>
      <c r="T334" s="301">
        <v>0.035</v>
      </c>
      <c r="U334" s="927" t="s">
        <v>313</v>
      </c>
      <c r="V334" s="360" t="e">
        <f>VLOOKUP(A334,#REF!,10,FALSE)</f>
        <v>#REF!</v>
      </c>
    </row>
    <row r="335" spans="1:22" ht="27" customHeight="1">
      <c r="A335" s="721">
        <v>70752</v>
      </c>
      <c r="B335" s="1001">
        <v>438</v>
      </c>
      <c r="C335" s="557" t="s">
        <v>1264</v>
      </c>
      <c r="D335" s="116" t="s">
        <v>1252</v>
      </c>
      <c r="E335" s="158" t="s">
        <v>1253</v>
      </c>
      <c r="F335" s="158" t="s">
        <v>1265</v>
      </c>
      <c r="G335" s="488" t="s">
        <v>1218</v>
      </c>
      <c r="H335" s="217"/>
      <c r="I335" s="1066" t="s">
        <v>1230</v>
      </c>
      <c r="J335" s="91"/>
      <c r="K335" s="198">
        <f t="shared" si="11"/>
        <v>61.89</v>
      </c>
      <c r="L335" s="148">
        <v>2014</v>
      </c>
      <c r="M335" s="465">
        <v>0.18</v>
      </c>
      <c r="N335" s="148">
        <v>550</v>
      </c>
      <c r="O335" s="311" t="s">
        <v>1255</v>
      </c>
      <c r="P335" s="148">
        <v>2</v>
      </c>
      <c r="Q335" s="134" t="s">
        <v>1240</v>
      </c>
      <c r="R335" s="322" t="s">
        <v>33</v>
      </c>
      <c r="S335" s="239" t="s">
        <v>1807</v>
      </c>
      <c r="T335" s="301">
        <v>0.035</v>
      </c>
      <c r="U335" s="927" t="s">
        <v>313</v>
      </c>
      <c r="V335" s="360" t="e">
        <f>VLOOKUP(A335,#REF!,10,FALSE)</f>
        <v>#REF!</v>
      </c>
    </row>
    <row r="336" spans="1:22" ht="27" customHeight="1">
      <c r="A336" s="721">
        <v>70753</v>
      </c>
      <c r="B336" s="1001">
        <v>542</v>
      </c>
      <c r="C336" s="557" t="s">
        <v>1266</v>
      </c>
      <c r="D336" s="116" t="s">
        <v>1252</v>
      </c>
      <c r="E336" s="158" t="s">
        <v>1253</v>
      </c>
      <c r="F336" s="158" t="s">
        <v>1267</v>
      </c>
      <c r="G336" s="488" t="s">
        <v>1218</v>
      </c>
      <c r="H336" s="217"/>
      <c r="I336" s="1066" t="s">
        <v>1230</v>
      </c>
      <c r="J336" s="91"/>
      <c r="K336" s="198">
        <f t="shared" si="11"/>
        <v>61.89</v>
      </c>
      <c r="L336" s="148">
        <v>2014</v>
      </c>
      <c r="M336" s="465">
        <v>0.18</v>
      </c>
      <c r="N336" s="148">
        <v>550</v>
      </c>
      <c r="O336" s="311" t="s">
        <v>1255</v>
      </c>
      <c r="P336" s="148">
        <v>2</v>
      </c>
      <c r="Q336" s="134" t="s">
        <v>1240</v>
      </c>
      <c r="R336" s="322" t="s">
        <v>35</v>
      </c>
      <c r="S336" s="239" t="s">
        <v>1807</v>
      </c>
      <c r="T336" s="301">
        <v>0.033</v>
      </c>
      <c r="U336" s="927" t="s">
        <v>313</v>
      </c>
      <c r="V336" s="360" t="e">
        <f>VLOOKUP(A336,#REF!,10,FALSE)</f>
        <v>#REF!</v>
      </c>
    </row>
    <row r="337" spans="1:22" ht="27" customHeight="1">
      <c r="A337" s="721">
        <v>70742</v>
      </c>
      <c r="B337" s="1001">
        <v>530</v>
      </c>
      <c r="C337" s="557" t="s">
        <v>1268</v>
      </c>
      <c r="D337" s="116" t="s">
        <v>1252</v>
      </c>
      <c r="E337" s="158" t="s">
        <v>1253</v>
      </c>
      <c r="F337" s="158" t="s">
        <v>1269</v>
      </c>
      <c r="G337" s="488" t="s">
        <v>1218</v>
      </c>
      <c r="H337" s="217"/>
      <c r="I337" s="1066" t="s">
        <v>1230</v>
      </c>
      <c r="J337" s="91"/>
      <c r="K337" s="198">
        <f t="shared" si="11"/>
        <v>61.89</v>
      </c>
      <c r="L337" s="148">
        <v>2014</v>
      </c>
      <c r="M337" s="465">
        <v>0.18</v>
      </c>
      <c r="N337" s="148">
        <v>550</v>
      </c>
      <c r="O337" s="311" t="s">
        <v>1255</v>
      </c>
      <c r="P337" s="148">
        <v>2</v>
      </c>
      <c r="Q337" s="134" t="s">
        <v>1240</v>
      </c>
      <c r="R337" s="322" t="s">
        <v>38</v>
      </c>
      <c r="S337" s="239" t="s">
        <v>1807</v>
      </c>
      <c r="T337" s="301">
        <v>0.32</v>
      </c>
      <c r="U337" s="927" t="s">
        <v>313</v>
      </c>
      <c r="V337" s="360" t="e">
        <f>VLOOKUP(A337,#REF!,10,FALSE)</f>
        <v>#REF!</v>
      </c>
    </row>
    <row r="338" spans="1:22" ht="27" customHeight="1">
      <c r="A338" s="721">
        <v>70743</v>
      </c>
      <c r="B338" s="1001">
        <v>464</v>
      </c>
      <c r="C338" s="557" t="s">
        <v>1270</v>
      </c>
      <c r="D338" s="116" t="s">
        <v>1252</v>
      </c>
      <c r="E338" s="158" t="s">
        <v>1253</v>
      </c>
      <c r="F338" s="158" t="s">
        <v>1271</v>
      </c>
      <c r="G338" s="488" t="s">
        <v>1218</v>
      </c>
      <c r="H338" s="217"/>
      <c r="I338" s="1066" t="s">
        <v>1230</v>
      </c>
      <c r="J338" s="91"/>
      <c r="K338" s="198">
        <f t="shared" si="11"/>
        <v>61.89</v>
      </c>
      <c r="L338" s="148">
        <v>2014</v>
      </c>
      <c r="M338" s="465">
        <v>0.18</v>
      </c>
      <c r="N338" s="148">
        <v>550</v>
      </c>
      <c r="O338" s="311" t="s">
        <v>1255</v>
      </c>
      <c r="P338" s="148">
        <v>2</v>
      </c>
      <c r="Q338" s="134" t="s">
        <v>1240</v>
      </c>
      <c r="R338" s="322" t="s">
        <v>34</v>
      </c>
      <c r="S338" s="239" t="s">
        <v>1807</v>
      </c>
      <c r="T338" s="301">
        <v>0.035</v>
      </c>
      <c r="U338" s="927" t="s">
        <v>313</v>
      </c>
      <c r="V338" s="360" t="e">
        <f>VLOOKUP(A338,#REF!,10,FALSE)</f>
        <v>#REF!</v>
      </c>
    </row>
    <row r="339" spans="1:22" ht="27" customHeight="1">
      <c r="A339" s="721">
        <v>70744</v>
      </c>
      <c r="B339" s="1001">
        <v>543</v>
      </c>
      <c r="C339" s="557" t="s">
        <v>1272</v>
      </c>
      <c r="D339" s="116" t="s">
        <v>1252</v>
      </c>
      <c r="E339" s="158" t="s">
        <v>1253</v>
      </c>
      <c r="F339" s="158" t="s">
        <v>1273</v>
      </c>
      <c r="G339" s="488" t="s">
        <v>1218</v>
      </c>
      <c r="H339" s="217"/>
      <c r="I339" s="1066" t="s">
        <v>1230</v>
      </c>
      <c r="J339" s="91"/>
      <c r="K339" s="198">
        <f t="shared" si="11"/>
        <v>61.89</v>
      </c>
      <c r="L339" s="148">
        <v>2014</v>
      </c>
      <c r="M339" s="465">
        <v>0.18</v>
      </c>
      <c r="N339" s="148">
        <v>470</v>
      </c>
      <c r="O339" s="311" t="s">
        <v>1255</v>
      </c>
      <c r="P339" s="148">
        <v>3</v>
      </c>
      <c r="Q339" s="134" t="s">
        <v>1240</v>
      </c>
      <c r="R339" s="322" t="s">
        <v>37</v>
      </c>
      <c r="S339" s="239" t="s">
        <v>1807</v>
      </c>
      <c r="T339" s="301">
        <v>0.045</v>
      </c>
      <c r="U339" s="927" t="s">
        <v>313</v>
      </c>
      <c r="V339" s="360" t="e">
        <f>VLOOKUP(A339,#REF!,10,FALSE)</f>
        <v>#REF!</v>
      </c>
    </row>
    <row r="340" spans="1:22" ht="27" customHeight="1">
      <c r="A340" s="721">
        <v>70745</v>
      </c>
      <c r="B340" s="1001">
        <v>622</v>
      </c>
      <c r="C340" s="557" t="s">
        <v>1274</v>
      </c>
      <c r="D340" s="116" t="s">
        <v>1252</v>
      </c>
      <c r="E340" s="158" t="s">
        <v>1253</v>
      </c>
      <c r="F340" s="158" t="s">
        <v>1275</v>
      </c>
      <c r="G340" s="488" t="s">
        <v>1218</v>
      </c>
      <c r="H340" s="217"/>
      <c r="I340" s="1066" t="s">
        <v>1230</v>
      </c>
      <c r="J340" s="91"/>
      <c r="K340" s="198">
        <f t="shared" si="11"/>
        <v>61.89</v>
      </c>
      <c r="L340" s="148">
        <v>2014</v>
      </c>
      <c r="M340" s="465">
        <v>0.18</v>
      </c>
      <c r="N340" s="148">
        <v>550</v>
      </c>
      <c r="O340" s="311" t="s">
        <v>1255</v>
      </c>
      <c r="P340" s="148">
        <v>2</v>
      </c>
      <c r="Q340" s="134" t="s">
        <v>1240</v>
      </c>
      <c r="R340" s="322" t="s">
        <v>30</v>
      </c>
      <c r="S340" s="239" t="s">
        <v>1807</v>
      </c>
      <c r="T340" s="301">
        <v>0.035</v>
      </c>
      <c r="U340" s="927" t="s">
        <v>313</v>
      </c>
      <c r="V340" s="360" t="e">
        <f>VLOOKUP(A340,#REF!,10,FALSE)</f>
        <v>#REF!</v>
      </c>
    </row>
    <row r="341" spans="1:22" ht="27" customHeight="1" thickBot="1">
      <c r="A341" s="725">
        <v>70746</v>
      </c>
      <c r="B341" s="1003">
        <v>708</v>
      </c>
      <c r="C341" s="726" t="s">
        <v>1276</v>
      </c>
      <c r="D341" s="576" t="s">
        <v>1252</v>
      </c>
      <c r="E341" s="406" t="s">
        <v>1253</v>
      </c>
      <c r="F341" s="406" t="s">
        <v>1277</v>
      </c>
      <c r="G341" s="489" t="s">
        <v>1218</v>
      </c>
      <c r="H341" s="218"/>
      <c r="I341" s="1068" t="s">
        <v>1230</v>
      </c>
      <c r="J341" s="114"/>
      <c r="K341" s="199">
        <f t="shared" si="11"/>
        <v>61.89</v>
      </c>
      <c r="L341" s="149">
        <v>2014</v>
      </c>
      <c r="M341" s="490">
        <v>0.18</v>
      </c>
      <c r="N341" s="149">
        <v>550</v>
      </c>
      <c r="O341" s="244" t="s">
        <v>1255</v>
      </c>
      <c r="P341" s="149">
        <v>2</v>
      </c>
      <c r="Q341" s="136" t="s">
        <v>1240</v>
      </c>
      <c r="R341" s="324" t="s">
        <v>31</v>
      </c>
      <c r="S341" s="491" t="s">
        <v>1807</v>
      </c>
      <c r="T341" s="455">
        <v>0.035</v>
      </c>
      <c r="U341" s="928" t="s">
        <v>313</v>
      </c>
      <c r="V341" s="360" t="e">
        <f>VLOOKUP(A341,#REF!,10,FALSE)</f>
        <v>#REF!</v>
      </c>
    </row>
    <row r="342" spans="1:22" ht="27" customHeight="1">
      <c r="A342" s="751">
        <v>70708</v>
      </c>
      <c r="B342" s="1012">
        <v>600</v>
      </c>
      <c r="C342" s="752" t="s">
        <v>1278</v>
      </c>
      <c r="D342" s="494" t="s">
        <v>1279</v>
      </c>
      <c r="E342" s="157" t="s">
        <v>1280</v>
      </c>
      <c r="F342" s="157" t="s">
        <v>1281</v>
      </c>
      <c r="G342" s="495" t="s">
        <v>1218</v>
      </c>
      <c r="H342" s="217"/>
      <c r="I342" s="1061" t="s">
        <v>1239</v>
      </c>
      <c r="J342" s="5"/>
      <c r="K342" s="190">
        <f aca="true" t="shared" si="12" ref="K342:K347">ROUND(112.5*(1-$G$4),2)</f>
        <v>109.13</v>
      </c>
      <c r="L342" s="328">
        <v>2014</v>
      </c>
      <c r="M342" s="328" t="s">
        <v>1282</v>
      </c>
      <c r="N342" s="328">
        <v>130</v>
      </c>
      <c r="O342" s="445" t="s">
        <v>1255</v>
      </c>
      <c r="P342" s="496">
        <v>6</v>
      </c>
      <c r="Q342" s="497" t="s">
        <v>1240</v>
      </c>
      <c r="R342" s="447" t="s">
        <v>21</v>
      </c>
      <c r="S342" s="398" t="s">
        <v>1807</v>
      </c>
      <c r="T342" s="448">
        <v>0.04</v>
      </c>
      <c r="U342" s="933" t="s">
        <v>313</v>
      </c>
      <c r="V342" s="360" t="e">
        <f>VLOOKUP(A342,#REF!,10,FALSE)</f>
        <v>#REF!</v>
      </c>
    </row>
    <row r="343" spans="1:22" ht="27" customHeight="1">
      <c r="A343" s="751">
        <v>70709</v>
      </c>
      <c r="B343" s="1012">
        <v>632</v>
      </c>
      <c r="C343" s="752" t="s">
        <v>1283</v>
      </c>
      <c r="D343" s="494" t="s">
        <v>1279</v>
      </c>
      <c r="E343" s="157" t="s">
        <v>1280</v>
      </c>
      <c r="F343" s="157" t="s">
        <v>1284</v>
      </c>
      <c r="G343" s="495" t="s">
        <v>1218</v>
      </c>
      <c r="H343" s="217"/>
      <c r="I343" s="1061" t="s">
        <v>1239</v>
      </c>
      <c r="J343" s="5"/>
      <c r="K343" s="190">
        <f t="shared" si="12"/>
        <v>109.13</v>
      </c>
      <c r="L343" s="328">
        <v>2014</v>
      </c>
      <c r="M343" s="328" t="s">
        <v>1282</v>
      </c>
      <c r="N343" s="328">
        <v>100</v>
      </c>
      <c r="O343" s="445" t="s">
        <v>1255</v>
      </c>
      <c r="P343" s="496">
        <v>7</v>
      </c>
      <c r="Q343" s="497" t="s">
        <v>1240</v>
      </c>
      <c r="R343" s="447" t="s">
        <v>19</v>
      </c>
      <c r="S343" s="398" t="s">
        <v>1807</v>
      </c>
      <c r="T343" s="448">
        <v>0.04</v>
      </c>
      <c r="U343" s="933" t="s">
        <v>313</v>
      </c>
      <c r="V343" s="360" t="e">
        <f>VLOOKUP(A343,#REF!,10,FALSE)</f>
        <v>#REF!</v>
      </c>
    </row>
    <row r="344" spans="1:22" ht="27" customHeight="1">
      <c r="A344" s="751">
        <v>70710</v>
      </c>
      <c r="B344" s="1012">
        <v>459</v>
      </c>
      <c r="C344" s="752" t="s">
        <v>1285</v>
      </c>
      <c r="D344" s="494" t="s">
        <v>1279</v>
      </c>
      <c r="E344" s="157" t="s">
        <v>1280</v>
      </c>
      <c r="F344" s="157" t="s">
        <v>1286</v>
      </c>
      <c r="G344" s="495" t="s">
        <v>1218</v>
      </c>
      <c r="H344" s="217"/>
      <c r="I344" s="1061" t="s">
        <v>1239</v>
      </c>
      <c r="J344" s="5"/>
      <c r="K344" s="190">
        <f t="shared" si="12"/>
        <v>109.13</v>
      </c>
      <c r="L344" s="328">
        <v>2014</v>
      </c>
      <c r="M344" s="328" t="s">
        <v>1282</v>
      </c>
      <c r="N344" s="328">
        <v>130</v>
      </c>
      <c r="O344" s="445" t="s">
        <v>1255</v>
      </c>
      <c r="P344" s="496">
        <v>8</v>
      </c>
      <c r="Q344" s="497" t="s">
        <v>1240</v>
      </c>
      <c r="R344" s="447" t="s">
        <v>24</v>
      </c>
      <c r="S344" s="398" t="s">
        <v>1807</v>
      </c>
      <c r="T344" s="448">
        <v>0.04</v>
      </c>
      <c r="U344" s="933" t="s">
        <v>313</v>
      </c>
      <c r="V344" s="360" t="e">
        <f>VLOOKUP(A344,#REF!,10,FALSE)</f>
        <v>#REF!</v>
      </c>
    </row>
    <row r="345" spans="1:22" ht="27" customHeight="1">
      <c r="A345" s="751">
        <v>70703</v>
      </c>
      <c r="B345" s="1012">
        <v>556</v>
      </c>
      <c r="C345" s="752" t="s">
        <v>1287</v>
      </c>
      <c r="D345" s="494" t="s">
        <v>1279</v>
      </c>
      <c r="E345" s="157" t="s">
        <v>1280</v>
      </c>
      <c r="F345" s="157" t="s">
        <v>1288</v>
      </c>
      <c r="G345" s="495" t="s">
        <v>1218</v>
      </c>
      <c r="H345" s="217"/>
      <c r="I345" s="1061" t="s">
        <v>1239</v>
      </c>
      <c r="J345" s="5"/>
      <c r="K345" s="190">
        <f t="shared" si="12"/>
        <v>109.13</v>
      </c>
      <c r="L345" s="328">
        <v>2014</v>
      </c>
      <c r="M345" s="328" t="s">
        <v>1282</v>
      </c>
      <c r="N345" s="328">
        <v>130</v>
      </c>
      <c r="O345" s="445" t="s">
        <v>1255</v>
      </c>
      <c r="P345" s="496">
        <v>9</v>
      </c>
      <c r="Q345" s="497" t="s">
        <v>1240</v>
      </c>
      <c r="R345" s="447" t="s">
        <v>25</v>
      </c>
      <c r="S345" s="398" t="s">
        <v>1807</v>
      </c>
      <c r="T345" s="448">
        <v>0.04</v>
      </c>
      <c r="U345" s="933" t="s">
        <v>313</v>
      </c>
      <c r="V345" s="360" t="e">
        <f>VLOOKUP(A345,#REF!,10,FALSE)</f>
        <v>#REF!</v>
      </c>
    </row>
    <row r="346" spans="1:22" ht="27" customHeight="1">
      <c r="A346" s="751">
        <v>70706</v>
      </c>
      <c r="B346" s="1012">
        <v>526</v>
      </c>
      <c r="C346" s="752" t="s">
        <v>1289</v>
      </c>
      <c r="D346" s="494" t="s">
        <v>1279</v>
      </c>
      <c r="E346" s="157" t="s">
        <v>1280</v>
      </c>
      <c r="F346" s="157" t="s">
        <v>1290</v>
      </c>
      <c r="G346" s="495" t="s">
        <v>1218</v>
      </c>
      <c r="H346" s="217"/>
      <c r="I346" s="1061" t="s">
        <v>1239</v>
      </c>
      <c r="J346" s="5"/>
      <c r="K346" s="190">
        <f t="shared" si="12"/>
        <v>109.13</v>
      </c>
      <c r="L346" s="328">
        <v>2014</v>
      </c>
      <c r="M346" s="328" t="s">
        <v>1282</v>
      </c>
      <c r="N346" s="328">
        <v>130</v>
      </c>
      <c r="O346" s="445" t="s">
        <v>1255</v>
      </c>
      <c r="P346" s="496">
        <v>10</v>
      </c>
      <c r="Q346" s="497" t="s">
        <v>1240</v>
      </c>
      <c r="R346" s="447" t="s">
        <v>26</v>
      </c>
      <c r="S346" s="398" t="s">
        <v>1807</v>
      </c>
      <c r="T346" s="448">
        <v>0.04</v>
      </c>
      <c r="U346" s="933" t="s">
        <v>313</v>
      </c>
      <c r="V346" s="360" t="e">
        <f>VLOOKUP(A346,#REF!,10,FALSE)</f>
        <v>#REF!</v>
      </c>
    </row>
    <row r="347" spans="1:22" ht="27" customHeight="1" thickBot="1">
      <c r="A347" s="754">
        <v>70707</v>
      </c>
      <c r="B347" s="1013">
        <v>599</v>
      </c>
      <c r="C347" s="755" t="s">
        <v>1291</v>
      </c>
      <c r="D347" s="498" t="s">
        <v>1279</v>
      </c>
      <c r="E347" s="464" t="s">
        <v>1280</v>
      </c>
      <c r="F347" s="464" t="s">
        <v>1292</v>
      </c>
      <c r="G347" s="499" t="s">
        <v>1218</v>
      </c>
      <c r="H347" s="218"/>
      <c r="I347" s="1062" t="s">
        <v>1239</v>
      </c>
      <c r="J347" s="90"/>
      <c r="K347" s="191">
        <f t="shared" si="12"/>
        <v>109.13</v>
      </c>
      <c r="L347" s="329">
        <v>2014</v>
      </c>
      <c r="M347" s="329" t="s">
        <v>1282</v>
      </c>
      <c r="N347" s="329">
        <v>130</v>
      </c>
      <c r="O347" s="309" t="s">
        <v>1255</v>
      </c>
      <c r="P347" s="500">
        <v>10</v>
      </c>
      <c r="Q347" s="501" t="s">
        <v>1240</v>
      </c>
      <c r="R347" s="450" t="s">
        <v>20</v>
      </c>
      <c r="S347" s="409" t="s">
        <v>1807</v>
      </c>
      <c r="T347" s="451">
        <v>0.04</v>
      </c>
      <c r="U347" s="934" t="s">
        <v>313</v>
      </c>
      <c r="V347" s="360" t="e">
        <f>VLOOKUP(A347,#REF!,10,FALSE)</f>
        <v>#REF!</v>
      </c>
    </row>
    <row r="348" spans="1:22" ht="27" customHeight="1">
      <c r="A348" s="768">
        <v>70132</v>
      </c>
      <c r="B348" s="1019">
        <v>590</v>
      </c>
      <c r="C348" s="769" t="s">
        <v>1293</v>
      </c>
      <c r="D348" s="164" t="s">
        <v>1294</v>
      </c>
      <c r="E348" s="502" t="s">
        <v>1295</v>
      </c>
      <c r="F348" s="502" t="s">
        <v>1586</v>
      </c>
      <c r="G348" s="503" t="s">
        <v>1218</v>
      </c>
      <c r="H348" s="7"/>
      <c r="I348" s="1070" t="s">
        <v>1239</v>
      </c>
      <c r="J348" s="419"/>
      <c r="K348" s="198">
        <f aca="true" t="shared" si="13" ref="K348:K353">ROUND(240*(1-$G$4),2)</f>
        <v>232.8</v>
      </c>
      <c r="L348" s="504">
        <v>2013</v>
      </c>
      <c r="M348" s="504" t="s">
        <v>1231</v>
      </c>
      <c r="N348" s="504">
        <v>25</v>
      </c>
      <c r="O348" s="505" t="s">
        <v>1296</v>
      </c>
      <c r="P348" s="505">
        <v>16</v>
      </c>
      <c r="Q348" s="506" t="s">
        <v>1240</v>
      </c>
      <c r="R348" s="507" t="s">
        <v>2113</v>
      </c>
      <c r="S348" s="508" t="s">
        <v>1807</v>
      </c>
      <c r="T348" s="509">
        <v>0.168</v>
      </c>
      <c r="U348" s="935" t="s">
        <v>313</v>
      </c>
      <c r="V348" s="360" t="e">
        <f>VLOOKUP(A348,#REF!,10,FALSE)</f>
        <v>#REF!</v>
      </c>
    </row>
    <row r="349" spans="1:22" ht="27" customHeight="1">
      <c r="A349" s="770">
        <v>70133</v>
      </c>
      <c r="B349" s="1020">
        <v>673</v>
      </c>
      <c r="C349" s="689" t="s">
        <v>1297</v>
      </c>
      <c r="D349" s="79" t="s">
        <v>1294</v>
      </c>
      <c r="E349" s="510" t="s">
        <v>1295</v>
      </c>
      <c r="F349" s="510" t="s">
        <v>1587</v>
      </c>
      <c r="G349" s="511" t="s">
        <v>1218</v>
      </c>
      <c r="H349" s="8"/>
      <c r="I349" s="1071" t="s">
        <v>1239</v>
      </c>
      <c r="J349" s="80"/>
      <c r="K349" s="196">
        <f t="shared" si="13"/>
        <v>232.8</v>
      </c>
      <c r="L349" s="261">
        <v>2013</v>
      </c>
      <c r="M349" s="261" t="s">
        <v>1231</v>
      </c>
      <c r="N349" s="261">
        <v>25</v>
      </c>
      <c r="O349" s="283" t="s">
        <v>1296</v>
      </c>
      <c r="P349" s="283">
        <v>16</v>
      </c>
      <c r="Q349" s="135" t="s">
        <v>1240</v>
      </c>
      <c r="R349" s="321" t="s">
        <v>2114</v>
      </c>
      <c r="S349" s="240" t="s">
        <v>1807</v>
      </c>
      <c r="T349" s="288">
        <v>0.168</v>
      </c>
      <c r="U349" s="936" t="s">
        <v>313</v>
      </c>
      <c r="V349" s="360" t="e">
        <f>VLOOKUP(A349,#REF!,10,FALSE)</f>
        <v>#REF!</v>
      </c>
    </row>
    <row r="350" spans="1:22" ht="27" customHeight="1">
      <c r="A350" s="724">
        <v>70166</v>
      </c>
      <c r="B350" s="1002">
        <v>419</v>
      </c>
      <c r="C350" s="689" t="s">
        <v>1298</v>
      </c>
      <c r="D350" s="79" t="s">
        <v>1294</v>
      </c>
      <c r="E350" s="510" t="s">
        <v>1295</v>
      </c>
      <c r="F350" s="510" t="s">
        <v>1588</v>
      </c>
      <c r="G350" s="511" t="s">
        <v>1218</v>
      </c>
      <c r="H350" s="8"/>
      <c r="I350" s="1071" t="s">
        <v>1239</v>
      </c>
      <c r="J350" s="80"/>
      <c r="K350" s="196">
        <f t="shared" si="13"/>
        <v>232.8</v>
      </c>
      <c r="L350" s="261">
        <v>2013</v>
      </c>
      <c r="M350" s="261" t="s">
        <v>1231</v>
      </c>
      <c r="N350" s="261">
        <v>25</v>
      </c>
      <c r="O350" s="283" t="s">
        <v>1296</v>
      </c>
      <c r="P350" s="283">
        <v>16</v>
      </c>
      <c r="Q350" s="135" t="s">
        <v>1240</v>
      </c>
      <c r="R350" s="321" t="s">
        <v>2115</v>
      </c>
      <c r="S350" s="240" t="s">
        <v>1807</v>
      </c>
      <c r="T350" s="288">
        <v>0.168</v>
      </c>
      <c r="U350" s="936" t="s">
        <v>313</v>
      </c>
      <c r="V350" s="360" t="e">
        <f>VLOOKUP(A350,#REF!,10,FALSE)</f>
        <v>#REF!</v>
      </c>
    </row>
    <row r="351" spans="1:22" ht="27" customHeight="1">
      <c r="A351" s="724">
        <v>70167</v>
      </c>
      <c r="B351" s="1002">
        <v>664</v>
      </c>
      <c r="C351" s="689" t="s">
        <v>1299</v>
      </c>
      <c r="D351" s="79" t="s">
        <v>1294</v>
      </c>
      <c r="E351" s="510" t="s">
        <v>1295</v>
      </c>
      <c r="F351" s="510" t="s">
        <v>1589</v>
      </c>
      <c r="G351" s="511" t="s">
        <v>1218</v>
      </c>
      <c r="H351" s="8"/>
      <c r="I351" s="1071" t="s">
        <v>1239</v>
      </c>
      <c r="J351" s="80"/>
      <c r="K351" s="196">
        <f t="shared" si="13"/>
        <v>232.8</v>
      </c>
      <c r="L351" s="261">
        <v>2013</v>
      </c>
      <c r="M351" s="261" t="s">
        <v>1231</v>
      </c>
      <c r="N351" s="261">
        <v>25</v>
      </c>
      <c r="O351" s="283" t="s">
        <v>1296</v>
      </c>
      <c r="P351" s="283">
        <v>16</v>
      </c>
      <c r="Q351" s="135" t="s">
        <v>1240</v>
      </c>
      <c r="R351" s="321" t="s">
        <v>2116</v>
      </c>
      <c r="S351" s="240" t="s">
        <v>1807</v>
      </c>
      <c r="T351" s="288">
        <v>0.168</v>
      </c>
      <c r="U351" s="936" t="s">
        <v>313</v>
      </c>
      <c r="V351" s="360" t="e">
        <f>VLOOKUP(A351,#REF!,10,FALSE)</f>
        <v>#REF!</v>
      </c>
    </row>
    <row r="352" spans="1:22" ht="27" customHeight="1">
      <c r="A352" s="724">
        <v>70153</v>
      </c>
      <c r="B352" s="1002">
        <v>181</v>
      </c>
      <c r="C352" s="689" t="s">
        <v>1300</v>
      </c>
      <c r="D352" s="79" t="s">
        <v>1294</v>
      </c>
      <c r="E352" s="510" t="s">
        <v>1295</v>
      </c>
      <c r="F352" s="510" t="s">
        <v>1590</v>
      </c>
      <c r="G352" s="511" t="s">
        <v>1218</v>
      </c>
      <c r="H352" s="8"/>
      <c r="I352" s="1071" t="s">
        <v>1239</v>
      </c>
      <c r="J352" s="80"/>
      <c r="K352" s="196">
        <f t="shared" si="13"/>
        <v>232.8</v>
      </c>
      <c r="L352" s="261">
        <v>2013</v>
      </c>
      <c r="M352" s="261" t="s">
        <v>1231</v>
      </c>
      <c r="N352" s="261">
        <v>50</v>
      </c>
      <c r="O352" s="283" t="s">
        <v>1296</v>
      </c>
      <c r="P352" s="283">
        <v>16</v>
      </c>
      <c r="Q352" s="135" t="s">
        <v>1240</v>
      </c>
      <c r="R352" s="321" t="s">
        <v>2117</v>
      </c>
      <c r="S352" s="240" t="s">
        <v>1807</v>
      </c>
      <c r="T352" s="288">
        <v>0.168</v>
      </c>
      <c r="U352" s="936" t="s">
        <v>313</v>
      </c>
      <c r="V352" s="360" t="e">
        <f>VLOOKUP(A352,#REF!,10,FALSE)</f>
        <v>#REF!</v>
      </c>
    </row>
    <row r="353" spans="1:22" ht="27" customHeight="1" thickBot="1">
      <c r="A353" s="771">
        <v>70134</v>
      </c>
      <c r="B353" s="1021">
        <v>653</v>
      </c>
      <c r="C353" s="772" t="s">
        <v>1301</v>
      </c>
      <c r="D353" s="60" t="s">
        <v>1294</v>
      </c>
      <c r="E353" s="368" t="s">
        <v>1295</v>
      </c>
      <c r="F353" s="368" t="s">
        <v>1591</v>
      </c>
      <c r="G353" s="512" t="s">
        <v>1218</v>
      </c>
      <c r="H353" s="9"/>
      <c r="I353" s="1072" t="s">
        <v>1239</v>
      </c>
      <c r="J353" s="265"/>
      <c r="K353" s="200">
        <f t="shared" si="13"/>
        <v>232.8</v>
      </c>
      <c r="L353" s="338">
        <v>2013</v>
      </c>
      <c r="M353" s="338" t="s">
        <v>1231</v>
      </c>
      <c r="N353" s="338">
        <v>25</v>
      </c>
      <c r="O353" s="454" t="s">
        <v>1296</v>
      </c>
      <c r="P353" s="454">
        <v>16</v>
      </c>
      <c r="Q353" s="317" t="s">
        <v>1240</v>
      </c>
      <c r="R353" s="513" t="s">
        <v>2118</v>
      </c>
      <c r="S353" s="514" t="s">
        <v>1807</v>
      </c>
      <c r="T353" s="515">
        <v>0.168</v>
      </c>
      <c r="U353" s="937" t="s">
        <v>313</v>
      </c>
      <c r="V353" s="360" t="e">
        <f>VLOOKUP(A353,#REF!,10,FALSE)</f>
        <v>#REF!</v>
      </c>
    </row>
    <row r="354" spans="1:22" ht="27" customHeight="1">
      <c r="A354" s="767">
        <v>70162</v>
      </c>
      <c r="B354" s="1018">
        <v>421</v>
      </c>
      <c r="C354" s="688" t="s">
        <v>1302</v>
      </c>
      <c r="D354" s="78" t="s">
        <v>1303</v>
      </c>
      <c r="E354" s="492" t="s">
        <v>1295</v>
      </c>
      <c r="F354" s="492" t="s">
        <v>1592</v>
      </c>
      <c r="G354" s="516" t="s">
        <v>1218</v>
      </c>
      <c r="H354" s="10"/>
      <c r="I354" s="1069" t="s">
        <v>1239</v>
      </c>
      <c r="J354" s="356"/>
      <c r="K354" s="195">
        <f aca="true" t="shared" si="14" ref="K354:K359">ROUND(142.5*(1-$G$4),2)</f>
        <v>138.23</v>
      </c>
      <c r="L354" s="330">
        <v>2013</v>
      </c>
      <c r="M354" s="330" t="s">
        <v>1231</v>
      </c>
      <c r="N354" s="330">
        <v>35</v>
      </c>
      <c r="O354" s="461" t="s">
        <v>1296</v>
      </c>
      <c r="P354" s="461">
        <v>16</v>
      </c>
      <c r="Q354" s="132" t="s">
        <v>1240</v>
      </c>
      <c r="R354" s="320" t="s">
        <v>2121</v>
      </c>
      <c r="S354" s="493" t="s">
        <v>1807</v>
      </c>
      <c r="T354" s="303">
        <v>0.067</v>
      </c>
      <c r="U354" s="938" t="s">
        <v>313</v>
      </c>
      <c r="V354" s="360" t="e">
        <f>VLOOKUP(A354,#REF!,10,FALSE)</f>
        <v>#REF!</v>
      </c>
    </row>
    <row r="355" spans="1:22" ht="27" customHeight="1">
      <c r="A355" s="724">
        <v>70164</v>
      </c>
      <c r="B355" s="1002">
        <v>555</v>
      </c>
      <c r="C355" s="689" t="s">
        <v>1304</v>
      </c>
      <c r="D355" s="79" t="s">
        <v>1303</v>
      </c>
      <c r="E355" s="510" t="s">
        <v>1295</v>
      </c>
      <c r="F355" s="510" t="s">
        <v>1593</v>
      </c>
      <c r="G355" s="511" t="s">
        <v>1218</v>
      </c>
      <c r="H355" s="8"/>
      <c r="I355" s="1071" t="s">
        <v>1239</v>
      </c>
      <c r="J355" s="80"/>
      <c r="K355" s="196">
        <f t="shared" si="14"/>
        <v>138.23</v>
      </c>
      <c r="L355" s="261">
        <v>2013</v>
      </c>
      <c r="M355" s="261" t="s">
        <v>1231</v>
      </c>
      <c r="N355" s="261">
        <v>35</v>
      </c>
      <c r="O355" s="283" t="s">
        <v>1296</v>
      </c>
      <c r="P355" s="283">
        <v>16</v>
      </c>
      <c r="Q355" s="135" t="s">
        <v>1240</v>
      </c>
      <c r="R355" s="321" t="s">
        <v>2123</v>
      </c>
      <c r="S355" s="240" t="s">
        <v>1807</v>
      </c>
      <c r="T355" s="288">
        <v>0.067</v>
      </c>
      <c r="U355" s="936" t="s">
        <v>313</v>
      </c>
      <c r="V355" s="360" t="e">
        <f>VLOOKUP(A355,#REF!,10,FALSE)</f>
        <v>#REF!</v>
      </c>
    </row>
    <row r="356" spans="1:22" ht="27" customHeight="1">
      <c r="A356" s="724">
        <v>70161</v>
      </c>
      <c r="B356" s="1002">
        <v>467</v>
      </c>
      <c r="C356" s="689" t="s">
        <v>1305</v>
      </c>
      <c r="D356" s="79" t="s">
        <v>1303</v>
      </c>
      <c r="E356" s="510" t="s">
        <v>1295</v>
      </c>
      <c r="F356" s="510" t="s">
        <v>1594</v>
      </c>
      <c r="G356" s="511" t="s">
        <v>1218</v>
      </c>
      <c r="H356" s="8"/>
      <c r="I356" s="1071" t="s">
        <v>1239</v>
      </c>
      <c r="J356" s="80"/>
      <c r="K356" s="196">
        <f t="shared" si="14"/>
        <v>138.23</v>
      </c>
      <c r="L356" s="261">
        <v>2013</v>
      </c>
      <c r="M356" s="261" t="s">
        <v>1231</v>
      </c>
      <c r="N356" s="261">
        <v>35</v>
      </c>
      <c r="O356" s="283" t="s">
        <v>1296</v>
      </c>
      <c r="P356" s="283">
        <v>16</v>
      </c>
      <c r="Q356" s="135" t="s">
        <v>1240</v>
      </c>
      <c r="R356" s="321" t="s">
        <v>2120</v>
      </c>
      <c r="S356" s="240" t="s">
        <v>1807</v>
      </c>
      <c r="T356" s="288">
        <v>0.067</v>
      </c>
      <c r="U356" s="936" t="s">
        <v>313</v>
      </c>
      <c r="V356" s="360" t="e">
        <f>VLOOKUP(A356,#REF!,10,FALSE)</f>
        <v>#REF!</v>
      </c>
    </row>
    <row r="357" spans="1:22" ht="27" customHeight="1">
      <c r="A357" s="724">
        <v>70163</v>
      </c>
      <c r="B357" s="1002">
        <v>521</v>
      </c>
      <c r="C357" s="689" t="s">
        <v>1306</v>
      </c>
      <c r="D357" s="79" t="s">
        <v>1303</v>
      </c>
      <c r="E357" s="510" t="s">
        <v>1295</v>
      </c>
      <c r="F357" s="510" t="s">
        <v>1595</v>
      </c>
      <c r="G357" s="511" t="s">
        <v>1218</v>
      </c>
      <c r="H357" s="8"/>
      <c r="I357" s="1071" t="s">
        <v>1239</v>
      </c>
      <c r="J357" s="80"/>
      <c r="K357" s="196">
        <f t="shared" si="14"/>
        <v>138.23</v>
      </c>
      <c r="L357" s="261">
        <v>2013</v>
      </c>
      <c r="M357" s="261" t="s">
        <v>1231</v>
      </c>
      <c r="N357" s="261">
        <v>35</v>
      </c>
      <c r="O357" s="283" t="s">
        <v>1296</v>
      </c>
      <c r="P357" s="283">
        <v>16</v>
      </c>
      <c r="Q357" s="135" t="s">
        <v>1240</v>
      </c>
      <c r="R357" s="321" t="s">
        <v>2122</v>
      </c>
      <c r="S357" s="240" t="s">
        <v>1807</v>
      </c>
      <c r="T357" s="288">
        <v>0.067</v>
      </c>
      <c r="U357" s="936" t="s">
        <v>313</v>
      </c>
      <c r="V357" s="360" t="e">
        <f>VLOOKUP(A357,#REF!,10,FALSE)</f>
        <v>#REF!</v>
      </c>
    </row>
    <row r="358" spans="1:22" ht="27" customHeight="1">
      <c r="A358" s="724">
        <v>70160</v>
      </c>
      <c r="B358" s="1002">
        <v>540</v>
      </c>
      <c r="C358" s="689" t="s">
        <v>1307</v>
      </c>
      <c r="D358" s="79" t="s">
        <v>1303</v>
      </c>
      <c r="E358" s="510" t="s">
        <v>1295</v>
      </c>
      <c r="F358" s="510" t="s">
        <v>1596</v>
      </c>
      <c r="G358" s="511" t="s">
        <v>1218</v>
      </c>
      <c r="H358" s="8"/>
      <c r="I358" s="1071" t="s">
        <v>1239</v>
      </c>
      <c r="J358" s="80"/>
      <c r="K358" s="196">
        <f t="shared" si="14"/>
        <v>138.23</v>
      </c>
      <c r="L358" s="261">
        <v>2013</v>
      </c>
      <c r="M358" s="261" t="s">
        <v>1231</v>
      </c>
      <c r="N358" s="261">
        <v>35</v>
      </c>
      <c r="O358" s="283" t="s">
        <v>1296</v>
      </c>
      <c r="P358" s="283">
        <v>16</v>
      </c>
      <c r="Q358" s="135" t="s">
        <v>1240</v>
      </c>
      <c r="R358" s="321" t="s">
        <v>2119</v>
      </c>
      <c r="S358" s="240" t="s">
        <v>1807</v>
      </c>
      <c r="T358" s="288">
        <v>0.067</v>
      </c>
      <c r="U358" s="936" t="s">
        <v>313</v>
      </c>
      <c r="V358" s="360" t="e">
        <f>VLOOKUP(A358,#REF!,10,FALSE)</f>
        <v>#REF!</v>
      </c>
    </row>
    <row r="359" spans="1:22" ht="27" customHeight="1" thickBot="1">
      <c r="A359" s="771">
        <v>70165</v>
      </c>
      <c r="B359" s="1021">
        <v>566</v>
      </c>
      <c r="C359" s="772" t="s">
        <v>1308</v>
      </c>
      <c r="D359" s="60" t="s">
        <v>1303</v>
      </c>
      <c r="E359" s="368" t="s">
        <v>1295</v>
      </c>
      <c r="F359" s="368" t="s">
        <v>1597</v>
      </c>
      <c r="G359" s="512" t="s">
        <v>1218</v>
      </c>
      <c r="H359" s="9"/>
      <c r="I359" s="1072" t="s">
        <v>1239</v>
      </c>
      <c r="J359" s="265"/>
      <c r="K359" s="200">
        <f t="shared" si="14"/>
        <v>138.23</v>
      </c>
      <c r="L359" s="338">
        <v>2013</v>
      </c>
      <c r="M359" s="338" t="s">
        <v>1231</v>
      </c>
      <c r="N359" s="338">
        <v>35</v>
      </c>
      <c r="O359" s="454" t="s">
        <v>1296</v>
      </c>
      <c r="P359" s="454">
        <v>16</v>
      </c>
      <c r="Q359" s="317" t="s">
        <v>1240</v>
      </c>
      <c r="R359" s="513" t="s">
        <v>2124</v>
      </c>
      <c r="S359" s="514" t="s">
        <v>1807</v>
      </c>
      <c r="T359" s="515">
        <v>0.067</v>
      </c>
      <c r="U359" s="934" t="s">
        <v>313</v>
      </c>
      <c r="V359" s="360" t="e">
        <f>VLOOKUP(A359,#REF!,10,FALSE)</f>
        <v>#REF!</v>
      </c>
    </row>
    <row r="360" spans="1:22" ht="25.5" customHeight="1" thickBot="1">
      <c r="A360" s="1102" t="s">
        <v>983</v>
      </c>
      <c r="B360" s="1008"/>
      <c r="C360" s="744"/>
      <c r="D360" s="62"/>
      <c r="E360" s="62"/>
      <c r="F360" s="62"/>
      <c r="G360" s="432"/>
      <c r="H360" s="63"/>
      <c r="I360" s="63"/>
      <c r="J360" s="61"/>
      <c r="K360" s="192"/>
      <c r="L360" s="619"/>
      <c r="M360" s="864"/>
      <c r="N360" s="64"/>
      <c r="O360" s="65"/>
      <c r="P360" s="66"/>
      <c r="Q360" s="65"/>
      <c r="R360" s="64"/>
      <c r="S360" s="292"/>
      <c r="T360" s="297"/>
      <c r="U360" s="923"/>
      <c r="V360" s="360" t="e">
        <f>VLOOKUP(A360,#REF!,10,FALSE)</f>
        <v>#REF!</v>
      </c>
    </row>
    <row r="361" spans="1:22" ht="26.25" customHeight="1">
      <c r="A361" s="899">
        <v>71743</v>
      </c>
      <c r="B361" s="1011"/>
      <c r="C361" s="556" t="s">
        <v>602</v>
      </c>
      <c r="D361" s="162" t="s">
        <v>984</v>
      </c>
      <c r="E361" s="457" t="s">
        <v>594</v>
      </c>
      <c r="F361" s="457" t="s">
        <v>593</v>
      </c>
      <c r="G361" s="437"/>
      <c r="H361" s="975" t="s">
        <v>1799</v>
      </c>
      <c r="I361" s="1080"/>
      <c r="J361" s="459"/>
      <c r="K361" s="189"/>
      <c r="L361" s="337">
        <v>2017</v>
      </c>
      <c r="M361" s="145" t="s">
        <v>1231</v>
      </c>
      <c r="N361" s="146" t="s">
        <v>604</v>
      </c>
      <c r="O361" s="607" t="s">
        <v>1233</v>
      </c>
      <c r="P361" s="620" t="s">
        <v>603</v>
      </c>
      <c r="Q361" s="472" t="s">
        <v>1232</v>
      </c>
      <c r="R361" s="323">
        <v>9785462018527</v>
      </c>
      <c r="S361" s="433" t="s">
        <v>1807</v>
      </c>
      <c r="T361" s="299">
        <v>1.872</v>
      </c>
      <c r="U361" s="926" t="s">
        <v>309</v>
      </c>
      <c r="V361" s="360"/>
    </row>
    <row r="362" spans="1:22" s="96" customFormat="1" ht="39" customHeight="1">
      <c r="A362" s="886">
        <v>71744</v>
      </c>
      <c r="B362" s="1001">
        <v>126</v>
      </c>
      <c r="C362" s="557" t="s">
        <v>1916</v>
      </c>
      <c r="D362" s="286" t="s">
        <v>984</v>
      </c>
      <c r="E362" s="158" t="s">
        <v>1918</v>
      </c>
      <c r="F362" s="158" t="s">
        <v>1915</v>
      </c>
      <c r="G362" s="397"/>
      <c r="H362" s="219" t="s">
        <v>1320</v>
      </c>
      <c r="I362" s="863"/>
      <c r="J362" s="85"/>
      <c r="K362" s="190">
        <f>ROUND(1850*(1-$G$4),2)</f>
        <v>1794.5</v>
      </c>
      <c r="L362" s="334">
        <v>2017</v>
      </c>
      <c r="M362" s="147" t="s">
        <v>1231</v>
      </c>
      <c r="N362" s="148">
        <v>2</v>
      </c>
      <c r="O362" s="311" t="s">
        <v>1233</v>
      </c>
      <c r="P362" s="621">
        <v>1456</v>
      </c>
      <c r="Q362" s="470" t="s">
        <v>1232</v>
      </c>
      <c r="R362" s="322" t="s">
        <v>1917</v>
      </c>
      <c r="S362" s="143" t="s">
        <v>1922</v>
      </c>
      <c r="T362" s="301">
        <v>1.782</v>
      </c>
      <c r="U362" s="927" t="s">
        <v>309</v>
      </c>
      <c r="V362" s="360" t="e">
        <f>VLOOKUP(A362,#REF!,10,FALSE)</f>
        <v>#REF!</v>
      </c>
    </row>
    <row r="363" spans="1:22" s="96" customFormat="1" ht="30" customHeight="1">
      <c r="A363" s="886">
        <v>71617</v>
      </c>
      <c r="B363" s="1001">
        <v>314</v>
      </c>
      <c r="C363" s="557" t="s">
        <v>985</v>
      </c>
      <c r="D363" s="286" t="s">
        <v>984</v>
      </c>
      <c r="E363" s="158" t="s">
        <v>1929</v>
      </c>
      <c r="F363" s="158" t="s">
        <v>1683</v>
      </c>
      <c r="G363" s="397"/>
      <c r="H363" s="219" t="s">
        <v>1320</v>
      </c>
      <c r="I363" s="863"/>
      <c r="J363" s="85"/>
      <c r="K363" s="190">
        <f>ROUND(1070*(1-$G$4),2)</f>
        <v>1037.9</v>
      </c>
      <c r="L363" s="334">
        <v>2016</v>
      </c>
      <c r="M363" s="147" t="s">
        <v>1231</v>
      </c>
      <c r="N363" s="148">
        <v>4</v>
      </c>
      <c r="O363" s="311" t="s">
        <v>1233</v>
      </c>
      <c r="P363" s="621">
        <v>800</v>
      </c>
      <c r="Q363" s="140">
        <v>7</v>
      </c>
      <c r="R363" s="322" t="s">
        <v>115</v>
      </c>
      <c r="S363" s="143" t="s">
        <v>1807</v>
      </c>
      <c r="T363" s="301">
        <v>1.46</v>
      </c>
      <c r="U363" s="927" t="s">
        <v>309</v>
      </c>
      <c r="V363" s="360" t="e">
        <f>VLOOKUP(A363,#REF!,10,FALSE)</f>
        <v>#REF!</v>
      </c>
    </row>
    <row r="364" spans="1:22" s="96" customFormat="1" ht="30" customHeight="1">
      <c r="A364" s="886">
        <v>71745</v>
      </c>
      <c r="B364" s="1001"/>
      <c r="C364" s="557" t="s">
        <v>596</v>
      </c>
      <c r="D364" s="286" t="s">
        <v>984</v>
      </c>
      <c r="E364" s="158" t="s">
        <v>605</v>
      </c>
      <c r="F364" s="158" t="s">
        <v>595</v>
      </c>
      <c r="G364" s="397"/>
      <c r="H364" s="1131" t="s">
        <v>1320</v>
      </c>
      <c r="I364" s="863"/>
      <c r="J364" s="85"/>
      <c r="K364" s="190">
        <f>ROUND(1080*(1-$G$4),2)</f>
        <v>1047.6</v>
      </c>
      <c r="L364" s="334">
        <v>2017</v>
      </c>
      <c r="M364" s="147" t="s">
        <v>1231</v>
      </c>
      <c r="N364" s="148" t="s">
        <v>604</v>
      </c>
      <c r="O364" s="272" t="s">
        <v>1233</v>
      </c>
      <c r="P364" s="621" t="s">
        <v>606</v>
      </c>
      <c r="Q364" s="140" t="s">
        <v>1232</v>
      </c>
      <c r="R364" s="322">
        <v>9785990926226</v>
      </c>
      <c r="S364" s="898" t="s">
        <v>591</v>
      </c>
      <c r="T364" s="301">
        <v>1.45</v>
      </c>
      <c r="U364" s="927" t="s">
        <v>309</v>
      </c>
      <c r="V364" s="360"/>
    </row>
    <row r="365" spans="1:22" ht="27" customHeight="1">
      <c r="A365" s="886">
        <v>57957</v>
      </c>
      <c r="B365" s="1001">
        <v>434</v>
      </c>
      <c r="C365" s="774" t="s">
        <v>986</v>
      </c>
      <c r="D365" s="286" t="s">
        <v>984</v>
      </c>
      <c r="E365" s="116" t="s">
        <v>987</v>
      </c>
      <c r="F365" s="116" t="s">
        <v>1684</v>
      </c>
      <c r="G365" s="519" t="s">
        <v>1218</v>
      </c>
      <c r="H365" s="18" t="s">
        <v>1321</v>
      </c>
      <c r="I365" s="863"/>
      <c r="J365" s="15"/>
      <c r="K365" s="201">
        <v>450</v>
      </c>
      <c r="L365" s="334">
        <v>2009</v>
      </c>
      <c r="M365" s="147" t="s">
        <v>1231</v>
      </c>
      <c r="N365" s="148">
        <v>3</v>
      </c>
      <c r="O365" s="272" t="s">
        <v>1233</v>
      </c>
      <c r="P365" s="311">
        <v>720</v>
      </c>
      <c r="Q365" s="318" t="s">
        <v>1232</v>
      </c>
      <c r="R365" s="322" t="s">
        <v>116</v>
      </c>
      <c r="S365" s="143" t="s">
        <v>1807</v>
      </c>
      <c r="T365" s="301">
        <v>1.78</v>
      </c>
      <c r="U365" s="927" t="s">
        <v>309</v>
      </c>
      <c r="V365" s="360" t="e">
        <f>VLOOKUP(A365,#REF!,10,FALSE)</f>
        <v>#REF!</v>
      </c>
    </row>
    <row r="366" spans="1:22" ht="27" customHeight="1">
      <c r="A366" s="886">
        <v>59895</v>
      </c>
      <c r="B366" s="1001">
        <v>703</v>
      </c>
      <c r="C366" s="774" t="s">
        <v>708</v>
      </c>
      <c r="D366" s="286" t="s">
        <v>984</v>
      </c>
      <c r="E366" s="116" t="s">
        <v>710</v>
      </c>
      <c r="F366" s="116" t="s">
        <v>707</v>
      </c>
      <c r="G366" s="348"/>
      <c r="H366" s="18" t="s">
        <v>1321</v>
      </c>
      <c r="I366" s="348"/>
      <c r="J366" s="404"/>
      <c r="K366" s="201">
        <v>580</v>
      </c>
      <c r="L366" s="334">
        <v>2008</v>
      </c>
      <c r="M366" s="147" t="s">
        <v>1231</v>
      </c>
      <c r="N366" s="148">
        <v>2</v>
      </c>
      <c r="O366" s="272" t="s">
        <v>1233</v>
      </c>
      <c r="P366" s="334">
        <v>976</v>
      </c>
      <c r="Q366" s="147" t="s">
        <v>1232</v>
      </c>
      <c r="R366" s="148" t="s">
        <v>709</v>
      </c>
      <c r="S366" s="143" t="s">
        <v>1807</v>
      </c>
      <c r="T366" s="301">
        <v>2.272</v>
      </c>
      <c r="U366" s="927" t="s">
        <v>309</v>
      </c>
      <c r="V366" s="360"/>
    </row>
    <row r="367" spans="1:22" ht="27" customHeight="1" thickBot="1">
      <c r="A367" s="887">
        <v>71346</v>
      </c>
      <c r="B367" s="1003">
        <v>112</v>
      </c>
      <c r="C367" s="726" t="s">
        <v>988</v>
      </c>
      <c r="D367" s="566" t="s">
        <v>984</v>
      </c>
      <c r="E367" s="406" t="s">
        <v>1960</v>
      </c>
      <c r="F367" s="406" t="s">
        <v>1504</v>
      </c>
      <c r="G367" s="573"/>
      <c r="H367" s="868" t="s">
        <v>1799</v>
      </c>
      <c r="I367" s="1081"/>
      <c r="J367" s="138"/>
      <c r="K367" s="191"/>
      <c r="L367" s="149">
        <v>2016</v>
      </c>
      <c r="M367" s="855" t="s">
        <v>1231</v>
      </c>
      <c r="N367" s="149">
        <v>3</v>
      </c>
      <c r="O367" s="244" t="s">
        <v>1233</v>
      </c>
      <c r="P367" s="149">
        <v>896</v>
      </c>
      <c r="Q367" s="622">
        <v>7</v>
      </c>
      <c r="R367" s="324" t="s">
        <v>117</v>
      </c>
      <c r="S367" s="895" t="s">
        <v>1807</v>
      </c>
      <c r="T367" s="455">
        <v>1.67</v>
      </c>
      <c r="U367" s="928" t="s">
        <v>309</v>
      </c>
      <c r="V367" s="360" t="e">
        <f>VLOOKUP(A367,#REF!,10,FALSE)</f>
        <v>#REF!</v>
      </c>
    </row>
    <row r="368" spans="1:22" ht="27" customHeight="1" thickBot="1">
      <c r="A368" s="780">
        <v>70229</v>
      </c>
      <c r="B368" s="1026">
        <v>652</v>
      </c>
      <c r="C368" s="739" t="s">
        <v>989</v>
      </c>
      <c r="D368" s="248" t="s">
        <v>990</v>
      </c>
      <c r="E368" s="1309" t="s">
        <v>991</v>
      </c>
      <c r="F368" s="1309" t="s">
        <v>1685</v>
      </c>
      <c r="G368" s="1310" t="s">
        <v>1218</v>
      </c>
      <c r="H368" s="1311"/>
      <c r="I368" s="1139"/>
      <c r="J368" s="1312"/>
      <c r="K368" s="1313">
        <f>ROUND(450*(1-$G$4),2)</f>
        <v>436.5</v>
      </c>
      <c r="L368" s="1314">
        <v>2013</v>
      </c>
      <c r="M368" s="847" t="s">
        <v>1231</v>
      </c>
      <c r="N368" s="333">
        <v>16</v>
      </c>
      <c r="O368" s="426" t="s">
        <v>1249</v>
      </c>
      <c r="P368" s="543">
        <v>304</v>
      </c>
      <c r="Q368" s="426" t="s">
        <v>1232</v>
      </c>
      <c r="R368" s="544" t="s">
        <v>94</v>
      </c>
      <c r="S368" s="1315" t="s">
        <v>1807</v>
      </c>
      <c r="T368" s="1316">
        <v>0.373</v>
      </c>
      <c r="U368" s="1317" t="s">
        <v>309</v>
      </c>
      <c r="V368" s="360" t="e">
        <f>VLOOKUP(A368,#REF!,10,FALSE)</f>
        <v>#REF!</v>
      </c>
    </row>
    <row r="369" spans="1:22" ht="27" customHeight="1">
      <c r="A369" s="809">
        <v>71734</v>
      </c>
      <c r="B369" s="1014">
        <v>401</v>
      </c>
      <c r="C369" s="765" t="s">
        <v>555</v>
      </c>
      <c r="D369" s="467" t="s">
        <v>992</v>
      </c>
      <c r="E369" s="538" t="s">
        <v>556</v>
      </c>
      <c r="F369" s="538" t="s">
        <v>557</v>
      </c>
      <c r="G369" s="623"/>
      <c r="H369" s="246"/>
      <c r="I369" s="1089"/>
      <c r="J369" s="236"/>
      <c r="K369" s="198">
        <f>ROUND(680*(1-$G$4),2)</f>
        <v>659.6</v>
      </c>
      <c r="L369" s="362">
        <v>2016</v>
      </c>
      <c r="M369" s="844" t="s">
        <v>1231</v>
      </c>
      <c r="N369" s="260">
        <v>6</v>
      </c>
      <c r="O369" s="475" t="s">
        <v>1234</v>
      </c>
      <c r="P369" s="260">
        <v>448</v>
      </c>
      <c r="Q369" s="475" t="s">
        <v>1232</v>
      </c>
      <c r="R369" s="507">
        <v>9785990738553</v>
      </c>
      <c r="S369" s="366" t="s">
        <v>1922</v>
      </c>
      <c r="T369" s="869">
        <v>0.705</v>
      </c>
      <c r="U369" s="943" t="s">
        <v>309</v>
      </c>
      <c r="V369" s="360" t="e">
        <f>VLOOKUP(A369,#REF!,10,FALSE)</f>
        <v>#REF!</v>
      </c>
    </row>
    <row r="370" spans="1:22" ht="27" customHeight="1">
      <c r="A370" s="737">
        <v>71190</v>
      </c>
      <c r="B370" s="1001">
        <v>391</v>
      </c>
      <c r="C370" s="810" t="s">
        <v>22</v>
      </c>
      <c r="D370" s="624" t="s">
        <v>992</v>
      </c>
      <c r="E370" s="567" t="s">
        <v>329</v>
      </c>
      <c r="F370" s="567" t="s">
        <v>23</v>
      </c>
      <c r="G370" s="625"/>
      <c r="H370" s="166" t="s">
        <v>1799</v>
      </c>
      <c r="I370" s="1090"/>
      <c r="J370" s="97"/>
      <c r="K370" s="198"/>
      <c r="L370" s="361">
        <v>2016</v>
      </c>
      <c r="M370" s="856" t="s">
        <v>1231</v>
      </c>
      <c r="N370" s="361">
        <v>5</v>
      </c>
      <c r="O370" s="626" t="s">
        <v>1234</v>
      </c>
      <c r="P370" s="361">
        <v>584</v>
      </c>
      <c r="Q370" s="627">
        <v>7</v>
      </c>
      <c r="R370" s="628" t="s">
        <v>331</v>
      </c>
      <c r="S370" s="873" t="s">
        <v>1807</v>
      </c>
      <c r="T370" s="870">
        <v>0.9</v>
      </c>
      <c r="U370" s="944" t="s">
        <v>309</v>
      </c>
      <c r="V370" s="360" t="e">
        <f>VLOOKUP(A370,#REF!,10,FALSE)</f>
        <v>#REF!</v>
      </c>
    </row>
    <row r="371" spans="1:22" ht="27" customHeight="1">
      <c r="A371" s="902">
        <v>71647</v>
      </c>
      <c r="B371" s="1000"/>
      <c r="C371" s="719" t="s">
        <v>277</v>
      </c>
      <c r="D371" s="286" t="s">
        <v>992</v>
      </c>
      <c r="E371" s="764" t="s">
        <v>396</v>
      </c>
      <c r="F371" s="764" t="s">
        <v>278</v>
      </c>
      <c r="G371" s="269"/>
      <c r="H371" s="166" t="s">
        <v>1799</v>
      </c>
      <c r="I371" s="863"/>
      <c r="J371" s="85"/>
      <c r="K371" s="196"/>
      <c r="L371" s="271">
        <v>2016</v>
      </c>
      <c r="M371" s="147" t="s">
        <v>1231</v>
      </c>
      <c r="N371" s="272">
        <v>2</v>
      </c>
      <c r="O371" s="271" t="s">
        <v>1234</v>
      </c>
      <c r="P371" s="271" t="s">
        <v>471</v>
      </c>
      <c r="Q371" s="271" t="s">
        <v>1232</v>
      </c>
      <c r="R371" s="321">
        <v>9785462007361</v>
      </c>
      <c r="S371" s="874" t="s">
        <v>1807</v>
      </c>
      <c r="T371" s="871">
        <v>1.52</v>
      </c>
      <c r="U371" s="945" t="s">
        <v>309</v>
      </c>
      <c r="V371" s="360" t="e">
        <f>VLOOKUP(A371,#REF!,10,FALSE)</f>
        <v>#REF!</v>
      </c>
    </row>
    <row r="372" spans="1:22" ht="27" customHeight="1">
      <c r="A372" s="886">
        <v>71189</v>
      </c>
      <c r="B372" s="1001">
        <v>352</v>
      </c>
      <c r="C372" s="731" t="s">
        <v>1499</v>
      </c>
      <c r="D372" s="286" t="s">
        <v>992</v>
      </c>
      <c r="E372" s="94" t="s">
        <v>800</v>
      </c>
      <c r="F372" s="94" t="s">
        <v>1498</v>
      </c>
      <c r="G372" s="518" t="s">
        <v>1218</v>
      </c>
      <c r="H372" s="166"/>
      <c r="I372" s="1071"/>
      <c r="J372" s="12"/>
      <c r="K372" s="196">
        <f aca="true" t="shared" si="15" ref="K372:K378">ROUND(900*(1-$G$4),2)</f>
        <v>873</v>
      </c>
      <c r="L372" s="334">
        <v>2015</v>
      </c>
      <c r="M372" s="147" t="s">
        <v>1231</v>
      </c>
      <c r="N372" s="261">
        <v>6</v>
      </c>
      <c r="O372" s="284" t="s">
        <v>1500</v>
      </c>
      <c r="P372" s="283">
        <v>544</v>
      </c>
      <c r="Q372" s="284" t="s">
        <v>1232</v>
      </c>
      <c r="R372" s="321" t="s">
        <v>96</v>
      </c>
      <c r="S372" s="142" t="s">
        <v>1807</v>
      </c>
      <c r="T372" s="871">
        <v>0.835</v>
      </c>
      <c r="U372" s="945" t="s">
        <v>309</v>
      </c>
      <c r="V372" s="360" t="e">
        <f>VLOOKUP(A372,#REF!,10,FALSE)</f>
        <v>#REF!</v>
      </c>
    </row>
    <row r="373" spans="1:22" ht="27" customHeight="1">
      <c r="A373" s="886">
        <v>70406</v>
      </c>
      <c r="B373" s="1001"/>
      <c r="C373" s="797" t="s">
        <v>628</v>
      </c>
      <c r="D373" s="286" t="s">
        <v>992</v>
      </c>
      <c r="E373" s="94" t="s">
        <v>629</v>
      </c>
      <c r="F373" s="94" t="s">
        <v>627</v>
      </c>
      <c r="G373" s="518"/>
      <c r="H373" s="166" t="s">
        <v>1799</v>
      </c>
      <c r="I373" s="1071"/>
      <c r="J373" s="12"/>
      <c r="K373" s="196"/>
      <c r="L373" s="334">
        <v>2013</v>
      </c>
      <c r="M373" s="147" t="s">
        <v>1231</v>
      </c>
      <c r="N373" s="654">
        <v>6</v>
      </c>
      <c r="O373" s="284" t="s">
        <v>1234</v>
      </c>
      <c r="P373" s="283">
        <v>432</v>
      </c>
      <c r="Q373" s="284" t="s">
        <v>1232</v>
      </c>
      <c r="R373" s="321">
        <v>9785462011399</v>
      </c>
      <c r="S373" s="142" t="s">
        <v>1807</v>
      </c>
      <c r="T373" s="871">
        <v>0.672</v>
      </c>
      <c r="U373" s="945" t="s">
        <v>309</v>
      </c>
      <c r="V373" s="360"/>
    </row>
    <row r="374" spans="1:22" ht="27" customHeight="1">
      <c r="A374" s="721">
        <v>71774</v>
      </c>
      <c r="B374" s="1001"/>
      <c r="C374" s="976" t="s">
        <v>614</v>
      </c>
      <c r="D374" s="286" t="s">
        <v>992</v>
      </c>
      <c r="E374" s="731" t="s">
        <v>616</v>
      </c>
      <c r="F374" s="286" t="s">
        <v>613</v>
      </c>
      <c r="G374" s="518"/>
      <c r="H374" s="246" t="s">
        <v>1238</v>
      </c>
      <c r="J374" s="404"/>
      <c r="K374" s="196">
        <f t="shared" si="15"/>
        <v>873</v>
      </c>
      <c r="L374" s="334">
        <v>2017</v>
      </c>
      <c r="M374" s="147" t="s">
        <v>1231</v>
      </c>
      <c r="N374" s="124">
        <v>5</v>
      </c>
      <c r="O374" s="284" t="s">
        <v>1234</v>
      </c>
      <c r="P374" s="283">
        <v>576</v>
      </c>
      <c r="Q374" s="334" t="s">
        <v>1232</v>
      </c>
      <c r="R374" s="148" t="s">
        <v>615</v>
      </c>
      <c r="S374" s="142" t="s">
        <v>1807</v>
      </c>
      <c r="T374" s="871">
        <v>0.89</v>
      </c>
      <c r="U374" s="945" t="s">
        <v>309</v>
      </c>
      <c r="V374" s="284" t="s">
        <v>1807</v>
      </c>
    </row>
    <row r="375" spans="1:22" ht="27" customHeight="1">
      <c r="A375" s="886">
        <v>71770</v>
      </c>
      <c r="B375" s="1001"/>
      <c r="C375" s="731" t="s">
        <v>589</v>
      </c>
      <c r="D375" s="286" t="s">
        <v>992</v>
      </c>
      <c r="E375" s="94" t="s">
        <v>590</v>
      </c>
      <c r="F375" s="94" t="s">
        <v>588</v>
      </c>
      <c r="G375" s="518"/>
      <c r="H375" s="246" t="s">
        <v>1238</v>
      </c>
      <c r="I375" s="1071"/>
      <c r="K375" s="196">
        <f t="shared" si="15"/>
        <v>873</v>
      </c>
      <c r="L375" s="148">
        <v>2017</v>
      </c>
      <c r="M375" s="147" t="s">
        <v>1231</v>
      </c>
      <c r="N375" s="261" t="s">
        <v>469</v>
      </c>
      <c r="O375" s="284" t="s">
        <v>1234</v>
      </c>
      <c r="P375" s="283" t="s">
        <v>468</v>
      </c>
      <c r="Q375" s="284" t="s">
        <v>1232</v>
      </c>
      <c r="R375" s="331">
        <v>9785990926202</v>
      </c>
      <c r="S375" s="901" t="s">
        <v>591</v>
      </c>
      <c r="T375" s="871">
        <v>0.4</v>
      </c>
      <c r="U375" s="945" t="s">
        <v>309</v>
      </c>
      <c r="V375" s="360"/>
    </row>
    <row r="376" spans="1:22" ht="27" customHeight="1">
      <c r="A376" s="886">
        <v>71645</v>
      </c>
      <c r="B376" s="1001">
        <v>193</v>
      </c>
      <c r="C376" s="557" t="s">
        <v>1835</v>
      </c>
      <c r="D376" s="286" t="s">
        <v>992</v>
      </c>
      <c r="E376" s="158" t="s">
        <v>1847</v>
      </c>
      <c r="F376" s="158" t="s">
        <v>1834</v>
      </c>
      <c r="G376" s="397"/>
      <c r="H376" s="1128" t="s">
        <v>1799</v>
      </c>
      <c r="I376" s="863"/>
      <c r="J376" s="85"/>
      <c r="K376" s="196"/>
      <c r="L376" s="148">
        <v>2016</v>
      </c>
      <c r="M376" s="147" t="s">
        <v>1231</v>
      </c>
      <c r="N376" s="148">
        <v>5</v>
      </c>
      <c r="O376" s="311" t="s">
        <v>1234</v>
      </c>
      <c r="P376" s="148">
        <v>736</v>
      </c>
      <c r="Q376" s="470">
        <v>7</v>
      </c>
      <c r="R376" s="322" t="s">
        <v>100</v>
      </c>
      <c r="S376" s="875" t="s">
        <v>1807</v>
      </c>
      <c r="T376" s="871">
        <v>1.085</v>
      </c>
      <c r="U376" s="945" t="s">
        <v>309</v>
      </c>
      <c r="V376" s="360" t="e">
        <f>VLOOKUP(A376,#REF!,10,FALSE)</f>
        <v>#REF!</v>
      </c>
    </row>
    <row r="377" spans="1:22" ht="27" customHeight="1">
      <c r="A377" s="886">
        <v>70878</v>
      </c>
      <c r="B377" s="1001">
        <v>254</v>
      </c>
      <c r="C377" s="557" t="s">
        <v>993</v>
      </c>
      <c r="D377" s="116" t="s">
        <v>992</v>
      </c>
      <c r="E377" s="158" t="s">
        <v>994</v>
      </c>
      <c r="F377" s="158" t="s">
        <v>995</v>
      </c>
      <c r="G377" s="550" t="s">
        <v>1218</v>
      </c>
      <c r="H377" s="166"/>
      <c r="I377" s="1066"/>
      <c r="J377" s="91"/>
      <c r="K377" s="190">
        <f t="shared" si="15"/>
        <v>873</v>
      </c>
      <c r="L377" s="334">
        <v>2014</v>
      </c>
      <c r="M377" s="147" t="s">
        <v>1231</v>
      </c>
      <c r="N377" s="148"/>
      <c r="O377" s="311" t="s">
        <v>1234</v>
      </c>
      <c r="P377" s="148">
        <v>416</v>
      </c>
      <c r="Q377" s="470">
        <v>7</v>
      </c>
      <c r="R377" s="322" t="s">
        <v>101</v>
      </c>
      <c r="S377" s="617" t="s">
        <v>1807</v>
      </c>
      <c r="T377" s="642">
        <v>0.63</v>
      </c>
      <c r="U377" s="946" t="s">
        <v>309</v>
      </c>
      <c r="V377" s="360" t="e">
        <f>VLOOKUP(A377,#REF!,10,FALSE)</f>
        <v>#REF!</v>
      </c>
    </row>
    <row r="378" spans="1:22" ht="27" customHeight="1">
      <c r="A378" s="886">
        <v>71620</v>
      </c>
      <c r="B378" s="1001">
        <v>402</v>
      </c>
      <c r="C378" s="557" t="s">
        <v>1538</v>
      </c>
      <c r="D378" s="116" t="s">
        <v>992</v>
      </c>
      <c r="E378" s="158" t="s">
        <v>1539</v>
      </c>
      <c r="F378" s="158" t="s">
        <v>1537</v>
      </c>
      <c r="G378" s="483" t="s">
        <v>1218</v>
      </c>
      <c r="H378" s="219" t="s">
        <v>1320</v>
      </c>
      <c r="I378" s="863"/>
      <c r="J378" s="85"/>
      <c r="K378" s="196">
        <f t="shared" si="15"/>
        <v>873</v>
      </c>
      <c r="L378" s="148">
        <v>2016</v>
      </c>
      <c r="M378" s="147" t="s">
        <v>1231</v>
      </c>
      <c r="N378" s="148">
        <v>7</v>
      </c>
      <c r="O378" s="311" t="s">
        <v>1234</v>
      </c>
      <c r="P378" s="148">
        <v>416</v>
      </c>
      <c r="Q378" s="470">
        <v>7</v>
      </c>
      <c r="R378" s="322" t="s">
        <v>97</v>
      </c>
      <c r="S378" s="617" t="s">
        <v>1807</v>
      </c>
      <c r="T378" s="642">
        <v>0.67</v>
      </c>
      <c r="U378" s="946" t="s">
        <v>309</v>
      </c>
      <c r="V378" s="360" t="e">
        <f>VLOOKUP(A378,#REF!,10,FALSE)</f>
        <v>#REF!</v>
      </c>
    </row>
    <row r="379" spans="1:22" ht="27" customHeight="1">
      <c r="A379" s="322">
        <v>71192</v>
      </c>
      <c r="B379" s="1001">
        <v>326</v>
      </c>
      <c r="C379" s="557" t="s">
        <v>996</v>
      </c>
      <c r="D379" s="286" t="s">
        <v>992</v>
      </c>
      <c r="E379" s="158" t="s">
        <v>997</v>
      </c>
      <c r="F379" s="158" t="s">
        <v>1686</v>
      </c>
      <c r="G379" s="629" t="s">
        <v>1218</v>
      </c>
      <c r="H379" s="166" t="s">
        <v>1799</v>
      </c>
      <c r="I379" s="863"/>
      <c r="J379" s="15"/>
      <c r="K379" s="190"/>
      <c r="L379" s="334">
        <v>2015</v>
      </c>
      <c r="M379" s="147" t="s">
        <v>1231</v>
      </c>
      <c r="N379" s="148">
        <v>4</v>
      </c>
      <c r="O379" s="272" t="s">
        <v>1234</v>
      </c>
      <c r="P379" s="148">
        <v>944</v>
      </c>
      <c r="Q379" s="272" t="s">
        <v>1232</v>
      </c>
      <c r="R379" s="322" t="s">
        <v>98</v>
      </c>
      <c r="S379" s="143" t="s">
        <v>1807</v>
      </c>
      <c r="T379" s="642">
        <v>1.35</v>
      </c>
      <c r="U379" s="946" t="s">
        <v>309</v>
      </c>
      <c r="V379" s="360" t="e">
        <f>VLOOKUP(A379,#REF!,10,FALSE)</f>
        <v>#REF!</v>
      </c>
    </row>
    <row r="380" spans="1:22" ht="27" customHeight="1">
      <c r="A380" s="903">
        <v>70404</v>
      </c>
      <c r="B380" s="1002">
        <v>215</v>
      </c>
      <c r="C380" s="689" t="s">
        <v>998</v>
      </c>
      <c r="D380" s="286" t="s">
        <v>992</v>
      </c>
      <c r="E380" s="510" t="s">
        <v>999</v>
      </c>
      <c r="F380" s="510" t="s">
        <v>1687</v>
      </c>
      <c r="G380" s="511" t="s">
        <v>1218</v>
      </c>
      <c r="H380" s="13"/>
      <c r="I380" s="1071"/>
      <c r="J380" s="12"/>
      <c r="K380" s="201">
        <f>ROUND(900*(1-$G$4),2)</f>
        <v>873</v>
      </c>
      <c r="L380" s="334">
        <v>2013</v>
      </c>
      <c r="M380" s="147" t="s">
        <v>1231</v>
      </c>
      <c r="N380" s="261">
        <v>6</v>
      </c>
      <c r="O380" s="284" t="s">
        <v>1234</v>
      </c>
      <c r="P380" s="261">
        <v>448</v>
      </c>
      <c r="Q380" s="284" t="s">
        <v>1232</v>
      </c>
      <c r="R380" s="321" t="s">
        <v>99</v>
      </c>
      <c r="S380" s="142" t="s">
        <v>1807</v>
      </c>
      <c r="T380" s="871">
        <v>0.7</v>
      </c>
      <c r="U380" s="945" t="s">
        <v>309</v>
      </c>
      <c r="V380" s="360" t="e">
        <f>VLOOKUP(A380,#REF!,10,FALSE)</f>
        <v>#REF!</v>
      </c>
    </row>
    <row r="381" spans="1:22" ht="27" customHeight="1">
      <c r="A381" s="904">
        <v>71646</v>
      </c>
      <c r="B381" s="1016">
        <v>271</v>
      </c>
      <c r="C381" s="763" t="s">
        <v>1000</v>
      </c>
      <c r="D381" s="286" t="s">
        <v>992</v>
      </c>
      <c r="E381" s="764" t="s">
        <v>1001</v>
      </c>
      <c r="F381" s="764" t="s">
        <v>1688</v>
      </c>
      <c r="G381" s="269"/>
      <c r="H381" s="219" t="s">
        <v>1320</v>
      </c>
      <c r="I381" s="863"/>
      <c r="J381" s="85"/>
      <c r="K381" s="201">
        <f>ROUND(900*(1-$G$4),2)</f>
        <v>873</v>
      </c>
      <c r="L381" s="271">
        <v>2016</v>
      </c>
      <c r="M381" s="147" t="s">
        <v>1231</v>
      </c>
      <c r="N381" s="271" t="s">
        <v>284</v>
      </c>
      <c r="O381" s="271" t="s">
        <v>1234</v>
      </c>
      <c r="P381" s="271" t="s">
        <v>470</v>
      </c>
      <c r="Q381" s="271" t="s">
        <v>1232</v>
      </c>
      <c r="R381" s="321">
        <v>9785462012075</v>
      </c>
      <c r="S381" s="874" t="s">
        <v>1807</v>
      </c>
      <c r="T381" s="871">
        <v>0.785</v>
      </c>
      <c r="U381" s="945" t="s">
        <v>309</v>
      </c>
      <c r="V381" s="360" t="e">
        <f>VLOOKUP(A381,#REF!,10,FALSE)</f>
        <v>#REF!</v>
      </c>
    </row>
    <row r="382" spans="1:22" ht="27" customHeight="1" thickBot="1">
      <c r="A382" s="1426">
        <v>71644</v>
      </c>
      <c r="B382" s="1427">
        <v>302</v>
      </c>
      <c r="C382" s="1428" t="s">
        <v>1939</v>
      </c>
      <c r="D382" s="643" t="s">
        <v>992</v>
      </c>
      <c r="E382" s="1429" t="s">
        <v>1940</v>
      </c>
      <c r="F382" s="1429" t="s">
        <v>1938</v>
      </c>
      <c r="G382" s="1430"/>
      <c r="H382" s="1131" t="s">
        <v>1320</v>
      </c>
      <c r="I382" s="1092"/>
      <c r="J382" s="235"/>
      <c r="K382" s="210">
        <f>ROUND(900*(1-$G$4),2)</f>
        <v>873</v>
      </c>
      <c r="L382" s="1431">
        <v>2016</v>
      </c>
      <c r="M382" s="846" t="s">
        <v>1231</v>
      </c>
      <c r="N382" s="1431" t="s">
        <v>469</v>
      </c>
      <c r="O382" s="1431" t="s">
        <v>1234</v>
      </c>
      <c r="P382" s="1431" t="s">
        <v>468</v>
      </c>
      <c r="Q382" s="1431" t="s">
        <v>1232</v>
      </c>
      <c r="R382" s="532">
        <v>9785462017421</v>
      </c>
      <c r="S382" s="1432" t="s">
        <v>1807</v>
      </c>
      <c r="T382" s="1433">
        <v>0.715</v>
      </c>
      <c r="U382" s="1434" t="s">
        <v>309</v>
      </c>
      <c r="V382" s="360" t="e">
        <f>VLOOKUP(A382,#REF!,10,FALSE)</f>
        <v>#REF!</v>
      </c>
    </row>
    <row r="383" spans="1:22" ht="27" customHeight="1">
      <c r="A383" s="747">
        <v>71431</v>
      </c>
      <c r="B383" s="1011">
        <v>170</v>
      </c>
      <c r="C383" s="1440" t="s">
        <v>263</v>
      </c>
      <c r="D383" s="162" t="s">
        <v>114</v>
      </c>
      <c r="E383" s="457" t="s">
        <v>362</v>
      </c>
      <c r="F383" s="457" t="s">
        <v>264</v>
      </c>
      <c r="G383" s="1435"/>
      <c r="H383" s="1354" t="s">
        <v>1320</v>
      </c>
      <c r="I383" s="1080"/>
      <c r="J383" s="459"/>
      <c r="K383" s="245">
        <f>ROUND(550*(1-$G$4),2)</f>
        <v>533.5</v>
      </c>
      <c r="L383" s="146">
        <v>2017</v>
      </c>
      <c r="M383" s="145" t="s">
        <v>1231</v>
      </c>
      <c r="N383" s="146">
        <v>10</v>
      </c>
      <c r="O383" s="316" t="s">
        <v>1249</v>
      </c>
      <c r="P383" s="146">
        <v>432</v>
      </c>
      <c r="Q383" s="472">
        <v>7</v>
      </c>
      <c r="R383" s="559">
        <v>9785462009303</v>
      </c>
      <c r="S383" s="1439" t="s">
        <v>1807</v>
      </c>
      <c r="T383" s="303">
        <v>0.495</v>
      </c>
      <c r="U383" s="1437" t="s">
        <v>309</v>
      </c>
      <c r="V383" s="360" t="e">
        <f>VLOOKUP(A383,#REF!,10,FALSE)</f>
        <v>#REF!</v>
      </c>
    </row>
    <row r="384" spans="1:22" ht="27" customHeight="1">
      <c r="A384" s="721">
        <v>68878</v>
      </c>
      <c r="B384" s="1001">
        <v>528</v>
      </c>
      <c r="C384" s="1441" t="s">
        <v>704</v>
      </c>
      <c r="D384" s="286" t="s">
        <v>114</v>
      </c>
      <c r="E384" s="158" t="s">
        <v>691</v>
      </c>
      <c r="F384" s="158" t="s">
        <v>703</v>
      </c>
      <c r="G384" s="405"/>
      <c r="H384" s="219"/>
      <c r="I384" s="863"/>
      <c r="J384" s="404"/>
      <c r="K384" s="201">
        <f>ROUND(315*(1-$G$4),2)</f>
        <v>305.55</v>
      </c>
      <c r="L384" s="148">
        <v>2010</v>
      </c>
      <c r="M384" s="147" t="s">
        <v>1231</v>
      </c>
      <c r="N384" s="148">
        <v>8</v>
      </c>
      <c r="O384" s="311" t="s">
        <v>1249</v>
      </c>
      <c r="P384" s="148">
        <v>400</v>
      </c>
      <c r="Q384" s="470" t="s">
        <v>1232</v>
      </c>
      <c r="R384" s="612">
        <v>9785462010064</v>
      </c>
      <c r="S384" s="892" t="s">
        <v>1807</v>
      </c>
      <c r="T384" s="288">
        <v>0.525</v>
      </c>
      <c r="U384" s="945" t="s">
        <v>309</v>
      </c>
      <c r="V384" s="360"/>
    </row>
    <row r="385" spans="1:22" ht="27" customHeight="1" thickBot="1">
      <c r="A385" s="725">
        <v>70056</v>
      </c>
      <c r="B385" s="1003">
        <v>398</v>
      </c>
      <c r="C385" s="1442" t="s">
        <v>706</v>
      </c>
      <c r="D385" s="566" t="s">
        <v>114</v>
      </c>
      <c r="E385" s="406" t="s">
        <v>905</v>
      </c>
      <c r="F385" s="406" t="s">
        <v>705</v>
      </c>
      <c r="G385" s="1436"/>
      <c r="H385" s="287"/>
      <c r="I385" s="1081"/>
      <c r="J385" s="407"/>
      <c r="K385" s="285">
        <f>ROUND(292.5*(1-$G$4),2)</f>
        <v>283.73</v>
      </c>
      <c r="L385" s="149">
        <v>2012</v>
      </c>
      <c r="M385" s="855" t="s">
        <v>1231</v>
      </c>
      <c r="N385" s="149">
        <v>12</v>
      </c>
      <c r="O385" s="244" t="s">
        <v>1249</v>
      </c>
      <c r="P385" s="149">
        <v>424</v>
      </c>
      <c r="Q385" s="622" t="s">
        <v>1232</v>
      </c>
      <c r="R385" s="1443">
        <v>9785462007316</v>
      </c>
      <c r="S385" s="908" t="s">
        <v>1807</v>
      </c>
      <c r="T385" s="515">
        <v>0.525</v>
      </c>
      <c r="U385" s="1438" t="s">
        <v>309</v>
      </c>
      <c r="V385" s="360"/>
    </row>
    <row r="386" spans="1:22" ht="27" customHeight="1">
      <c r="A386" s="758">
        <v>71741</v>
      </c>
      <c r="B386" s="1014">
        <v>2</v>
      </c>
      <c r="C386" s="765" t="s">
        <v>1002</v>
      </c>
      <c r="D386" s="560" t="s">
        <v>1003</v>
      </c>
      <c r="E386" s="538" t="s">
        <v>1004</v>
      </c>
      <c r="F386" s="538" t="s">
        <v>1005</v>
      </c>
      <c r="G386" s="631" t="s">
        <v>1218</v>
      </c>
      <c r="H386" s="252" t="s">
        <v>1320</v>
      </c>
      <c r="I386" s="1089"/>
      <c r="J386" s="468"/>
      <c r="K386" s="194">
        <f>ROUND(550*(1-$G$4),2)</f>
        <v>533.5</v>
      </c>
      <c r="L386" s="342">
        <v>2016</v>
      </c>
      <c r="M386" s="844" t="s">
        <v>1231</v>
      </c>
      <c r="N386" s="260">
        <v>16</v>
      </c>
      <c r="O386" s="475" t="s">
        <v>1375</v>
      </c>
      <c r="P386" s="260">
        <v>192</v>
      </c>
      <c r="Q386" s="632">
        <v>7</v>
      </c>
      <c r="R386" s="469" t="s">
        <v>104</v>
      </c>
      <c r="S386" s="548" t="s">
        <v>1807</v>
      </c>
      <c r="T386" s="300">
        <v>0.32</v>
      </c>
      <c r="U386" s="949" t="s">
        <v>309</v>
      </c>
      <c r="V386" s="360" t="e">
        <f>VLOOKUP(A386,#REF!,10,FALSE)</f>
        <v>#REF!</v>
      </c>
    </row>
    <row r="387" spans="1:22" ht="27" customHeight="1">
      <c r="A387" s="721">
        <v>71739</v>
      </c>
      <c r="B387" s="1001">
        <v>4</v>
      </c>
      <c r="C387" s="774" t="s">
        <v>1008</v>
      </c>
      <c r="D387" s="286" t="s">
        <v>1003</v>
      </c>
      <c r="E387" s="116" t="s">
        <v>1009</v>
      </c>
      <c r="F387" s="116" t="s">
        <v>1690</v>
      </c>
      <c r="G387" s="519" t="s">
        <v>1218</v>
      </c>
      <c r="H387" s="219" t="s">
        <v>1320</v>
      </c>
      <c r="I387" s="863"/>
      <c r="J387" s="15"/>
      <c r="K387" s="190">
        <f>ROUND(550*(1-$G$4),2)</f>
        <v>533.5</v>
      </c>
      <c r="L387" s="334">
        <v>2017</v>
      </c>
      <c r="M387" s="147" t="s">
        <v>1231</v>
      </c>
      <c r="N387" s="148">
        <v>14</v>
      </c>
      <c r="O387" s="272" t="s">
        <v>1375</v>
      </c>
      <c r="P387" s="311">
        <v>224</v>
      </c>
      <c r="Q387" s="272" t="s">
        <v>1010</v>
      </c>
      <c r="R387" s="322" t="s">
        <v>105</v>
      </c>
      <c r="S387" s="88" t="s">
        <v>1807</v>
      </c>
      <c r="T387" s="301">
        <v>0.36</v>
      </c>
      <c r="U387" s="927" t="s">
        <v>309</v>
      </c>
      <c r="V387" s="360" t="e">
        <f>VLOOKUP(A387,#REF!,10,FALSE)</f>
        <v>#REF!</v>
      </c>
    </row>
    <row r="388" spans="1:22" ht="27" customHeight="1">
      <c r="A388" s="721">
        <v>71648</v>
      </c>
      <c r="B388" s="1001">
        <v>1</v>
      </c>
      <c r="C388" s="557" t="s">
        <v>2015</v>
      </c>
      <c r="D388" s="286" t="s">
        <v>1003</v>
      </c>
      <c r="E388" s="158" t="s">
        <v>2016</v>
      </c>
      <c r="F388" s="158" t="s">
        <v>2014</v>
      </c>
      <c r="G388" s="488" t="s">
        <v>1218</v>
      </c>
      <c r="H388" s="219" t="s">
        <v>1320</v>
      </c>
      <c r="I388" s="1066"/>
      <c r="J388" s="91"/>
      <c r="K388" s="190">
        <f>ROUND(550*(1-$G$4),2)</f>
        <v>533.5</v>
      </c>
      <c r="L388" s="334">
        <v>2016</v>
      </c>
      <c r="M388" s="147" t="s">
        <v>1231</v>
      </c>
      <c r="N388" s="148">
        <v>16</v>
      </c>
      <c r="O388" s="311" t="s">
        <v>1375</v>
      </c>
      <c r="P388" s="148">
        <v>208</v>
      </c>
      <c r="Q388" s="227">
        <v>7</v>
      </c>
      <c r="R388" s="322" t="s">
        <v>106</v>
      </c>
      <c r="S388" s="88" t="s">
        <v>1807</v>
      </c>
      <c r="T388" s="301">
        <v>0.3</v>
      </c>
      <c r="U388" s="927" t="s">
        <v>309</v>
      </c>
      <c r="V388" s="360" t="e">
        <f>VLOOKUP(A388,#REF!,10,FALSE)</f>
        <v>#REF!</v>
      </c>
    </row>
    <row r="389" spans="1:22" ht="27" customHeight="1">
      <c r="A389" s="989">
        <v>71740</v>
      </c>
      <c r="B389" s="1038">
        <v>6</v>
      </c>
      <c r="C389" s="557" t="s">
        <v>1011</v>
      </c>
      <c r="D389" s="286" t="s">
        <v>1003</v>
      </c>
      <c r="E389" s="158" t="s">
        <v>1012</v>
      </c>
      <c r="F389" s="158" t="s">
        <v>1013</v>
      </c>
      <c r="G389" s="397"/>
      <c r="H389" s="219" t="s">
        <v>1320</v>
      </c>
      <c r="I389" s="863"/>
      <c r="J389" s="85"/>
      <c r="K389" s="201">
        <f>ROUND(550*(1-$G$4),2)</f>
        <v>533.5</v>
      </c>
      <c r="L389" s="148">
        <v>2017</v>
      </c>
      <c r="M389" s="147" t="s">
        <v>1231</v>
      </c>
      <c r="N389" s="148">
        <v>18</v>
      </c>
      <c r="O389" s="311" t="s">
        <v>1375</v>
      </c>
      <c r="P389" s="148">
        <v>184</v>
      </c>
      <c r="Q389" s="227">
        <v>7</v>
      </c>
      <c r="R389" s="322" t="s">
        <v>107</v>
      </c>
      <c r="S389" s="88" t="s">
        <v>1807</v>
      </c>
      <c r="T389" s="301">
        <v>0.309</v>
      </c>
      <c r="U389" s="927" t="s">
        <v>309</v>
      </c>
      <c r="V389" s="360" t="e">
        <f>VLOOKUP(A389,#REF!,10,FALSE)</f>
        <v>#REF!</v>
      </c>
    </row>
    <row r="390" spans="1:22" ht="27" customHeight="1">
      <c r="A390" s="721">
        <v>71622</v>
      </c>
      <c r="B390" s="1001">
        <v>75</v>
      </c>
      <c r="C390" s="557" t="s">
        <v>2018</v>
      </c>
      <c r="D390" s="79" t="s">
        <v>1006</v>
      </c>
      <c r="E390" s="158" t="s">
        <v>2019</v>
      </c>
      <c r="F390" s="158" t="s">
        <v>2017</v>
      </c>
      <c r="G390" s="551" t="s">
        <v>1218</v>
      </c>
      <c r="H390" s="219" t="s">
        <v>1320</v>
      </c>
      <c r="I390" s="1066"/>
      <c r="J390" s="91"/>
      <c r="K390" s="196">
        <f aca="true" t="shared" si="16" ref="K390:K397">ROUND(500*(1-$G$4),2)</f>
        <v>485</v>
      </c>
      <c r="L390" s="334">
        <v>2016</v>
      </c>
      <c r="M390" s="147" t="s">
        <v>1231</v>
      </c>
      <c r="N390" s="148">
        <v>12</v>
      </c>
      <c r="O390" s="284" t="s">
        <v>1469</v>
      </c>
      <c r="P390" s="148">
        <v>272</v>
      </c>
      <c r="Q390" s="227" t="s">
        <v>1232</v>
      </c>
      <c r="R390" s="322" t="s">
        <v>108</v>
      </c>
      <c r="S390" s="239" t="s">
        <v>1807</v>
      </c>
      <c r="T390" s="301">
        <v>0.37</v>
      </c>
      <c r="U390" s="927" t="s">
        <v>309</v>
      </c>
      <c r="V390" s="360" t="e">
        <f>VLOOKUP(A390,#REF!,10,FALSE)</f>
        <v>#REF!</v>
      </c>
    </row>
    <row r="391" spans="1:22" ht="27" customHeight="1">
      <c r="A391" s="721">
        <v>71752</v>
      </c>
      <c r="B391" s="1001">
        <v>225</v>
      </c>
      <c r="C391" s="557" t="s">
        <v>592</v>
      </c>
      <c r="D391" s="79" t="s">
        <v>1006</v>
      </c>
      <c r="E391" s="158" t="s">
        <v>364</v>
      </c>
      <c r="F391" s="158" t="s">
        <v>363</v>
      </c>
      <c r="G391" s="551"/>
      <c r="H391" s="1128" t="s">
        <v>1799</v>
      </c>
      <c r="I391" s="1066"/>
      <c r="J391" s="91"/>
      <c r="K391" s="196"/>
      <c r="L391" s="334">
        <v>2017</v>
      </c>
      <c r="M391" s="147" t="s">
        <v>1231</v>
      </c>
      <c r="N391" s="148">
        <v>10</v>
      </c>
      <c r="O391" s="311" t="s">
        <v>1469</v>
      </c>
      <c r="P391" s="148">
        <v>320</v>
      </c>
      <c r="Q391" s="227">
        <v>7</v>
      </c>
      <c r="R391" s="322">
        <v>9785990738522</v>
      </c>
      <c r="S391" s="239" t="s">
        <v>1807</v>
      </c>
      <c r="T391" s="301">
        <v>0.4</v>
      </c>
      <c r="U391" s="927" t="s">
        <v>309</v>
      </c>
      <c r="V391" s="360" t="e">
        <f>VLOOKUP(A391,#REF!,10,FALSE)</f>
        <v>#REF!</v>
      </c>
    </row>
    <row r="392" spans="1:22" ht="27" customHeight="1">
      <c r="A392" s="784">
        <v>71726</v>
      </c>
      <c r="B392" s="1027">
        <v>194</v>
      </c>
      <c r="C392" s="557" t="s">
        <v>1910</v>
      </c>
      <c r="D392" s="79" t="s">
        <v>1006</v>
      </c>
      <c r="E392" s="158" t="s">
        <v>1911</v>
      </c>
      <c r="F392" s="158" t="s">
        <v>1909</v>
      </c>
      <c r="G392" s="397"/>
      <c r="H392" s="219" t="s">
        <v>1320</v>
      </c>
      <c r="I392" s="863"/>
      <c r="J392" s="85"/>
      <c r="K392" s="196">
        <f t="shared" si="16"/>
        <v>485</v>
      </c>
      <c r="L392" s="334">
        <v>2016</v>
      </c>
      <c r="M392" s="147" t="s">
        <v>1231</v>
      </c>
      <c r="N392" s="148">
        <v>16</v>
      </c>
      <c r="O392" s="311" t="s">
        <v>1469</v>
      </c>
      <c r="P392" s="148">
        <v>352</v>
      </c>
      <c r="Q392" s="470">
        <v>7</v>
      </c>
      <c r="R392" s="322" t="s">
        <v>109</v>
      </c>
      <c r="S392" s="239" t="s">
        <v>1807</v>
      </c>
      <c r="T392" s="521">
        <v>0.405</v>
      </c>
      <c r="U392" s="950" t="s">
        <v>309</v>
      </c>
      <c r="V392" s="360" t="e">
        <f>VLOOKUP(A392,#REF!,10,FALSE)</f>
        <v>#REF!</v>
      </c>
    </row>
    <row r="393" spans="1:22" ht="27" customHeight="1">
      <c r="A393" s="721">
        <v>71751</v>
      </c>
      <c r="B393" s="1001">
        <v>175</v>
      </c>
      <c r="C393" s="774" t="s">
        <v>2021</v>
      </c>
      <c r="D393" s="79" t="s">
        <v>1006</v>
      </c>
      <c r="E393" s="94" t="s">
        <v>111</v>
      </c>
      <c r="F393" s="94" t="s">
        <v>2020</v>
      </c>
      <c r="G393" s="518" t="s">
        <v>1218</v>
      </c>
      <c r="H393" s="219" t="s">
        <v>1320</v>
      </c>
      <c r="I393" s="1071"/>
      <c r="J393" s="12"/>
      <c r="K393" s="196">
        <f t="shared" si="16"/>
        <v>485</v>
      </c>
      <c r="L393" s="334">
        <v>2017</v>
      </c>
      <c r="M393" s="147" t="s">
        <v>1231</v>
      </c>
      <c r="N393" s="261">
        <v>10</v>
      </c>
      <c r="O393" s="284" t="s">
        <v>1469</v>
      </c>
      <c r="P393" s="283">
        <v>176</v>
      </c>
      <c r="Q393" s="284" t="s">
        <v>2025</v>
      </c>
      <c r="R393" s="322" t="s">
        <v>110</v>
      </c>
      <c r="S393" s="239" t="s">
        <v>1807</v>
      </c>
      <c r="T393" s="521">
        <v>0.185</v>
      </c>
      <c r="U393" s="950" t="s">
        <v>309</v>
      </c>
      <c r="V393" s="360" t="e">
        <f>VLOOKUP(A393,#REF!,10,FALSE)</f>
        <v>#REF!</v>
      </c>
    </row>
    <row r="394" spans="1:22" ht="27" customHeight="1">
      <c r="A394" s="721">
        <v>71333</v>
      </c>
      <c r="B394" s="1001">
        <v>234</v>
      </c>
      <c r="C394" s="774" t="s">
        <v>1007</v>
      </c>
      <c r="D394" s="79" t="s">
        <v>1006</v>
      </c>
      <c r="E394" s="94" t="s">
        <v>999</v>
      </c>
      <c r="F394" s="94" t="s">
        <v>1689</v>
      </c>
      <c r="G394" s="518" t="s">
        <v>1218</v>
      </c>
      <c r="H394" s="166"/>
      <c r="I394" s="1071"/>
      <c r="J394" s="12"/>
      <c r="K394" s="190">
        <f t="shared" si="16"/>
        <v>485</v>
      </c>
      <c r="L394" s="334">
        <v>2016</v>
      </c>
      <c r="M394" s="147" t="s">
        <v>1231</v>
      </c>
      <c r="N394" s="261">
        <v>20</v>
      </c>
      <c r="O394" s="284" t="s">
        <v>1469</v>
      </c>
      <c r="P394" s="283">
        <v>272</v>
      </c>
      <c r="Q394" s="284" t="s">
        <v>1232</v>
      </c>
      <c r="R394" s="321" t="s">
        <v>112</v>
      </c>
      <c r="S394" s="87" t="s">
        <v>1807</v>
      </c>
      <c r="T394" s="288">
        <v>0.37</v>
      </c>
      <c r="U394" s="916" t="s">
        <v>309</v>
      </c>
      <c r="V394" s="360" t="e">
        <f>VLOOKUP(A394,#REF!,10,FALSE)</f>
        <v>#REF!</v>
      </c>
    </row>
    <row r="395" spans="1:22" ht="27" customHeight="1">
      <c r="A395" s="1803">
        <v>71867</v>
      </c>
      <c r="B395" s="1001"/>
      <c r="C395" s="1802" t="s">
        <v>968</v>
      </c>
      <c r="D395" s="79" t="s">
        <v>1006</v>
      </c>
      <c r="E395" s="1132" t="s">
        <v>904</v>
      </c>
      <c r="F395" s="1132" t="s">
        <v>967</v>
      </c>
      <c r="G395" s="518"/>
      <c r="H395" s="1807" t="s">
        <v>1238</v>
      </c>
      <c r="I395" s="1071"/>
      <c r="J395" s="12"/>
      <c r="K395" s="190">
        <f t="shared" si="16"/>
        <v>485</v>
      </c>
      <c r="L395" s="334">
        <v>2017</v>
      </c>
      <c r="M395" s="147" t="s">
        <v>1231</v>
      </c>
      <c r="N395" s="261">
        <v>16</v>
      </c>
      <c r="O395" s="1804" t="s">
        <v>1469</v>
      </c>
      <c r="P395" s="283">
        <v>368</v>
      </c>
      <c r="Q395" s="227">
        <v>7</v>
      </c>
      <c r="R395" s="321">
        <v>9785990926219</v>
      </c>
      <c r="S395" s="87" t="s">
        <v>1808</v>
      </c>
      <c r="T395" s="288">
        <v>0.2</v>
      </c>
      <c r="U395" s="916" t="s">
        <v>309</v>
      </c>
      <c r="V395" s="360"/>
    </row>
    <row r="396" spans="1:22" ht="27" customHeight="1">
      <c r="A396" s="721">
        <v>68831</v>
      </c>
      <c r="B396" s="1001">
        <v>123</v>
      </c>
      <c r="C396" s="774" t="s">
        <v>1014</v>
      </c>
      <c r="D396" s="79" t="s">
        <v>1006</v>
      </c>
      <c r="E396" s="94" t="s">
        <v>1015</v>
      </c>
      <c r="F396" s="94" t="s">
        <v>1691</v>
      </c>
      <c r="G396" s="518" t="s">
        <v>1218</v>
      </c>
      <c r="H396" s="219" t="s">
        <v>1320</v>
      </c>
      <c r="I396" s="1071"/>
      <c r="J396" s="12"/>
      <c r="K396" s="190">
        <f t="shared" si="16"/>
        <v>485</v>
      </c>
      <c r="L396" s="334">
        <v>2016</v>
      </c>
      <c r="M396" s="147" t="s">
        <v>1231</v>
      </c>
      <c r="N396" s="261">
        <v>12</v>
      </c>
      <c r="O396" s="284" t="s">
        <v>1469</v>
      </c>
      <c r="P396" s="284" t="s">
        <v>1016</v>
      </c>
      <c r="Q396" s="284" t="s">
        <v>1232</v>
      </c>
      <c r="R396" s="321" t="s">
        <v>113</v>
      </c>
      <c r="S396" s="87" t="s">
        <v>1807</v>
      </c>
      <c r="T396" s="288">
        <v>0.42</v>
      </c>
      <c r="U396" s="916" t="s">
        <v>309</v>
      </c>
      <c r="V396" s="360" t="e">
        <f>VLOOKUP(A396,#REF!,10,FALSE)</f>
        <v>#REF!</v>
      </c>
    </row>
    <row r="397" spans="1:22" ht="27" customHeight="1" thickBot="1">
      <c r="A397" s="716">
        <v>71621</v>
      </c>
      <c r="B397" s="999">
        <v>130</v>
      </c>
      <c r="C397" s="1418" t="s">
        <v>2023</v>
      </c>
      <c r="D397" s="128" t="s">
        <v>1006</v>
      </c>
      <c r="E397" s="691" t="s">
        <v>2024</v>
      </c>
      <c r="F397" s="691" t="s">
        <v>2022</v>
      </c>
      <c r="G397" s="692"/>
      <c r="H397" s="1131" t="s">
        <v>1320</v>
      </c>
      <c r="I397" s="1073"/>
      <c r="J397" s="25"/>
      <c r="K397" s="193">
        <f t="shared" si="16"/>
        <v>485</v>
      </c>
      <c r="L397" s="339">
        <v>2016</v>
      </c>
      <c r="M397" s="846" t="s">
        <v>1231</v>
      </c>
      <c r="N397" s="343">
        <v>14</v>
      </c>
      <c r="O397" s="425" t="s">
        <v>1469</v>
      </c>
      <c r="P397" s="425">
        <v>304</v>
      </c>
      <c r="Q397" s="425" t="s">
        <v>1232</v>
      </c>
      <c r="R397" s="532">
        <v>9785462010156</v>
      </c>
      <c r="S397" s="424" t="s">
        <v>1807</v>
      </c>
      <c r="T397" s="555">
        <v>0.333</v>
      </c>
      <c r="U397" s="958" t="s">
        <v>309</v>
      </c>
      <c r="V397" s="360" t="e">
        <f>VLOOKUP(A397,#REF!,10,FALSE)</f>
        <v>#REF!</v>
      </c>
    </row>
    <row r="398" spans="1:22" ht="27" customHeight="1">
      <c r="A398" s="747">
        <v>66087</v>
      </c>
      <c r="B398" s="1011">
        <v>525</v>
      </c>
      <c r="C398" s="813" t="s">
        <v>1018</v>
      </c>
      <c r="D398" s="162" t="s">
        <v>1017</v>
      </c>
      <c r="E398" s="159" t="s">
        <v>1019</v>
      </c>
      <c r="F398" s="159" t="s">
        <v>1692</v>
      </c>
      <c r="G398" s="606" t="s">
        <v>1218</v>
      </c>
      <c r="H398" s="1423" t="s">
        <v>1321</v>
      </c>
      <c r="I398" s="1080"/>
      <c r="J398" s="45"/>
      <c r="K398" s="207">
        <v>150</v>
      </c>
      <c r="L398" s="337">
        <v>2010</v>
      </c>
      <c r="M398" s="145" t="s">
        <v>1231</v>
      </c>
      <c r="N398" s="146">
        <v>12</v>
      </c>
      <c r="O398" s="607" t="s">
        <v>1469</v>
      </c>
      <c r="P398" s="316">
        <v>320</v>
      </c>
      <c r="Q398" s="607" t="s">
        <v>1232</v>
      </c>
      <c r="R398" s="323" t="s">
        <v>95</v>
      </c>
      <c r="S398" s="433" t="s">
        <v>1807</v>
      </c>
      <c r="T398" s="641">
        <v>0.34</v>
      </c>
      <c r="U398" s="1425" t="s">
        <v>309</v>
      </c>
      <c r="V398" s="360" t="e">
        <f>VLOOKUP(A398,#REF!,10,FALSE)</f>
        <v>#REF!</v>
      </c>
    </row>
    <row r="399" spans="1:22" ht="27" customHeight="1">
      <c r="A399" s="886">
        <v>71769</v>
      </c>
      <c r="B399" s="1001">
        <v>499</v>
      </c>
      <c r="C399" s="774" t="s">
        <v>597</v>
      </c>
      <c r="D399" s="286" t="s">
        <v>1017</v>
      </c>
      <c r="E399" s="116" t="s">
        <v>598</v>
      </c>
      <c r="F399" s="116" t="s">
        <v>599</v>
      </c>
      <c r="G399" s="519"/>
      <c r="H399" s="1422"/>
      <c r="I399" s="863"/>
      <c r="J399" s="404"/>
      <c r="K399" s="190">
        <f>ROUND(400*(1-$G$4),2)</f>
        <v>388</v>
      </c>
      <c r="L399" s="334">
        <v>2017</v>
      </c>
      <c r="M399" s="147" t="s">
        <v>1231</v>
      </c>
      <c r="N399" s="148" t="s">
        <v>601</v>
      </c>
      <c r="O399" s="272" t="s">
        <v>1469</v>
      </c>
      <c r="P399" s="311" t="s">
        <v>600</v>
      </c>
      <c r="Q399" s="272" t="s">
        <v>1232</v>
      </c>
      <c r="R399" s="322">
        <v>9785462011467</v>
      </c>
      <c r="S399" s="143" t="s">
        <v>1807</v>
      </c>
      <c r="T399" s="642">
        <v>0.4</v>
      </c>
      <c r="U399" s="946" t="s">
        <v>309</v>
      </c>
      <c r="V399" s="360"/>
    </row>
    <row r="400" spans="1:22" ht="27" customHeight="1">
      <c r="A400" s="721">
        <v>70322</v>
      </c>
      <c r="B400" s="1001">
        <v>784</v>
      </c>
      <c r="C400" s="774" t="s">
        <v>697</v>
      </c>
      <c r="D400" s="286" t="s">
        <v>1017</v>
      </c>
      <c r="E400" s="116" t="s">
        <v>699</v>
      </c>
      <c r="F400" s="116" t="s">
        <v>696</v>
      </c>
      <c r="G400" s="519"/>
      <c r="H400" s="1128" t="s">
        <v>1799</v>
      </c>
      <c r="I400" s="863"/>
      <c r="J400" s="15"/>
      <c r="K400" s="190"/>
      <c r="L400" s="334">
        <v>2013</v>
      </c>
      <c r="M400" s="147" t="s">
        <v>1231</v>
      </c>
      <c r="N400" s="148">
        <v>22</v>
      </c>
      <c r="O400" s="272" t="s">
        <v>1469</v>
      </c>
      <c r="P400" s="311">
        <v>208</v>
      </c>
      <c r="Q400" s="272" t="s">
        <v>1232</v>
      </c>
      <c r="R400" s="322" t="s">
        <v>698</v>
      </c>
      <c r="S400" s="143" t="s">
        <v>1807</v>
      </c>
      <c r="T400" s="642">
        <v>0.248</v>
      </c>
      <c r="U400" s="946" t="s">
        <v>309</v>
      </c>
      <c r="V400" s="360"/>
    </row>
    <row r="401" spans="1:22" ht="27" customHeight="1" thickBot="1">
      <c r="A401" s="725">
        <v>70318</v>
      </c>
      <c r="B401" s="1003">
        <v>518</v>
      </c>
      <c r="C401" s="795" t="s">
        <v>701</v>
      </c>
      <c r="D401" s="566" t="s">
        <v>1017</v>
      </c>
      <c r="E401" s="576" t="s">
        <v>699</v>
      </c>
      <c r="F401" s="576" t="s">
        <v>700</v>
      </c>
      <c r="G401" s="577"/>
      <c r="H401" s="1808"/>
      <c r="I401" s="1081"/>
      <c r="J401" s="24"/>
      <c r="K401" s="191">
        <f>ROUND(315*(1-$G$4),2)</f>
        <v>305.55</v>
      </c>
      <c r="L401" s="335">
        <v>2013</v>
      </c>
      <c r="M401" s="855" t="s">
        <v>1231</v>
      </c>
      <c r="N401" s="149">
        <v>20</v>
      </c>
      <c r="O401" s="578" t="s">
        <v>1469</v>
      </c>
      <c r="P401" s="244">
        <v>272</v>
      </c>
      <c r="Q401" s="578" t="s">
        <v>1232</v>
      </c>
      <c r="R401" s="324" t="s">
        <v>702</v>
      </c>
      <c r="S401" s="895" t="s">
        <v>1807</v>
      </c>
      <c r="T401" s="1424">
        <v>0.28</v>
      </c>
      <c r="U401" s="1146" t="s">
        <v>309</v>
      </c>
      <c r="V401" s="360"/>
    </row>
    <row r="402" spans="1:22" ht="27" customHeight="1">
      <c r="A402" s="758">
        <v>68832</v>
      </c>
      <c r="B402" s="1014">
        <v>609</v>
      </c>
      <c r="C402" s="787" t="s">
        <v>1020</v>
      </c>
      <c r="D402" s="560" t="s">
        <v>1021</v>
      </c>
      <c r="E402" s="561" t="s">
        <v>1022</v>
      </c>
      <c r="F402" s="561" t="s">
        <v>1693</v>
      </c>
      <c r="G402" s="631" t="s">
        <v>1218</v>
      </c>
      <c r="H402" s="18" t="s">
        <v>1321</v>
      </c>
      <c r="I402" s="1075"/>
      <c r="J402" s="1419"/>
      <c r="K402" s="203">
        <v>85</v>
      </c>
      <c r="L402" s="342">
        <v>2010</v>
      </c>
      <c r="M402" s="844" t="s">
        <v>1231</v>
      </c>
      <c r="N402" s="260">
        <v>16</v>
      </c>
      <c r="O402" s="563" t="s">
        <v>1023</v>
      </c>
      <c r="P402" s="563">
        <v>288</v>
      </c>
      <c r="Q402" s="563" t="s">
        <v>1232</v>
      </c>
      <c r="R402" s="469" t="s">
        <v>102</v>
      </c>
      <c r="S402" s="1420" t="s">
        <v>1807</v>
      </c>
      <c r="T402" s="1319">
        <v>0.237</v>
      </c>
      <c r="U402" s="1421" t="s">
        <v>309</v>
      </c>
      <c r="V402" s="360" t="e">
        <f>VLOOKUP(A402,#REF!,10,FALSE)</f>
        <v>#REF!</v>
      </c>
    </row>
    <row r="403" spans="1:22" ht="27" customHeight="1">
      <c r="A403" s="721">
        <v>71643</v>
      </c>
      <c r="B403" s="1001">
        <v>313</v>
      </c>
      <c r="C403" s="774" t="s">
        <v>1837</v>
      </c>
      <c r="D403" s="286" t="s">
        <v>1021</v>
      </c>
      <c r="E403" s="116" t="s">
        <v>1930</v>
      </c>
      <c r="F403" s="116" t="s">
        <v>1836</v>
      </c>
      <c r="G403" s="488"/>
      <c r="H403" s="219" t="s">
        <v>1320</v>
      </c>
      <c r="I403" s="863"/>
      <c r="J403" s="15"/>
      <c r="K403" s="190">
        <f>ROUND(410*(1-$G$4),2)</f>
        <v>397.7</v>
      </c>
      <c r="L403" s="334">
        <v>2016</v>
      </c>
      <c r="M403" s="147" t="s">
        <v>1231</v>
      </c>
      <c r="N403" s="148">
        <v>10</v>
      </c>
      <c r="O403" s="272" t="s">
        <v>1023</v>
      </c>
      <c r="P403" s="272">
        <v>400</v>
      </c>
      <c r="Q403" s="310" t="s">
        <v>1232</v>
      </c>
      <c r="R403" s="322" t="s">
        <v>103</v>
      </c>
      <c r="S403" s="143" t="s">
        <v>1807</v>
      </c>
      <c r="T403" s="642">
        <v>0.295</v>
      </c>
      <c r="U403" s="946" t="s">
        <v>309</v>
      </c>
      <c r="V403" s="360" t="e">
        <f>VLOOKUP(A403,#REF!,10,FALSE)</f>
        <v>#REF!</v>
      </c>
    </row>
    <row r="404" spans="1:22" ht="27" customHeight="1">
      <c r="A404" s="721">
        <v>71316</v>
      </c>
      <c r="B404" s="1001">
        <v>216</v>
      </c>
      <c r="C404" s="774" t="s">
        <v>1931</v>
      </c>
      <c r="D404" s="286" t="s">
        <v>1021</v>
      </c>
      <c r="E404" s="116" t="s">
        <v>1889</v>
      </c>
      <c r="F404" s="116" t="s">
        <v>1840</v>
      </c>
      <c r="G404" s="488"/>
      <c r="H404" s="176" t="s">
        <v>1555</v>
      </c>
      <c r="I404" s="863"/>
      <c r="J404" s="15"/>
      <c r="K404" s="201">
        <f>ROUND(270*(1-$G$4),2)</f>
        <v>261.9</v>
      </c>
      <c r="L404" s="334">
        <v>2016</v>
      </c>
      <c r="M404" s="147" t="s">
        <v>1231</v>
      </c>
      <c r="N404" s="148">
        <v>10</v>
      </c>
      <c r="O404" s="272" t="s">
        <v>1023</v>
      </c>
      <c r="P404" s="272">
        <v>352</v>
      </c>
      <c r="Q404" s="272" t="s">
        <v>481</v>
      </c>
      <c r="R404" s="322">
        <v>9785990738515</v>
      </c>
      <c r="S404" s="143" t="s">
        <v>1922</v>
      </c>
      <c r="T404" s="642">
        <v>0.22</v>
      </c>
      <c r="U404" s="946" t="s">
        <v>309</v>
      </c>
      <c r="V404" s="360" t="e">
        <f>VLOOKUP(A404,#REF!,10,FALSE)</f>
        <v>#REF!</v>
      </c>
    </row>
    <row r="405" spans="1:22" ht="27" customHeight="1">
      <c r="A405" s="716">
        <v>71462</v>
      </c>
      <c r="B405" s="999">
        <v>165</v>
      </c>
      <c r="C405" s="717" t="s">
        <v>337</v>
      </c>
      <c r="D405" s="643" t="s">
        <v>1021</v>
      </c>
      <c r="E405" s="391" t="s">
        <v>338</v>
      </c>
      <c r="F405" s="391" t="s">
        <v>339</v>
      </c>
      <c r="G405" s="644"/>
      <c r="H405" s="229" t="s">
        <v>1330</v>
      </c>
      <c r="I405" s="1092"/>
      <c r="J405" s="363"/>
      <c r="K405" s="210">
        <f>ROUND(450*(1-$G$4),2)</f>
        <v>436.5</v>
      </c>
      <c r="L405" s="339">
        <v>2016</v>
      </c>
      <c r="M405" s="846" t="s">
        <v>1231</v>
      </c>
      <c r="N405" s="259">
        <v>8</v>
      </c>
      <c r="O405" s="393" t="s">
        <v>1023</v>
      </c>
      <c r="P405" s="645">
        <v>592</v>
      </c>
      <c r="Q405" s="364" t="s">
        <v>1010</v>
      </c>
      <c r="R405" s="325" t="s">
        <v>341</v>
      </c>
      <c r="S405" s="365" t="s">
        <v>1922</v>
      </c>
      <c r="T405" s="646">
        <v>0.39</v>
      </c>
      <c r="U405" s="952" t="s">
        <v>309</v>
      </c>
      <c r="V405" s="360" t="e">
        <f>VLOOKUP(A405,#REF!,10,FALSE)</f>
        <v>#REF!</v>
      </c>
    </row>
    <row r="406" spans="1:22" ht="33.75" customHeight="1" thickBot="1">
      <c r="A406" s="716">
        <v>71738</v>
      </c>
      <c r="B406" s="999">
        <v>138</v>
      </c>
      <c r="C406" s="717" t="s">
        <v>553</v>
      </c>
      <c r="D406" s="643" t="s">
        <v>1021</v>
      </c>
      <c r="E406" s="529" t="s">
        <v>558</v>
      </c>
      <c r="F406" s="391" t="s">
        <v>554</v>
      </c>
      <c r="G406" s="1111"/>
      <c r="H406" s="129"/>
      <c r="I406" s="1067"/>
      <c r="J406" s="235"/>
      <c r="K406" s="210">
        <f>ROUND(375*(1-$G$4),2)</f>
        <v>363.75</v>
      </c>
      <c r="L406" s="259">
        <v>2016</v>
      </c>
      <c r="M406" s="846" t="s">
        <v>1231</v>
      </c>
      <c r="N406" s="259">
        <v>12</v>
      </c>
      <c r="O406" s="393" t="s">
        <v>402</v>
      </c>
      <c r="P406" s="259">
        <v>288</v>
      </c>
      <c r="Q406" s="259" t="s">
        <v>1010</v>
      </c>
      <c r="R406" s="325">
        <v>9785462018534</v>
      </c>
      <c r="S406" s="558" t="s">
        <v>1807</v>
      </c>
      <c r="T406" s="1112">
        <v>0.225</v>
      </c>
      <c r="U406" s="952" t="s">
        <v>309</v>
      </c>
      <c r="V406" s="360"/>
    </row>
    <row r="407" spans="1:22" ht="29.25" customHeight="1" thickBot="1">
      <c r="A407" s="778">
        <v>70418</v>
      </c>
      <c r="B407" s="1025">
        <v>567</v>
      </c>
      <c r="C407" s="779" t="s">
        <v>694</v>
      </c>
      <c r="D407" s="534" t="s">
        <v>692</v>
      </c>
      <c r="E407" s="541" t="s">
        <v>903</v>
      </c>
      <c r="F407" s="630" t="s">
        <v>693</v>
      </c>
      <c r="G407" s="1454"/>
      <c r="H407" s="1455"/>
      <c r="I407" s="1127"/>
      <c r="J407" s="370"/>
      <c r="K407" s="213">
        <f>ROUND(215*(1-$G$4),2)</f>
        <v>208.55</v>
      </c>
      <c r="L407" s="332">
        <v>2013</v>
      </c>
      <c r="M407" s="847" t="s">
        <v>1231</v>
      </c>
      <c r="N407" s="332">
        <v>5</v>
      </c>
      <c r="O407" s="537" t="s">
        <v>1023</v>
      </c>
      <c r="P407" s="332">
        <v>544</v>
      </c>
      <c r="Q407" s="332" t="s">
        <v>1232</v>
      </c>
      <c r="R407" s="326" t="s">
        <v>695</v>
      </c>
      <c r="S407" s="1456" t="s">
        <v>1807</v>
      </c>
      <c r="T407" s="1457">
        <v>0.31</v>
      </c>
      <c r="U407" s="1264" t="s">
        <v>309</v>
      </c>
      <c r="V407" s="360"/>
    </row>
    <row r="408" spans="1:22" ht="21.75" customHeight="1" thickBot="1">
      <c r="A408" s="1103" t="s">
        <v>1024</v>
      </c>
      <c r="B408" s="1044"/>
      <c r="C408" s="824"/>
      <c r="D408" s="72"/>
      <c r="E408" s="72"/>
      <c r="F408" s="72"/>
      <c r="G408" s="699"/>
      <c r="H408" s="73"/>
      <c r="I408" s="73"/>
      <c r="J408" s="74"/>
      <c r="K408" s="212"/>
      <c r="L408" s="1113"/>
      <c r="M408" s="867"/>
      <c r="N408" s="75"/>
      <c r="O408" s="76"/>
      <c r="P408" s="77"/>
      <c r="Q408" s="76"/>
      <c r="R408" s="75"/>
      <c r="S408" s="296"/>
      <c r="T408" s="306"/>
      <c r="U408" s="959"/>
      <c r="V408" s="360" t="e">
        <f>VLOOKUP(A408,#REF!,10,FALSE)</f>
        <v>#REF!</v>
      </c>
    </row>
    <row r="409" spans="1:22" ht="27" customHeight="1">
      <c r="A409" s="767">
        <v>70397</v>
      </c>
      <c r="B409" s="1018">
        <v>508</v>
      </c>
      <c r="C409" s="688" t="s">
        <v>1025</v>
      </c>
      <c r="D409" s="78" t="s">
        <v>1026</v>
      </c>
      <c r="E409" s="492" t="s">
        <v>1027</v>
      </c>
      <c r="F409" s="93" t="s">
        <v>1694</v>
      </c>
      <c r="G409" s="517" t="s">
        <v>1218</v>
      </c>
      <c r="H409" s="32"/>
      <c r="I409" s="1069"/>
      <c r="J409" s="33"/>
      <c r="K409" s="195">
        <f>ROUND(547.5*(1-$G$4),2)</f>
        <v>531.08</v>
      </c>
      <c r="L409" s="337">
        <v>2013</v>
      </c>
      <c r="M409" s="145" t="s">
        <v>1231</v>
      </c>
      <c r="N409" s="330">
        <v>10</v>
      </c>
      <c r="O409" s="461" t="s">
        <v>1233</v>
      </c>
      <c r="P409" s="461">
        <v>192</v>
      </c>
      <c r="Q409" s="600" t="s">
        <v>1235</v>
      </c>
      <c r="R409" s="320" t="s">
        <v>118</v>
      </c>
      <c r="S409" s="493" t="s">
        <v>1807</v>
      </c>
      <c r="T409" s="303">
        <v>0.435</v>
      </c>
      <c r="U409" s="932" t="s">
        <v>310</v>
      </c>
      <c r="V409" s="360" t="e">
        <f>VLOOKUP(A409,#REF!,10,FALSE)</f>
        <v>#REF!</v>
      </c>
    </row>
    <row r="410" spans="1:22" ht="27" customHeight="1">
      <c r="A410" s="721">
        <v>71145</v>
      </c>
      <c r="B410" s="1001">
        <v>365</v>
      </c>
      <c r="C410" s="557" t="s">
        <v>1566</v>
      </c>
      <c r="D410" s="79" t="s">
        <v>1026</v>
      </c>
      <c r="E410" s="158" t="s">
        <v>1567</v>
      </c>
      <c r="F410" s="158" t="s">
        <v>1573</v>
      </c>
      <c r="G410" s="647" t="s">
        <v>1218</v>
      </c>
      <c r="H410" s="101"/>
      <c r="I410" s="863"/>
      <c r="J410" s="85"/>
      <c r="K410" s="196">
        <f>ROUND(712.5*(1-$G$4),2)</f>
        <v>691.13</v>
      </c>
      <c r="L410" s="148">
        <v>2015</v>
      </c>
      <c r="M410" s="147" t="s">
        <v>1231</v>
      </c>
      <c r="N410" s="148">
        <v>10</v>
      </c>
      <c r="O410" s="311" t="s">
        <v>1233</v>
      </c>
      <c r="P410" s="148">
        <v>192</v>
      </c>
      <c r="Q410" s="134" t="s">
        <v>1235</v>
      </c>
      <c r="R410" s="322" t="s">
        <v>119</v>
      </c>
      <c r="S410" s="239" t="s">
        <v>1807</v>
      </c>
      <c r="T410" s="301">
        <v>0.45</v>
      </c>
      <c r="U410" s="927" t="s">
        <v>310</v>
      </c>
      <c r="V410" s="360" t="e">
        <f>VLOOKUP(A410,#REF!,10,FALSE)</f>
        <v>#REF!</v>
      </c>
    </row>
    <row r="411" spans="1:22" ht="27" customHeight="1">
      <c r="A411" s="721">
        <v>71340</v>
      </c>
      <c r="B411" s="1001">
        <v>387</v>
      </c>
      <c r="C411" s="557" t="s">
        <v>1028</v>
      </c>
      <c r="D411" s="79" t="s">
        <v>1026</v>
      </c>
      <c r="E411" s="158" t="s">
        <v>1029</v>
      </c>
      <c r="F411" s="94" t="s">
        <v>1030</v>
      </c>
      <c r="G411" s="488" t="s">
        <v>1218</v>
      </c>
      <c r="H411" s="167" t="s">
        <v>1799</v>
      </c>
      <c r="I411" s="1066"/>
      <c r="J411" s="91"/>
      <c r="K411" s="196"/>
      <c r="L411" s="334">
        <v>2015</v>
      </c>
      <c r="M411" s="147" t="s">
        <v>1231</v>
      </c>
      <c r="N411" s="148">
        <v>6</v>
      </c>
      <c r="O411" s="311" t="s">
        <v>1233</v>
      </c>
      <c r="P411" s="148">
        <v>288</v>
      </c>
      <c r="Q411" s="134" t="s">
        <v>1235</v>
      </c>
      <c r="R411" s="322" t="s">
        <v>120</v>
      </c>
      <c r="S411" s="239" t="s">
        <v>1807</v>
      </c>
      <c r="T411" s="301">
        <v>0.67</v>
      </c>
      <c r="U411" s="927" t="s">
        <v>310</v>
      </c>
      <c r="V411" s="360" t="e">
        <f>VLOOKUP(A411,#REF!,10,FALSE)</f>
        <v>#REF!</v>
      </c>
    </row>
    <row r="412" spans="1:22" ht="27" customHeight="1">
      <c r="A412" s="721">
        <v>71322</v>
      </c>
      <c r="B412" s="1001">
        <v>554</v>
      </c>
      <c r="C412" s="557" t="s">
        <v>1989</v>
      </c>
      <c r="D412" s="79" t="s">
        <v>1026</v>
      </c>
      <c r="E412" s="158" t="s">
        <v>1919</v>
      </c>
      <c r="F412" s="158" t="s">
        <v>1942</v>
      </c>
      <c r="G412" s="152"/>
      <c r="H412" s="101"/>
      <c r="I412" s="863"/>
      <c r="J412" s="151"/>
      <c r="K412" s="196">
        <f>ROUND(1125*(1-$G$4),2)</f>
        <v>1091.25</v>
      </c>
      <c r="L412" s="334">
        <v>2016</v>
      </c>
      <c r="M412" s="147" t="s">
        <v>1231</v>
      </c>
      <c r="N412" s="153" t="s">
        <v>1941</v>
      </c>
      <c r="O412" s="153" t="s">
        <v>1233</v>
      </c>
      <c r="P412" s="153" t="s">
        <v>1943</v>
      </c>
      <c r="Q412" s="353" t="s">
        <v>1235</v>
      </c>
      <c r="R412" s="845" t="s">
        <v>121</v>
      </c>
      <c r="S412" s="239" t="s">
        <v>1807</v>
      </c>
      <c r="T412" s="301">
        <v>0.6</v>
      </c>
      <c r="U412" s="927" t="s">
        <v>310</v>
      </c>
      <c r="V412" s="360" t="e">
        <f>VLOOKUP(A412,#REF!,10,FALSE)</f>
        <v>#REF!</v>
      </c>
    </row>
    <row r="413" spans="1:22" ht="27" customHeight="1">
      <c r="A413" s="990">
        <v>71778</v>
      </c>
      <c r="B413" s="974"/>
      <c r="C413" s="971" t="s">
        <v>1031</v>
      </c>
      <c r="D413" s="79" t="s">
        <v>1026</v>
      </c>
      <c r="E413" s="94" t="s">
        <v>1032</v>
      </c>
      <c r="F413" s="94" t="s">
        <v>1695</v>
      </c>
      <c r="G413" s="518" t="s">
        <v>1218</v>
      </c>
      <c r="H413" s="167" t="s">
        <v>1799</v>
      </c>
      <c r="I413" s="1071"/>
      <c r="J413" s="12"/>
      <c r="K413" s="201"/>
      <c r="L413" s="342">
        <v>2017</v>
      </c>
      <c r="M413" s="147" t="s">
        <v>1231</v>
      </c>
      <c r="N413" s="153">
        <v>8</v>
      </c>
      <c r="O413" s="153" t="s">
        <v>1233</v>
      </c>
      <c r="P413" s="153">
        <v>368</v>
      </c>
      <c r="Q413" s="353" t="s">
        <v>1235</v>
      </c>
      <c r="R413" s="845" t="s">
        <v>122</v>
      </c>
      <c r="S413" s="88" t="s">
        <v>1807</v>
      </c>
      <c r="T413" s="288">
        <v>0.65</v>
      </c>
      <c r="U413" s="916" t="s">
        <v>310</v>
      </c>
      <c r="V413" s="360" t="e">
        <f>VLOOKUP(A413,#REF!,10,FALSE)</f>
        <v>#REF!</v>
      </c>
    </row>
    <row r="414" spans="1:22" ht="27" customHeight="1">
      <c r="A414" s="721">
        <v>68559</v>
      </c>
      <c r="B414" s="1001">
        <v>641</v>
      </c>
      <c r="C414" s="774" t="s">
        <v>1033</v>
      </c>
      <c r="D414" s="79" t="s">
        <v>1026</v>
      </c>
      <c r="E414" s="116" t="s">
        <v>1034</v>
      </c>
      <c r="F414" s="94" t="s">
        <v>1696</v>
      </c>
      <c r="G414" s="519" t="s">
        <v>1218</v>
      </c>
      <c r="H414" s="17" t="s">
        <v>1229</v>
      </c>
      <c r="I414" s="863"/>
      <c r="J414" s="15"/>
      <c r="K414" s="201">
        <f>ROUND(675*(1-$G$4),2)</f>
        <v>654.75</v>
      </c>
      <c r="L414" s="334">
        <v>2010</v>
      </c>
      <c r="M414" s="147" t="s">
        <v>1231</v>
      </c>
      <c r="N414" s="148">
        <v>10</v>
      </c>
      <c r="O414" s="272" t="s">
        <v>1234</v>
      </c>
      <c r="P414" s="311">
        <v>432</v>
      </c>
      <c r="Q414" s="318" t="s">
        <v>1235</v>
      </c>
      <c r="R414" s="322" t="s">
        <v>124</v>
      </c>
      <c r="S414" s="88" t="s">
        <v>1921</v>
      </c>
      <c r="T414" s="301">
        <v>0.604</v>
      </c>
      <c r="U414" s="927" t="s">
        <v>310</v>
      </c>
      <c r="V414" s="360" t="e">
        <f>VLOOKUP(A414,#REF!,10,FALSE)</f>
        <v>#REF!</v>
      </c>
    </row>
    <row r="415" spans="1:22" ht="27" customHeight="1">
      <c r="A415" s="991">
        <v>71776</v>
      </c>
      <c r="B415" s="974"/>
      <c r="C415" s="972" t="s">
        <v>618</v>
      </c>
      <c r="D415" s="79" t="s">
        <v>1026</v>
      </c>
      <c r="E415" s="94" t="s">
        <v>1035</v>
      </c>
      <c r="F415" s="94" t="s">
        <v>1697</v>
      </c>
      <c r="G415" s="518" t="s">
        <v>1218</v>
      </c>
      <c r="H415" s="167" t="s">
        <v>1799</v>
      </c>
      <c r="I415" s="1071"/>
      <c r="J415" s="12"/>
      <c r="K415" s="201"/>
      <c r="L415" s="334">
        <v>2017</v>
      </c>
      <c r="M415" s="147" t="s">
        <v>1231</v>
      </c>
      <c r="N415" s="261">
        <v>8</v>
      </c>
      <c r="O415" s="283" t="s">
        <v>1233</v>
      </c>
      <c r="P415" s="283">
        <v>448</v>
      </c>
      <c r="Q415" s="310" t="s">
        <v>1235</v>
      </c>
      <c r="R415" s="321" t="s">
        <v>125</v>
      </c>
      <c r="S415" s="240" t="s">
        <v>1807</v>
      </c>
      <c r="T415" s="288">
        <v>0.94</v>
      </c>
      <c r="U415" s="916" t="s">
        <v>310</v>
      </c>
      <c r="V415" s="360" t="e">
        <f>VLOOKUP(A415,#REF!,10,FALSE)</f>
        <v>#REF!</v>
      </c>
    </row>
    <row r="416" spans="1:22" ht="27" customHeight="1">
      <c r="A416" s="791">
        <v>70758</v>
      </c>
      <c r="B416" s="1032">
        <v>455</v>
      </c>
      <c r="C416" s="792" t="s">
        <v>1036</v>
      </c>
      <c r="D416" s="79" t="s">
        <v>1026</v>
      </c>
      <c r="E416" s="94" t="s">
        <v>1037</v>
      </c>
      <c r="F416" s="94" t="s">
        <v>1038</v>
      </c>
      <c r="G416" s="518" t="s">
        <v>1218</v>
      </c>
      <c r="H416" s="26"/>
      <c r="I416" s="1071"/>
      <c r="J416" s="12"/>
      <c r="K416" s="196">
        <f>ROUND(900*(1-$G$4),2)</f>
        <v>873</v>
      </c>
      <c r="L416" s="334">
        <v>2014</v>
      </c>
      <c r="M416" s="147" t="s">
        <v>1231</v>
      </c>
      <c r="N416" s="261">
        <v>8</v>
      </c>
      <c r="O416" s="850" t="s">
        <v>1233</v>
      </c>
      <c r="P416" s="283">
        <v>256</v>
      </c>
      <c r="Q416" s="310" t="s">
        <v>1235</v>
      </c>
      <c r="R416" s="321" t="s">
        <v>123</v>
      </c>
      <c r="S416" s="572" t="s">
        <v>1807</v>
      </c>
      <c r="T416" s="288">
        <v>0.6</v>
      </c>
      <c r="U416" s="916" t="s">
        <v>310</v>
      </c>
      <c r="V416" s="360" t="e">
        <f>VLOOKUP(A416,#REF!,10,FALSE)</f>
        <v>#REF!</v>
      </c>
    </row>
    <row r="417" spans="1:22" ht="27" customHeight="1">
      <c r="A417" s="721">
        <v>70614</v>
      </c>
      <c r="B417" s="1001">
        <v>779</v>
      </c>
      <c r="C417" s="557" t="s">
        <v>1039</v>
      </c>
      <c r="D417" s="79" t="s">
        <v>1026</v>
      </c>
      <c r="E417" s="158" t="s">
        <v>1040</v>
      </c>
      <c r="F417" s="94" t="s">
        <v>1698</v>
      </c>
      <c r="G417" s="629" t="s">
        <v>1218</v>
      </c>
      <c r="H417" s="167" t="s">
        <v>1799</v>
      </c>
      <c r="I417" s="863"/>
      <c r="J417" s="15"/>
      <c r="K417" s="201"/>
      <c r="L417" s="334">
        <v>2014</v>
      </c>
      <c r="M417" s="147" t="s">
        <v>1231</v>
      </c>
      <c r="N417" s="148">
        <v>6</v>
      </c>
      <c r="O417" s="272" t="s">
        <v>1233</v>
      </c>
      <c r="P417" s="311">
        <v>472</v>
      </c>
      <c r="Q417" s="318" t="s">
        <v>1235</v>
      </c>
      <c r="R417" s="322" t="s">
        <v>126</v>
      </c>
      <c r="S417" s="88" t="s">
        <v>1807</v>
      </c>
      <c r="T417" s="301">
        <v>0.98</v>
      </c>
      <c r="U417" s="927" t="s">
        <v>310</v>
      </c>
      <c r="V417" s="360" t="e">
        <f>VLOOKUP(A417,#REF!,10,FALSE)</f>
        <v>#REF!</v>
      </c>
    </row>
    <row r="418" spans="1:22" ht="27" customHeight="1">
      <c r="A418" s="721">
        <v>71148</v>
      </c>
      <c r="B418" s="1001">
        <v>394</v>
      </c>
      <c r="C418" s="774" t="s">
        <v>1041</v>
      </c>
      <c r="D418" s="79" t="s">
        <v>1026</v>
      </c>
      <c r="E418" s="116" t="s">
        <v>1570</v>
      </c>
      <c r="F418" s="94" t="s">
        <v>1529</v>
      </c>
      <c r="G418" s="483" t="s">
        <v>1218</v>
      </c>
      <c r="H418" s="174" t="s">
        <v>1320</v>
      </c>
      <c r="I418" s="863"/>
      <c r="J418" s="112"/>
      <c r="K418" s="201">
        <f>ROUND(712.5*(1-$G$4),2)</f>
        <v>691.13</v>
      </c>
      <c r="L418" s="334">
        <v>2015</v>
      </c>
      <c r="M418" s="147" t="s">
        <v>1231</v>
      </c>
      <c r="N418" s="148">
        <v>8</v>
      </c>
      <c r="O418" s="272" t="s">
        <v>1233</v>
      </c>
      <c r="P418" s="311">
        <v>344</v>
      </c>
      <c r="Q418" s="318" t="s">
        <v>1235</v>
      </c>
      <c r="R418" s="322" t="s">
        <v>127</v>
      </c>
      <c r="S418" s="88" t="s">
        <v>1807</v>
      </c>
      <c r="T418" s="301">
        <v>0.75</v>
      </c>
      <c r="U418" s="927" t="s">
        <v>310</v>
      </c>
      <c r="V418" s="360" t="e">
        <f>VLOOKUP(A418,#REF!,10,FALSE)</f>
        <v>#REF!</v>
      </c>
    </row>
    <row r="419" spans="1:22" ht="27" customHeight="1">
      <c r="A419" s="721">
        <v>71342</v>
      </c>
      <c r="B419" s="1001">
        <v>330</v>
      </c>
      <c r="C419" s="792" t="s">
        <v>1042</v>
      </c>
      <c r="D419" s="79" t="s">
        <v>1026</v>
      </c>
      <c r="E419" s="832" t="s">
        <v>1043</v>
      </c>
      <c r="F419" s="94" t="s">
        <v>1044</v>
      </c>
      <c r="G419" s="483" t="s">
        <v>1218</v>
      </c>
      <c r="H419" s="167" t="s">
        <v>1799</v>
      </c>
      <c r="I419" s="1093"/>
      <c r="J419" s="648"/>
      <c r="K419" s="201"/>
      <c r="L419" s="334">
        <v>2015</v>
      </c>
      <c r="M419" s="147" t="s">
        <v>1231</v>
      </c>
      <c r="N419" s="849">
        <v>8</v>
      </c>
      <c r="O419" s="850" t="s">
        <v>1233</v>
      </c>
      <c r="P419" s="849">
        <v>288</v>
      </c>
      <c r="Q419" s="851" t="s">
        <v>1235</v>
      </c>
      <c r="R419" s="852" t="s">
        <v>128</v>
      </c>
      <c r="S419" s="572" t="s">
        <v>1807</v>
      </c>
      <c r="T419" s="853">
        <v>0.675</v>
      </c>
      <c r="U419" s="953" t="s">
        <v>310</v>
      </c>
      <c r="V419" s="360" t="e">
        <f>VLOOKUP(A419,#REF!,10,FALSE)</f>
        <v>#REF!</v>
      </c>
    </row>
    <row r="420" spans="1:22" ht="27" customHeight="1">
      <c r="A420" s="991">
        <v>71777</v>
      </c>
      <c r="B420" s="974"/>
      <c r="C420" s="973" t="s">
        <v>1045</v>
      </c>
      <c r="D420" s="79" t="s">
        <v>1026</v>
      </c>
      <c r="E420" s="158" t="s">
        <v>1046</v>
      </c>
      <c r="F420" s="158" t="s">
        <v>1047</v>
      </c>
      <c r="G420" s="629" t="s">
        <v>1218</v>
      </c>
      <c r="H420" s="174" t="s">
        <v>1320</v>
      </c>
      <c r="I420" s="863"/>
      <c r="J420" s="15"/>
      <c r="K420" s="196">
        <f>ROUND(900*(1-$G$4),2)</f>
        <v>873</v>
      </c>
      <c r="L420" s="334">
        <v>2017</v>
      </c>
      <c r="M420" s="147" t="s">
        <v>1231</v>
      </c>
      <c r="N420" s="148">
        <v>8</v>
      </c>
      <c r="O420" s="311" t="s">
        <v>1233</v>
      </c>
      <c r="P420" s="311">
        <v>368</v>
      </c>
      <c r="Q420" s="318" t="s">
        <v>1235</v>
      </c>
      <c r="R420" s="322" t="s">
        <v>129</v>
      </c>
      <c r="S420" s="239" t="s">
        <v>1807</v>
      </c>
      <c r="T420" s="301">
        <v>0.82</v>
      </c>
      <c r="U420" s="927" t="s">
        <v>310</v>
      </c>
      <c r="V420" s="360" t="e">
        <f>VLOOKUP(A420,#REF!,10,FALSE)</f>
        <v>#REF!</v>
      </c>
    </row>
    <row r="421" spans="1:22" ht="27" customHeight="1">
      <c r="A421" s="721">
        <v>71146</v>
      </c>
      <c r="B421" s="1001">
        <v>626</v>
      </c>
      <c r="C421" s="557" t="s">
        <v>1547</v>
      </c>
      <c r="D421" s="79" t="s">
        <v>1026</v>
      </c>
      <c r="E421" s="158" t="s">
        <v>1568</v>
      </c>
      <c r="F421" s="158" t="s">
        <v>1548</v>
      </c>
      <c r="G421" s="483" t="s">
        <v>1218</v>
      </c>
      <c r="H421" s="905" t="s">
        <v>1799</v>
      </c>
      <c r="I421" s="863"/>
      <c r="J421" s="85"/>
      <c r="K421" s="201"/>
      <c r="L421" s="334">
        <v>2015</v>
      </c>
      <c r="M421" s="147" t="s">
        <v>1231</v>
      </c>
      <c r="N421" s="148">
        <v>8</v>
      </c>
      <c r="O421" s="311" t="s">
        <v>1233</v>
      </c>
      <c r="P421" s="311">
        <v>288</v>
      </c>
      <c r="Q421" s="318" t="s">
        <v>1235</v>
      </c>
      <c r="R421" s="322" t="s">
        <v>130</v>
      </c>
      <c r="S421" s="239" t="s">
        <v>1807</v>
      </c>
      <c r="T421" s="301">
        <v>0.63</v>
      </c>
      <c r="U421" s="927" t="s">
        <v>310</v>
      </c>
      <c r="V421" s="360" t="e">
        <f>VLOOKUP(A421,#REF!,10,FALSE)</f>
        <v>#REF!</v>
      </c>
    </row>
    <row r="422" spans="1:22" ht="27" customHeight="1" thickBot="1">
      <c r="A422" s="725">
        <v>71147</v>
      </c>
      <c r="B422" s="1003">
        <v>442</v>
      </c>
      <c r="C422" s="726" t="s">
        <v>1531</v>
      </c>
      <c r="D422" s="60" t="s">
        <v>1026</v>
      </c>
      <c r="E422" s="406" t="s">
        <v>1569</v>
      </c>
      <c r="F422" s="406" t="s">
        <v>1530</v>
      </c>
      <c r="G422" s="649" t="s">
        <v>1218</v>
      </c>
      <c r="H422" s="970" t="s">
        <v>1320</v>
      </c>
      <c r="I422" s="1081"/>
      <c r="J422" s="138"/>
      <c r="K422" s="202">
        <f>ROUND(742.5*(1-$G$4),2)</f>
        <v>720.23</v>
      </c>
      <c r="L422" s="335">
        <v>2015</v>
      </c>
      <c r="M422" s="855" t="s">
        <v>1231</v>
      </c>
      <c r="N422" s="149">
        <v>5</v>
      </c>
      <c r="O422" s="244" t="s">
        <v>1233</v>
      </c>
      <c r="P422" s="244">
        <v>340</v>
      </c>
      <c r="Q422" s="441" t="s">
        <v>1235</v>
      </c>
      <c r="R422" s="324" t="s">
        <v>131</v>
      </c>
      <c r="S422" s="491" t="s">
        <v>1807</v>
      </c>
      <c r="T422" s="455">
        <v>0.735</v>
      </c>
      <c r="U422" s="928" t="s">
        <v>310</v>
      </c>
      <c r="V422" s="360" t="e">
        <f>VLOOKUP(A422,#REF!,10,FALSE)</f>
        <v>#REF!</v>
      </c>
    </row>
    <row r="423" spans="1:22" ht="27" customHeight="1">
      <c r="A423" s="758">
        <v>71509</v>
      </c>
      <c r="B423" s="1014">
        <v>261</v>
      </c>
      <c r="C423" s="765" t="s">
        <v>400</v>
      </c>
      <c r="D423" s="164" t="s">
        <v>398</v>
      </c>
      <c r="E423" s="538" t="s">
        <v>401</v>
      </c>
      <c r="F423" s="538" t="s">
        <v>399</v>
      </c>
      <c r="G423" s="546"/>
      <c r="H423" s="229"/>
      <c r="I423" s="1075"/>
      <c r="J423" s="236"/>
      <c r="K423" s="969">
        <f>ROUND(400*(1-$G$4),2)</f>
        <v>388</v>
      </c>
      <c r="L423" s="260">
        <v>2016</v>
      </c>
      <c r="M423" s="856" t="s">
        <v>1231</v>
      </c>
      <c r="N423" s="260">
        <v>16</v>
      </c>
      <c r="O423" s="475" t="s">
        <v>402</v>
      </c>
      <c r="P423" s="260">
        <v>384</v>
      </c>
      <c r="Q423" s="628" t="s">
        <v>1235</v>
      </c>
      <c r="R423" s="469">
        <v>9785947769685</v>
      </c>
      <c r="S423" s="548" t="s">
        <v>1808</v>
      </c>
      <c r="T423" s="300">
        <v>0.275</v>
      </c>
      <c r="U423" s="957" t="s">
        <v>310</v>
      </c>
      <c r="V423" s="360" t="e">
        <f>VLOOKUP(A423,#REF!,10,FALSE)</f>
        <v>#REF!</v>
      </c>
    </row>
    <row r="424" spans="1:22" ht="27" customHeight="1">
      <c r="A424" s="721">
        <v>71512</v>
      </c>
      <c r="B424" s="1001">
        <v>289</v>
      </c>
      <c r="C424" s="557" t="s">
        <v>404</v>
      </c>
      <c r="D424" s="79" t="s">
        <v>398</v>
      </c>
      <c r="E424" s="158" t="s">
        <v>405</v>
      </c>
      <c r="F424" s="158" t="s">
        <v>403</v>
      </c>
      <c r="G424" s="483"/>
      <c r="H424" s="229"/>
      <c r="I424" s="863"/>
      <c r="J424" s="85"/>
      <c r="K424" s="210">
        <f>ROUND(350*(1-$G$4),2)</f>
        <v>339.5</v>
      </c>
      <c r="L424" s="148">
        <v>2016</v>
      </c>
      <c r="M424" s="846" t="s">
        <v>1231</v>
      </c>
      <c r="N424" s="148">
        <v>20</v>
      </c>
      <c r="O424" s="311" t="s">
        <v>402</v>
      </c>
      <c r="P424" s="148">
        <v>288</v>
      </c>
      <c r="Q424" s="440" t="s">
        <v>1235</v>
      </c>
      <c r="R424" s="322">
        <v>9785947769678</v>
      </c>
      <c r="S424" s="239" t="s">
        <v>1808</v>
      </c>
      <c r="T424" s="301">
        <v>0.21</v>
      </c>
      <c r="U424" s="931" t="s">
        <v>310</v>
      </c>
      <c r="V424" s="360" t="e">
        <f>VLOOKUP(A424,#REF!,10,FALSE)</f>
        <v>#REF!</v>
      </c>
    </row>
    <row r="425" spans="1:22" ht="27" customHeight="1" thickBot="1">
      <c r="A425" s="725">
        <v>71513</v>
      </c>
      <c r="B425" s="1003">
        <v>286</v>
      </c>
      <c r="C425" s="726" t="s">
        <v>407</v>
      </c>
      <c r="D425" s="60" t="s">
        <v>398</v>
      </c>
      <c r="E425" s="406" t="s">
        <v>408</v>
      </c>
      <c r="F425" s="406" t="s">
        <v>406</v>
      </c>
      <c r="G425" s="649"/>
      <c r="H425" s="180"/>
      <c r="I425" s="1081"/>
      <c r="J425" s="138"/>
      <c r="K425" s="202">
        <f>ROUND(350*(1-$G$4),2)</f>
        <v>339.5</v>
      </c>
      <c r="L425" s="149">
        <v>2016</v>
      </c>
      <c r="M425" s="855" t="s">
        <v>1231</v>
      </c>
      <c r="N425" s="149">
        <v>20</v>
      </c>
      <c r="O425" s="244" t="s">
        <v>402</v>
      </c>
      <c r="P425" s="149">
        <v>288</v>
      </c>
      <c r="Q425" s="441" t="s">
        <v>1235</v>
      </c>
      <c r="R425" s="324">
        <v>9785947769661</v>
      </c>
      <c r="S425" s="491" t="s">
        <v>1808</v>
      </c>
      <c r="T425" s="455">
        <v>0.21</v>
      </c>
      <c r="U425" s="928" t="s">
        <v>310</v>
      </c>
      <c r="V425" s="360" t="e">
        <f>VLOOKUP(A425,#REF!,10,FALSE)</f>
        <v>#REF!</v>
      </c>
    </row>
    <row r="426" spans="1:22" ht="18.75" customHeight="1" thickBot="1">
      <c r="A426" s="1104" t="s">
        <v>1468</v>
      </c>
      <c r="B426" s="995"/>
      <c r="C426" s="806"/>
      <c r="D426" s="106"/>
      <c r="E426" s="106"/>
      <c r="F426" s="106"/>
      <c r="G426" s="602"/>
      <c r="H426" s="107"/>
      <c r="I426" s="107"/>
      <c r="J426" s="108"/>
      <c r="K426" s="187"/>
      <c r="L426" s="603"/>
      <c r="M426" s="865"/>
      <c r="N426" s="109"/>
      <c r="O426" s="110"/>
      <c r="P426" s="111"/>
      <c r="Q426" s="110"/>
      <c r="R426" s="109"/>
      <c r="S426" s="293"/>
      <c r="T426" s="304"/>
      <c r="U426" s="914"/>
      <c r="V426" s="360" t="e">
        <f>VLOOKUP(A426,#REF!,10,FALSE)</f>
        <v>#REF!</v>
      </c>
    </row>
    <row r="427" spans="1:22" ht="27" customHeight="1">
      <c r="A427" s="747">
        <v>71200</v>
      </c>
      <c r="B427" s="1011">
        <v>65</v>
      </c>
      <c r="C427" s="556" t="s">
        <v>1862</v>
      </c>
      <c r="D427" s="78" t="s">
        <v>1988</v>
      </c>
      <c r="E427" s="457" t="s">
        <v>1476</v>
      </c>
      <c r="F427" s="457" t="s">
        <v>1861</v>
      </c>
      <c r="G427" s="437"/>
      <c r="H427" s="150"/>
      <c r="I427" s="1060" t="s">
        <v>1230</v>
      </c>
      <c r="J427" s="238"/>
      <c r="K427" s="195">
        <f>ROUND(90*(1-$G$4),2)</f>
        <v>87.3</v>
      </c>
      <c r="L427" s="146">
        <v>2015</v>
      </c>
      <c r="M427" s="145" t="s">
        <v>1231</v>
      </c>
      <c r="N427" s="146">
        <v>40</v>
      </c>
      <c r="O427" s="316" t="s">
        <v>1234</v>
      </c>
      <c r="P427" s="146">
        <v>32</v>
      </c>
      <c r="Q427" s="315" t="s">
        <v>1235</v>
      </c>
      <c r="R427" s="323" t="s">
        <v>162</v>
      </c>
      <c r="S427" s="482" t="s">
        <v>1807</v>
      </c>
      <c r="T427" s="303">
        <v>0.13</v>
      </c>
      <c r="U427" s="932" t="s">
        <v>308</v>
      </c>
      <c r="V427" s="360" t="e">
        <f>VLOOKUP(A427,#REF!,10,FALSE)</f>
        <v>#REF!</v>
      </c>
    </row>
    <row r="428" spans="1:22" ht="27" customHeight="1">
      <c r="A428" s="721">
        <v>71108</v>
      </c>
      <c r="B428" s="1001">
        <v>74</v>
      </c>
      <c r="C428" s="557" t="s">
        <v>1549</v>
      </c>
      <c r="D428" s="79" t="s">
        <v>1988</v>
      </c>
      <c r="E428" s="158" t="s">
        <v>1550</v>
      </c>
      <c r="F428" s="158" t="s">
        <v>1551</v>
      </c>
      <c r="G428" s="483" t="s">
        <v>1218</v>
      </c>
      <c r="H428" s="101"/>
      <c r="I428" s="1071" t="s">
        <v>1230</v>
      </c>
      <c r="J428" s="85"/>
      <c r="K428" s="196">
        <f>ROUND(90*(1-$G$4),2)</f>
        <v>87.3</v>
      </c>
      <c r="L428" s="148">
        <v>2015</v>
      </c>
      <c r="M428" s="147" t="s">
        <v>1231</v>
      </c>
      <c r="N428" s="148">
        <v>40</v>
      </c>
      <c r="O428" s="311" t="s">
        <v>1234</v>
      </c>
      <c r="P428" s="148">
        <v>32</v>
      </c>
      <c r="Q428" s="134" t="s">
        <v>1235</v>
      </c>
      <c r="R428" s="322" t="s">
        <v>163</v>
      </c>
      <c r="S428" s="239" t="s">
        <v>1808</v>
      </c>
      <c r="T428" s="301">
        <v>0.127</v>
      </c>
      <c r="U428" s="927" t="s">
        <v>308</v>
      </c>
      <c r="V428" s="360" t="e">
        <f>VLOOKUP(A428,#REF!,10,FALSE)</f>
        <v>#REF!</v>
      </c>
    </row>
    <row r="429" spans="1:22" ht="27" customHeight="1">
      <c r="A429" s="724">
        <v>70471</v>
      </c>
      <c r="B429" s="1002">
        <v>100</v>
      </c>
      <c r="C429" s="689" t="s">
        <v>1470</v>
      </c>
      <c r="D429" s="79" t="s">
        <v>1988</v>
      </c>
      <c r="E429" s="510" t="s">
        <v>1471</v>
      </c>
      <c r="F429" s="510" t="s">
        <v>1677</v>
      </c>
      <c r="G429" s="511" t="s">
        <v>1218</v>
      </c>
      <c r="H429" s="223"/>
      <c r="I429" s="1071" t="s">
        <v>1230</v>
      </c>
      <c r="J429" s="39"/>
      <c r="K429" s="196">
        <f>ROUND(187.5*(1-$G$4),2)</f>
        <v>181.88</v>
      </c>
      <c r="L429" s="334">
        <v>2013</v>
      </c>
      <c r="M429" s="147" t="s">
        <v>1231</v>
      </c>
      <c r="N429" s="261">
        <v>30</v>
      </c>
      <c r="O429" s="283" t="s">
        <v>1469</v>
      </c>
      <c r="P429" s="261">
        <v>128</v>
      </c>
      <c r="Q429" s="135" t="s">
        <v>1235</v>
      </c>
      <c r="R429" s="321" t="s">
        <v>164</v>
      </c>
      <c r="S429" s="240" t="s">
        <v>1807</v>
      </c>
      <c r="T429" s="288">
        <v>0.231</v>
      </c>
      <c r="U429" s="916" t="s">
        <v>308</v>
      </c>
      <c r="V429" s="360" t="e">
        <f>VLOOKUP(A429,#REF!,10,FALSE)</f>
        <v>#REF!</v>
      </c>
    </row>
    <row r="430" spans="1:22" ht="27" customHeight="1">
      <c r="A430" s="807">
        <v>70638</v>
      </c>
      <c r="B430" s="1036">
        <v>102</v>
      </c>
      <c r="C430" s="689" t="s">
        <v>1472</v>
      </c>
      <c r="D430" s="79" t="s">
        <v>1988</v>
      </c>
      <c r="E430" s="604" t="s">
        <v>1473</v>
      </c>
      <c r="F430" s="808" t="s">
        <v>1474</v>
      </c>
      <c r="G430" s="495" t="s">
        <v>1218</v>
      </c>
      <c r="H430" s="346"/>
      <c r="I430" s="1061" t="s">
        <v>1230</v>
      </c>
      <c r="J430" s="41"/>
      <c r="K430" s="190">
        <f>ROUND(187.5*(1-$G$4),2)</f>
        <v>181.88</v>
      </c>
      <c r="L430" s="340">
        <v>2014</v>
      </c>
      <c r="M430" s="334" t="s">
        <v>1231</v>
      </c>
      <c r="N430" s="328">
        <v>30</v>
      </c>
      <c r="O430" s="445" t="s">
        <v>1469</v>
      </c>
      <c r="P430" s="328">
        <v>128</v>
      </c>
      <c r="Q430" s="460" t="s">
        <v>1235</v>
      </c>
      <c r="R430" s="447" t="s">
        <v>165</v>
      </c>
      <c r="S430" s="398" t="s">
        <v>1807</v>
      </c>
      <c r="T430" s="448">
        <v>0.231</v>
      </c>
      <c r="U430" s="936" t="s">
        <v>308</v>
      </c>
      <c r="V430" s="360" t="e">
        <f>VLOOKUP(A430,#REF!,10,FALSE)</f>
        <v>#REF!</v>
      </c>
    </row>
    <row r="431" spans="1:22" ht="27" customHeight="1">
      <c r="A431" s="751">
        <v>70698</v>
      </c>
      <c r="B431" s="1012">
        <v>103</v>
      </c>
      <c r="C431" s="752" t="s">
        <v>1475</v>
      </c>
      <c r="D431" s="79" t="s">
        <v>1988</v>
      </c>
      <c r="E431" s="157" t="s">
        <v>1476</v>
      </c>
      <c r="F431" s="157" t="s">
        <v>1477</v>
      </c>
      <c r="G431" s="495" t="s">
        <v>1218</v>
      </c>
      <c r="H431" s="346"/>
      <c r="I431" s="1061" t="s">
        <v>1230</v>
      </c>
      <c r="J431" s="41"/>
      <c r="K431" s="190">
        <f>ROUND(187.5*(1-$G$4),2)</f>
        <v>181.88</v>
      </c>
      <c r="L431" s="340">
        <v>2014</v>
      </c>
      <c r="M431" s="334" t="s">
        <v>1231</v>
      </c>
      <c r="N431" s="328">
        <v>30</v>
      </c>
      <c r="O431" s="445" t="s">
        <v>1469</v>
      </c>
      <c r="P431" s="328">
        <v>128</v>
      </c>
      <c r="Q431" s="460" t="s">
        <v>1235</v>
      </c>
      <c r="R431" s="447" t="s">
        <v>166</v>
      </c>
      <c r="S431" s="398" t="s">
        <v>1808</v>
      </c>
      <c r="T431" s="448">
        <v>0.231</v>
      </c>
      <c r="U431" s="933" t="s">
        <v>308</v>
      </c>
      <c r="V431" s="360" t="e">
        <f>VLOOKUP(A431,#REF!,10,FALSE)</f>
        <v>#REF!</v>
      </c>
    </row>
    <row r="432" spans="1:22" ht="27" customHeight="1" thickBot="1">
      <c r="A432" s="771">
        <v>71154</v>
      </c>
      <c r="B432" s="1021">
        <v>63</v>
      </c>
      <c r="C432" s="772" t="s">
        <v>1838</v>
      </c>
      <c r="D432" s="367" t="s">
        <v>1988</v>
      </c>
      <c r="E432" s="368" t="s">
        <v>1476</v>
      </c>
      <c r="F432" s="368" t="s">
        <v>1839</v>
      </c>
      <c r="G432" s="605" t="s">
        <v>1218</v>
      </c>
      <c r="H432" s="241"/>
      <c r="I432" s="1072" t="s">
        <v>1230</v>
      </c>
      <c r="J432" s="369"/>
      <c r="K432" s="200">
        <f>ROUND(90*(1-$G$4),2)</f>
        <v>87.3</v>
      </c>
      <c r="L432" s="335">
        <v>2015</v>
      </c>
      <c r="M432" s="855" t="s">
        <v>1231</v>
      </c>
      <c r="N432" s="338">
        <v>40</v>
      </c>
      <c r="O432" s="578" t="s">
        <v>1234</v>
      </c>
      <c r="P432" s="244">
        <v>32</v>
      </c>
      <c r="Q432" s="441" t="s">
        <v>1235</v>
      </c>
      <c r="R432" s="324" t="s">
        <v>167</v>
      </c>
      <c r="S432" s="514" t="s">
        <v>1807</v>
      </c>
      <c r="T432" s="515">
        <v>0.13</v>
      </c>
      <c r="U432" s="918" t="s">
        <v>308</v>
      </c>
      <c r="V432" s="360" t="e">
        <f>VLOOKUP(A432,#REF!,10,FALSE)</f>
        <v>#REF!</v>
      </c>
    </row>
    <row r="433" spans="1:22" ht="27" customHeight="1">
      <c r="A433" s="747">
        <v>70309</v>
      </c>
      <c r="B433" s="1011">
        <v>68</v>
      </c>
      <c r="C433" s="556" t="s">
        <v>1478</v>
      </c>
      <c r="D433" s="78" t="s">
        <v>1858</v>
      </c>
      <c r="E433" s="159" t="s">
        <v>1479</v>
      </c>
      <c r="F433" s="159" t="s">
        <v>1678</v>
      </c>
      <c r="G433" s="606" t="s">
        <v>1218</v>
      </c>
      <c r="H433" s="173" t="s">
        <v>1320</v>
      </c>
      <c r="I433" s="1080" t="s">
        <v>1230</v>
      </c>
      <c r="J433" s="130"/>
      <c r="K433" s="195">
        <f>ROUND(90*(1-$G$4),2)</f>
        <v>87.3</v>
      </c>
      <c r="L433" s="337">
        <v>2015</v>
      </c>
      <c r="M433" s="145" t="s">
        <v>1231</v>
      </c>
      <c r="N433" s="146">
        <v>40</v>
      </c>
      <c r="O433" s="607" t="s">
        <v>1234</v>
      </c>
      <c r="P433" s="316">
        <v>32</v>
      </c>
      <c r="Q433" s="607" t="s">
        <v>1235</v>
      </c>
      <c r="R433" s="559" t="s">
        <v>145</v>
      </c>
      <c r="S433" s="295" t="s">
        <v>1807</v>
      </c>
      <c r="T433" s="299">
        <v>0.126</v>
      </c>
      <c r="U433" s="926" t="s">
        <v>308</v>
      </c>
      <c r="V433" s="360" t="e">
        <f>VLOOKUP(A433,#REF!,10,FALSE)</f>
        <v>#REF!</v>
      </c>
    </row>
    <row r="434" spans="1:22" ht="27" customHeight="1">
      <c r="A434" s="721">
        <v>71627</v>
      </c>
      <c r="B434" s="1001">
        <v>246</v>
      </c>
      <c r="C434" s="557" t="s">
        <v>147</v>
      </c>
      <c r="D434" s="79" t="s">
        <v>1858</v>
      </c>
      <c r="E434" s="158" t="s">
        <v>473</v>
      </c>
      <c r="F434" s="158" t="s">
        <v>146</v>
      </c>
      <c r="G434" s="397"/>
      <c r="H434" s="233" t="s">
        <v>1320</v>
      </c>
      <c r="I434" s="1056" t="s">
        <v>1230</v>
      </c>
      <c r="J434" s="85"/>
      <c r="K434" s="196">
        <f>ROUND(110*(1-$G$4),2)</f>
        <v>106.7</v>
      </c>
      <c r="L434" s="148">
        <v>2016</v>
      </c>
      <c r="M434" s="147" t="s">
        <v>1231</v>
      </c>
      <c r="N434" s="148">
        <v>25</v>
      </c>
      <c r="O434" s="311" t="s">
        <v>1234</v>
      </c>
      <c r="P434" s="148">
        <v>32</v>
      </c>
      <c r="Q434" s="311" t="s">
        <v>1235</v>
      </c>
      <c r="R434" s="608" t="s">
        <v>497</v>
      </c>
      <c r="S434" s="290" t="s">
        <v>1807</v>
      </c>
      <c r="T434" s="301">
        <v>0.126</v>
      </c>
      <c r="U434" s="927" t="s">
        <v>308</v>
      </c>
      <c r="V434" s="360" t="e">
        <f>VLOOKUP(A434,#REF!,10,FALSE)</f>
        <v>#REF!</v>
      </c>
    </row>
    <row r="435" spans="1:22" ht="27" customHeight="1">
      <c r="A435" s="886">
        <v>71632</v>
      </c>
      <c r="B435" s="1001">
        <v>116</v>
      </c>
      <c r="C435" s="557" t="s">
        <v>1480</v>
      </c>
      <c r="D435" s="79" t="s">
        <v>1858</v>
      </c>
      <c r="E435" s="158" t="s">
        <v>977</v>
      </c>
      <c r="F435" s="158" t="s">
        <v>1481</v>
      </c>
      <c r="G435" s="397"/>
      <c r="H435" s="233" t="s">
        <v>1320</v>
      </c>
      <c r="I435" s="1056" t="s">
        <v>1230</v>
      </c>
      <c r="J435" s="85"/>
      <c r="K435" s="196">
        <f>ROUND(110*(1-$G$4),2)</f>
        <v>106.7</v>
      </c>
      <c r="L435" s="148">
        <v>2016</v>
      </c>
      <c r="M435" s="147" t="s">
        <v>1231</v>
      </c>
      <c r="N435" s="148">
        <v>25</v>
      </c>
      <c r="O435" s="311" t="s">
        <v>1234</v>
      </c>
      <c r="P435" s="148">
        <v>32</v>
      </c>
      <c r="Q435" s="311" t="s">
        <v>1235</v>
      </c>
      <c r="R435" s="608" t="s">
        <v>499</v>
      </c>
      <c r="S435" s="290" t="s">
        <v>1807</v>
      </c>
      <c r="T435" s="301">
        <v>0.126</v>
      </c>
      <c r="U435" s="927" t="s">
        <v>308</v>
      </c>
      <c r="V435" s="360" t="e">
        <f>VLOOKUP(A435,#REF!,10,FALSE)</f>
        <v>#REF!</v>
      </c>
    </row>
    <row r="436" spans="1:22" ht="27" customHeight="1">
      <c r="A436" s="721">
        <v>70924</v>
      </c>
      <c r="B436" s="1001">
        <v>59</v>
      </c>
      <c r="C436" s="557" t="s">
        <v>1497</v>
      </c>
      <c r="D436" s="79" t="s">
        <v>1858</v>
      </c>
      <c r="E436" s="158" t="s">
        <v>972</v>
      </c>
      <c r="F436" s="158" t="s">
        <v>1496</v>
      </c>
      <c r="G436" s="397"/>
      <c r="H436" s="91"/>
      <c r="I436" s="1056" t="s">
        <v>1230</v>
      </c>
      <c r="J436" s="85"/>
      <c r="K436" s="196">
        <f>ROUND(90*(1-$G$4),2)</f>
        <v>87.3</v>
      </c>
      <c r="L436" s="148">
        <v>2015</v>
      </c>
      <c r="M436" s="147" t="s">
        <v>1231</v>
      </c>
      <c r="N436" s="148">
        <v>25</v>
      </c>
      <c r="O436" s="311" t="s">
        <v>1234</v>
      </c>
      <c r="P436" s="148">
        <v>32</v>
      </c>
      <c r="Q436" s="311" t="s">
        <v>1235</v>
      </c>
      <c r="R436" s="608" t="s">
        <v>498</v>
      </c>
      <c r="S436" s="290" t="s">
        <v>1807</v>
      </c>
      <c r="T436" s="301">
        <v>0.126</v>
      </c>
      <c r="U436" s="927" t="s">
        <v>308</v>
      </c>
      <c r="V436" s="360" t="e">
        <f>VLOOKUP(A436,#REF!,10,FALSE)</f>
        <v>#REF!</v>
      </c>
    </row>
    <row r="437" spans="1:22" ht="27" customHeight="1">
      <c r="A437" s="724">
        <v>70922</v>
      </c>
      <c r="B437" s="1002">
        <v>96</v>
      </c>
      <c r="C437" s="689" t="s">
        <v>501</v>
      </c>
      <c r="D437" s="79" t="s">
        <v>1858</v>
      </c>
      <c r="E437" s="116" t="s">
        <v>522</v>
      </c>
      <c r="F437" s="510" t="s">
        <v>500</v>
      </c>
      <c r="G437" s="511" t="s">
        <v>1218</v>
      </c>
      <c r="H437" s="169" t="s">
        <v>1320</v>
      </c>
      <c r="I437" s="1071" t="s">
        <v>1230</v>
      </c>
      <c r="J437" s="39"/>
      <c r="K437" s="196">
        <f>ROUND(90*(1-$G$4),2)</f>
        <v>87.3</v>
      </c>
      <c r="L437" s="334">
        <v>2015</v>
      </c>
      <c r="M437" s="147" t="s">
        <v>1231</v>
      </c>
      <c r="N437" s="261">
        <v>40</v>
      </c>
      <c r="O437" s="284" t="s">
        <v>1234</v>
      </c>
      <c r="P437" s="283">
        <v>32</v>
      </c>
      <c r="Q437" s="310" t="s">
        <v>1235</v>
      </c>
      <c r="R437" s="321" t="s">
        <v>502</v>
      </c>
      <c r="S437" s="142" t="s">
        <v>1807</v>
      </c>
      <c r="T437" s="609">
        <v>0.126</v>
      </c>
      <c r="U437" s="916" t="s">
        <v>308</v>
      </c>
      <c r="V437" s="360" t="e">
        <f>VLOOKUP(A437,#REF!,10,FALSE)</f>
        <v>#REF!</v>
      </c>
    </row>
    <row r="438" spans="1:22" ht="27" customHeight="1">
      <c r="A438" s="721">
        <v>69913</v>
      </c>
      <c r="B438" s="1001">
        <v>88</v>
      </c>
      <c r="C438" s="557" t="s">
        <v>149</v>
      </c>
      <c r="D438" s="79" t="s">
        <v>1858</v>
      </c>
      <c r="E438" s="158" t="s">
        <v>394</v>
      </c>
      <c r="F438" s="158" t="s">
        <v>148</v>
      </c>
      <c r="G438" s="397"/>
      <c r="H438" s="166" t="s">
        <v>1799</v>
      </c>
      <c r="I438" s="1056" t="s">
        <v>1230</v>
      </c>
      <c r="J438" s="85"/>
      <c r="K438" s="196"/>
      <c r="L438" s="334">
        <v>2016</v>
      </c>
      <c r="M438" s="147" t="s">
        <v>1231</v>
      </c>
      <c r="N438" s="148">
        <v>25</v>
      </c>
      <c r="O438" s="311" t="s">
        <v>1234</v>
      </c>
      <c r="P438" s="148">
        <v>32</v>
      </c>
      <c r="Q438" s="311" t="s">
        <v>1235</v>
      </c>
      <c r="R438" s="610">
        <v>9785462014178</v>
      </c>
      <c r="S438" s="290" t="s">
        <v>1807</v>
      </c>
      <c r="T438" s="288">
        <v>0.13</v>
      </c>
      <c r="U438" s="916" t="s">
        <v>308</v>
      </c>
      <c r="V438" s="360" t="e">
        <f>VLOOKUP(A438,#REF!,10,FALSE)</f>
        <v>#REF!</v>
      </c>
    </row>
    <row r="439" spans="1:22" ht="27" customHeight="1">
      <c r="A439" s="886">
        <v>71637</v>
      </c>
      <c r="B439" s="1001">
        <v>101</v>
      </c>
      <c r="C439" s="557" t="s">
        <v>970</v>
      </c>
      <c r="D439" s="79" t="s">
        <v>1858</v>
      </c>
      <c r="E439" s="158" t="s">
        <v>971</v>
      </c>
      <c r="F439" s="158" t="s">
        <v>1679</v>
      </c>
      <c r="G439" s="397"/>
      <c r="H439" s="166"/>
      <c r="I439" s="1056" t="s">
        <v>1230</v>
      </c>
      <c r="J439" s="85"/>
      <c r="K439" s="196">
        <f>ROUND(110*(1-$G$4),2)</f>
        <v>106.7</v>
      </c>
      <c r="L439" s="148">
        <v>2016</v>
      </c>
      <c r="M439" s="147" t="s">
        <v>1231</v>
      </c>
      <c r="N439" s="148">
        <v>25</v>
      </c>
      <c r="O439" s="311" t="s">
        <v>1234</v>
      </c>
      <c r="P439" s="148">
        <v>32</v>
      </c>
      <c r="Q439" s="311" t="s">
        <v>1235</v>
      </c>
      <c r="R439" s="608" t="s">
        <v>503</v>
      </c>
      <c r="S439" s="290" t="s">
        <v>1808</v>
      </c>
      <c r="T439" s="288">
        <v>0.13</v>
      </c>
      <c r="U439" s="916" t="s">
        <v>308</v>
      </c>
      <c r="V439" s="360" t="e">
        <f>VLOOKUP(A439,#REF!,10,FALSE)</f>
        <v>#REF!</v>
      </c>
    </row>
    <row r="440" spans="1:22" ht="27" customHeight="1">
      <c r="A440" s="724">
        <v>70311</v>
      </c>
      <c r="B440" s="1002">
        <v>229</v>
      </c>
      <c r="C440" s="689" t="s">
        <v>505</v>
      </c>
      <c r="D440" s="79" t="s">
        <v>1858</v>
      </c>
      <c r="E440" s="510" t="s">
        <v>523</v>
      </c>
      <c r="F440" s="510" t="s">
        <v>504</v>
      </c>
      <c r="G440" s="511" t="s">
        <v>1218</v>
      </c>
      <c r="H440" s="19"/>
      <c r="I440" s="1071" t="s">
        <v>1230</v>
      </c>
      <c r="J440" s="39"/>
      <c r="K440" s="196">
        <f>ROUND(90*(1-$G$4),2)</f>
        <v>87.3</v>
      </c>
      <c r="L440" s="334">
        <v>2014</v>
      </c>
      <c r="M440" s="147" t="s">
        <v>1231</v>
      </c>
      <c r="N440" s="261">
        <v>40</v>
      </c>
      <c r="O440" s="284" t="s">
        <v>1234</v>
      </c>
      <c r="P440" s="283">
        <v>32</v>
      </c>
      <c r="Q440" s="310" t="s">
        <v>1235</v>
      </c>
      <c r="R440" s="321" t="s">
        <v>506</v>
      </c>
      <c r="S440" s="142" t="s">
        <v>1807</v>
      </c>
      <c r="T440" s="609">
        <v>0.126</v>
      </c>
      <c r="U440" s="916" t="s">
        <v>308</v>
      </c>
      <c r="V440" s="360" t="e">
        <f>VLOOKUP(A440,#REF!,10,FALSE)</f>
        <v>#REF!</v>
      </c>
    </row>
    <row r="441" spans="1:22" ht="27" customHeight="1">
      <c r="A441" s="721">
        <v>71182</v>
      </c>
      <c r="B441" s="1001">
        <v>219</v>
      </c>
      <c r="C441" s="557" t="s">
        <v>1857</v>
      </c>
      <c r="D441" s="79" t="s">
        <v>1858</v>
      </c>
      <c r="E441" s="158" t="s">
        <v>974</v>
      </c>
      <c r="F441" s="158" t="s">
        <v>1856</v>
      </c>
      <c r="G441" s="611" t="s">
        <v>1218</v>
      </c>
      <c r="H441" s="166"/>
      <c r="I441" s="1071" t="s">
        <v>1230</v>
      </c>
      <c r="J441" s="85"/>
      <c r="K441" s="196">
        <f>ROUND(90*(1-$G$4),2)</f>
        <v>87.3</v>
      </c>
      <c r="L441" s="334">
        <v>2015</v>
      </c>
      <c r="M441" s="147" t="s">
        <v>1231</v>
      </c>
      <c r="N441" s="148">
        <v>40</v>
      </c>
      <c r="O441" s="311" t="s">
        <v>1234</v>
      </c>
      <c r="P441" s="148">
        <v>32</v>
      </c>
      <c r="Q441" s="311" t="s">
        <v>1235</v>
      </c>
      <c r="R441" s="612" t="s">
        <v>150</v>
      </c>
      <c r="S441" s="87" t="s">
        <v>1808</v>
      </c>
      <c r="T441" s="288">
        <v>0.127</v>
      </c>
      <c r="U441" s="916" t="s">
        <v>308</v>
      </c>
      <c r="V441" s="360" t="e">
        <f>VLOOKUP(A441,#REF!,10,FALSE)</f>
        <v>#REF!</v>
      </c>
    </row>
    <row r="442" spans="1:22" ht="27" customHeight="1">
      <c r="A442" s="721">
        <v>71629</v>
      </c>
      <c r="B442" s="1001">
        <v>242</v>
      </c>
      <c r="C442" s="557" t="s">
        <v>152</v>
      </c>
      <c r="D442" s="79" t="s">
        <v>1858</v>
      </c>
      <c r="E442" s="158" t="s">
        <v>977</v>
      </c>
      <c r="F442" s="158" t="s">
        <v>151</v>
      </c>
      <c r="G442" s="397"/>
      <c r="H442" s="169" t="s">
        <v>1320</v>
      </c>
      <c r="I442" s="1056" t="s">
        <v>1230</v>
      </c>
      <c r="J442" s="85"/>
      <c r="K442" s="196">
        <f>ROUND(110*(1-$G$4),2)</f>
        <v>106.7</v>
      </c>
      <c r="L442" s="148">
        <v>2016</v>
      </c>
      <c r="M442" s="147" t="s">
        <v>1231</v>
      </c>
      <c r="N442" s="148">
        <v>25</v>
      </c>
      <c r="O442" s="311" t="s">
        <v>1234</v>
      </c>
      <c r="P442" s="148">
        <v>32</v>
      </c>
      <c r="Q442" s="311" t="s">
        <v>1235</v>
      </c>
      <c r="R442" s="608" t="s">
        <v>507</v>
      </c>
      <c r="S442" s="290" t="s">
        <v>1807</v>
      </c>
      <c r="T442" s="288">
        <v>0.13</v>
      </c>
      <c r="U442" s="916" t="s">
        <v>308</v>
      </c>
      <c r="V442" s="360" t="e">
        <f>VLOOKUP(A442,#REF!,10,FALSE)</f>
        <v>#REF!</v>
      </c>
    </row>
    <row r="443" spans="1:22" ht="27" customHeight="1">
      <c r="A443" s="886">
        <v>70925</v>
      </c>
      <c r="B443" s="1001"/>
      <c r="C443" s="557" t="s">
        <v>973</v>
      </c>
      <c r="D443" s="79" t="s">
        <v>1858</v>
      </c>
      <c r="E443" s="158" t="s">
        <v>342</v>
      </c>
      <c r="F443" s="158" t="s">
        <v>1680</v>
      </c>
      <c r="G443" s="397"/>
      <c r="H443" s="169" t="s">
        <v>1320</v>
      </c>
      <c r="I443" s="1056" t="s">
        <v>1230</v>
      </c>
      <c r="J443" s="85"/>
      <c r="K443" s="196">
        <f>ROUND(90*(1-$G$4),2)</f>
        <v>87.3</v>
      </c>
      <c r="L443" s="148">
        <v>2016</v>
      </c>
      <c r="M443" s="147" t="s">
        <v>1231</v>
      </c>
      <c r="N443" s="148">
        <v>25</v>
      </c>
      <c r="O443" s="311" t="s">
        <v>1234</v>
      </c>
      <c r="P443" s="148">
        <v>32</v>
      </c>
      <c r="Q443" s="311" t="s">
        <v>1235</v>
      </c>
      <c r="R443" s="608" t="s">
        <v>508</v>
      </c>
      <c r="S443" s="290" t="s">
        <v>1807</v>
      </c>
      <c r="T443" s="288">
        <v>0.1226</v>
      </c>
      <c r="U443" s="916" t="s">
        <v>308</v>
      </c>
      <c r="V443" s="360" t="e">
        <f>VLOOKUP(A443,#REF!,10,FALSE)</f>
        <v>#REF!</v>
      </c>
    </row>
    <row r="444" spans="1:22" ht="27" customHeight="1">
      <c r="A444" s="721">
        <v>70545</v>
      </c>
      <c r="B444" s="1001">
        <v>89</v>
      </c>
      <c r="C444" s="557" t="s">
        <v>273</v>
      </c>
      <c r="D444" s="79" t="s">
        <v>1858</v>
      </c>
      <c r="E444" s="158" t="s">
        <v>395</v>
      </c>
      <c r="F444" s="158" t="s">
        <v>274</v>
      </c>
      <c r="G444" s="397"/>
      <c r="H444" s="166" t="s">
        <v>1799</v>
      </c>
      <c r="I444" s="1056" t="s">
        <v>1230</v>
      </c>
      <c r="J444" s="85"/>
      <c r="K444" s="196"/>
      <c r="L444" s="148">
        <v>2014</v>
      </c>
      <c r="M444" s="147" t="s">
        <v>1231</v>
      </c>
      <c r="N444" s="148">
        <v>40</v>
      </c>
      <c r="O444" s="311" t="s">
        <v>1234</v>
      </c>
      <c r="P444" s="148">
        <v>32</v>
      </c>
      <c r="Q444" s="311" t="s">
        <v>1235</v>
      </c>
      <c r="R444" s="608" t="s">
        <v>509</v>
      </c>
      <c r="S444" s="290" t="s">
        <v>1808</v>
      </c>
      <c r="T444" s="288">
        <v>0.1226</v>
      </c>
      <c r="U444" s="916" t="s">
        <v>308</v>
      </c>
      <c r="V444" s="360" t="e">
        <f>VLOOKUP(A444,#REF!,10,FALSE)</f>
        <v>#REF!</v>
      </c>
    </row>
    <row r="445" spans="1:22" ht="27" customHeight="1">
      <c r="A445" s="751">
        <v>70645</v>
      </c>
      <c r="B445" s="1012">
        <v>207</v>
      </c>
      <c r="C445" s="752" t="s">
        <v>511</v>
      </c>
      <c r="D445" s="79" t="s">
        <v>1858</v>
      </c>
      <c r="E445" s="157" t="s">
        <v>974</v>
      </c>
      <c r="F445" s="94" t="s">
        <v>510</v>
      </c>
      <c r="G445" s="495" t="s">
        <v>1218</v>
      </c>
      <c r="H445" s="346"/>
      <c r="I445" s="1061" t="s">
        <v>1230</v>
      </c>
      <c r="J445" s="41"/>
      <c r="K445" s="196">
        <f>ROUND(90*(1-$G$4),2)</f>
        <v>87.3</v>
      </c>
      <c r="L445" s="613">
        <v>2014</v>
      </c>
      <c r="M445" s="334" t="s">
        <v>1231</v>
      </c>
      <c r="N445" s="328">
        <v>40</v>
      </c>
      <c r="O445" s="614" t="s">
        <v>1234</v>
      </c>
      <c r="P445" s="328">
        <v>32</v>
      </c>
      <c r="Q445" s="460" t="s">
        <v>1235</v>
      </c>
      <c r="R445" s="447" t="s">
        <v>512</v>
      </c>
      <c r="S445" s="615" t="s">
        <v>1808</v>
      </c>
      <c r="T445" s="616">
        <v>0.126</v>
      </c>
      <c r="U445" s="936" t="s">
        <v>308</v>
      </c>
      <c r="V445" s="360" t="e">
        <f>VLOOKUP(A445,#REF!,10,FALSE)</f>
        <v>#REF!</v>
      </c>
    </row>
    <row r="446" spans="1:22" ht="27" customHeight="1">
      <c r="A446" s="721">
        <v>70939</v>
      </c>
      <c r="B446" s="1001">
        <v>79</v>
      </c>
      <c r="C446" s="557" t="s">
        <v>1507</v>
      </c>
      <c r="D446" s="79" t="s">
        <v>1858</v>
      </c>
      <c r="E446" s="158" t="s">
        <v>979</v>
      </c>
      <c r="F446" s="158" t="s">
        <v>1681</v>
      </c>
      <c r="G446" s="488" t="s">
        <v>1218</v>
      </c>
      <c r="H446" s="166" t="s">
        <v>1799</v>
      </c>
      <c r="I446" s="863" t="s">
        <v>1230</v>
      </c>
      <c r="J446" s="85"/>
      <c r="K446" s="196"/>
      <c r="L446" s="148">
        <v>2015</v>
      </c>
      <c r="M446" s="147" t="s">
        <v>1231</v>
      </c>
      <c r="N446" s="148">
        <v>40</v>
      </c>
      <c r="O446" s="311" t="s">
        <v>1234</v>
      </c>
      <c r="P446" s="148">
        <v>32</v>
      </c>
      <c r="Q446" s="311" t="s">
        <v>1235</v>
      </c>
      <c r="R446" s="612" t="s">
        <v>153</v>
      </c>
      <c r="S446" s="239" t="s">
        <v>1808</v>
      </c>
      <c r="T446" s="301">
        <v>0.126</v>
      </c>
      <c r="U446" s="927" t="s">
        <v>308</v>
      </c>
      <c r="V446" s="360" t="e">
        <f>VLOOKUP(A446,#REF!,10,FALSE)</f>
        <v>#REF!</v>
      </c>
    </row>
    <row r="447" spans="1:22" s="96" customFormat="1" ht="27" customHeight="1">
      <c r="A447" s="721">
        <v>71634</v>
      </c>
      <c r="B447" s="1001">
        <v>104</v>
      </c>
      <c r="C447" s="557" t="s">
        <v>266</v>
      </c>
      <c r="D447" s="79" t="s">
        <v>1858</v>
      </c>
      <c r="E447" s="158" t="s">
        <v>975</v>
      </c>
      <c r="F447" s="158" t="s">
        <v>267</v>
      </c>
      <c r="G447" s="397"/>
      <c r="H447" s="166"/>
      <c r="I447" s="1056" t="s">
        <v>1230</v>
      </c>
      <c r="J447" s="85"/>
      <c r="K447" s="196">
        <f>ROUND(110*(1-$G$4),2)</f>
        <v>106.7</v>
      </c>
      <c r="L447" s="148">
        <v>2016</v>
      </c>
      <c r="M447" s="147" t="s">
        <v>1231</v>
      </c>
      <c r="N447" s="148">
        <v>25</v>
      </c>
      <c r="O447" s="311" t="s">
        <v>1234</v>
      </c>
      <c r="P447" s="148">
        <v>32</v>
      </c>
      <c r="Q447" s="311" t="s">
        <v>1235</v>
      </c>
      <c r="R447" s="608" t="s">
        <v>513</v>
      </c>
      <c r="S447" s="290" t="s">
        <v>1808</v>
      </c>
      <c r="T447" s="301">
        <v>1.126</v>
      </c>
      <c r="U447" s="927" t="s">
        <v>308</v>
      </c>
      <c r="V447" s="360" t="e">
        <f>VLOOKUP(A447,#REF!,10,FALSE)</f>
        <v>#REF!</v>
      </c>
    </row>
    <row r="448" spans="1:22" ht="27" customHeight="1">
      <c r="A448" s="721">
        <v>70466</v>
      </c>
      <c r="B448" s="1001">
        <v>136</v>
      </c>
      <c r="C448" s="557" t="s">
        <v>976</v>
      </c>
      <c r="D448" s="79" t="s">
        <v>1858</v>
      </c>
      <c r="E448" s="158" t="s">
        <v>977</v>
      </c>
      <c r="F448" s="158" t="s">
        <v>978</v>
      </c>
      <c r="G448" s="397"/>
      <c r="H448" s="166" t="s">
        <v>1799</v>
      </c>
      <c r="I448" s="1056" t="s">
        <v>1230</v>
      </c>
      <c r="J448" s="85"/>
      <c r="K448" s="196"/>
      <c r="L448" s="148">
        <v>2013</v>
      </c>
      <c r="M448" s="147" t="s">
        <v>1231</v>
      </c>
      <c r="N448" s="148">
        <v>25</v>
      </c>
      <c r="O448" s="311" t="s">
        <v>1234</v>
      </c>
      <c r="P448" s="148">
        <v>32</v>
      </c>
      <c r="Q448" s="311" t="s">
        <v>1235</v>
      </c>
      <c r="R448" s="608" t="s">
        <v>514</v>
      </c>
      <c r="S448" s="290" t="s">
        <v>1807</v>
      </c>
      <c r="T448" s="301">
        <v>0.13</v>
      </c>
      <c r="U448" s="927" t="s">
        <v>308</v>
      </c>
      <c r="V448" s="360" t="e">
        <f>VLOOKUP(A448,#REF!,10,FALSE)</f>
        <v>#REF!</v>
      </c>
    </row>
    <row r="449" spans="1:22" ht="27" customHeight="1">
      <c r="A449" s="886">
        <v>70543</v>
      </c>
      <c r="B449" s="1001"/>
      <c r="C449" s="557" t="s">
        <v>516</v>
      </c>
      <c r="D449" s="79" t="s">
        <v>1858</v>
      </c>
      <c r="E449" s="158" t="s">
        <v>977</v>
      </c>
      <c r="F449" s="158" t="s">
        <v>515</v>
      </c>
      <c r="G449" s="550" t="s">
        <v>1218</v>
      </c>
      <c r="H449" s="166" t="s">
        <v>1799</v>
      </c>
      <c r="I449" s="863" t="s">
        <v>1230</v>
      </c>
      <c r="J449" s="85"/>
      <c r="K449" s="196"/>
      <c r="L449" s="334">
        <v>2015</v>
      </c>
      <c r="M449" s="147" t="s">
        <v>1231</v>
      </c>
      <c r="N449" s="148">
        <v>40</v>
      </c>
      <c r="O449" s="311" t="s">
        <v>1234</v>
      </c>
      <c r="P449" s="148">
        <v>32</v>
      </c>
      <c r="Q449" s="134" t="s">
        <v>1235</v>
      </c>
      <c r="R449" s="322" t="s">
        <v>517</v>
      </c>
      <c r="S449" s="617" t="s">
        <v>1807</v>
      </c>
      <c r="T449" s="618">
        <v>0.127</v>
      </c>
      <c r="U449" s="927" t="s">
        <v>308</v>
      </c>
      <c r="V449" s="360" t="e">
        <f>VLOOKUP(A449,#REF!,10,FALSE)</f>
        <v>#REF!</v>
      </c>
    </row>
    <row r="450" spans="1:22" ht="27" customHeight="1">
      <c r="A450" s="721">
        <v>71638</v>
      </c>
      <c r="B450" s="1001">
        <v>81</v>
      </c>
      <c r="C450" s="557" t="s">
        <v>269</v>
      </c>
      <c r="D450" s="79" t="s">
        <v>1858</v>
      </c>
      <c r="E450" s="158" t="s">
        <v>381</v>
      </c>
      <c r="F450" s="158" t="s">
        <v>270</v>
      </c>
      <c r="G450" s="397"/>
      <c r="H450" s="169" t="s">
        <v>1320</v>
      </c>
      <c r="I450" s="1056" t="s">
        <v>1230</v>
      </c>
      <c r="J450" s="85"/>
      <c r="K450" s="196">
        <f>ROUND(110*(1-$G$4),2)</f>
        <v>106.7</v>
      </c>
      <c r="L450" s="148">
        <v>2016</v>
      </c>
      <c r="M450" s="147" t="s">
        <v>1231</v>
      </c>
      <c r="N450" s="148">
        <v>25</v>
      </c>
      <c r="O450" s="311" t="s">
        <v>1234</v>
      </c>
      <c r="P450" s="148">
        <v>32</v>
      </c>
      <c r="Q450" s="311" t="s">
        <v>1235</v>
      </c>
      <c r="R450" s="608" t="s">
        <v>518</v>
      </c>
      <c r="S450" s="290" t="s">
        <v>1808</v>
      </c>
      <c r="T450" s="301">
        <v>0.127</v>
      </c>
      <c r="U450" s="927" t="s">
        <v>308</v>
      </c>
      <c r="V450" s="360" t="e">
        <f>VLOOKUP(A450,#REF!,10,FALSE)</f>
        <v>#REF!</v>
      </c>
    </row>
    <row r="451" spans="1:22" ht="27" customHeight="1">
      <c r="A451" s="721">
        <v>71635</v>
      </c>
      <c r="B451" s="1001">
        <v>114</v>
      </c>
      <c r="C451" s="557" t="s">
        <v>279</v>
      </c>
      <c r="D451" s="79" t="s">
        <v>1858</v>
      </c>
      <c r="E451" s="158" t="s">
        <v>389</v>
      </c>
      <c r="F451" s="158" t="s">
        <v>280</v>
      </c>
      <c r="G451" s="397"/>
      <c r="H451" s="167"/>
      <c r="I451" s="1056" t="s">
        <v>1230</v>
      </c>
      <c r="J451" s="85"/>
      <c r="K451" s="196">
        <f>ROUND(110*(1-$G$4),2)</f>
        <v>106.7</v>
      </c>
      <c r="L451" s="148">
        <v>2016</v>
      </c>
      <c r="M451" s="147" t="s">
        <v>1231</v>
      </c>
      <c r="N451" s="148">
        <v>25</v>
      </c>
      <c r="O451" s="311" t="s">
        <v>1234</v>
      </c>
      <c r="P451" s="148">
        <v>32</v>
      </c>
      <c r="Q451" s="311" t="s">
        <v>1235</v>
      </c>
      <c r="R451" s="608" t="s">
        <v>519</v>
      </c>
      <c r="S451" s="290" t="s">
        <v>1808</v>
      </c>
      <c r="T451" s="301">
        <v>1.127</v>
      </c>
      <c r="U451" s="927" t="s">
        <v>308</v>
      </c>
      <c r="V451" s="360" t="e">
        <f>VLOOKUP(A451,#REF!,10,FALSE)</f>
        <v>#REF!</v>
      </c>
    </row>
    <row r="452" spans="1:22" ht="27" customHeight="1">
      <c r="A452" s="721">
        <v>71263</v>
      </c>
      <c r="B452" s="1001">
        <v>184</v>
      </c>
      <c r="C452" s="557" t="s">
        <v>1877</v>
      </c>
      <c r="D452" s="79" t="s">
        <v>1858</v>
      </c>
      <c r="E452" s="158" t="s">
        <v>1878</v>
      </c>
      <c r="F452" s="158" t="s">
        <v>1876</v>
      </c>
      <c r="G452" s="483" t="s">
        <v>1218</v>
      </c>
      <c r="H452" s="169" t="s">
        <v>1320</v>
      </c>
      <c r="I452" s="1071" t="s">
        <v>1230</v>
      </c>
      <c r="J452" s="85"/>
      <c r="K452" s="196">
        <f>ROUND(90*(1-$G$4),2)</f>
        <v>87.3</v>
      </c>
      <c r="L452" s="334">
        <v>2015</v>
      </c>
      <c r="M452" s="147" t="s">
        <v>1231</v>
      </c>
      <c r="N452" s="148">
        <v>40</v>
      </c>
      <c r="O452" s="311" t="s">
        <v>1234</v>
      </c>
      <c r="P452" s="148">
        <v>32</v>
      </c>
      <c r="Q452" s="311" t="s">
        <v>1235</v>
      </c>
      <c r="R452" s="612" t="s">
        <v>154</v>
      </c>
      <c r="S452" s="239" t="s">
        <v>1807</v>
      </c>
      <c r="T452" s="301">
        <v>0.126</v>
      </c>
      <c r="U452" s="927" t="s">
        <v>308</v>
      </c>
      <c r="V452" s="360" t="e">
        <f>VLOOKUP(A452,#REF!,10,FALSE)</f>
        <v>#REF!</v>
      </c>
    </row>
    <row r="453" spans="1:22" ht="27" customHeight="1">
      <c r="A453" s="721">
        <v>71633</v>
      </c>
      <c r="B453" s="1001">
        <v>69</v>
      </c>
      <c r="C453" s="557" t="s">
        <v>156</v>
      </c>
      <c r="D453" s="79" t="s">
        <v>1858</v>
      </c>
      <c r="E453" s="158" t="s">
        <v>979</v>
      </c>
      <c r="F453" s="158" t="s">
        <v>155</v>
      </c>
      <c r="G453" s="397"/>
      <c r="H453" s="167" t="s">
        <v>1799</v>
      </c>
      <c r="I453" s="1056" t="s">
        <v>1230</v>
      </c>
      <c r="J453" s="85"/>
      <c r="K453" s="196"/>
      <c r="L453" s="148">
        <v>2016</v>
      </c>
      <c r="M453" s="147" t="s">
        <v>1231</v>
      </c>
      <c r="N453" s="148">
        <v>25</v>
      </c>
      <c r="O453" s="311" t="s">
        <v>1234</v>
      </c>
      <c r="P453" s="148">
        <v>32</v>
      </c>
      <c r="Q453" s="311" t="s">
        <v>1235</v>
      </c>
      <c r="R453" s="608" t="s">
        <v>520</v>
      </c>
      <c r="S453" s="290" t="s">
        <v>1808</v>
      </c>
      <c r="T453" s="301">
        <v>1.126</v>
      </c>
      <c r="U453" s="927" t="s">
        <v>308</v>
      </c>
      <c r="V453" s="360" t="e">
        <f>VLOOKUP(A453,#REF!,10,FALSE)</f>
        <v>#REF!</v>
      </c>
    </row>
    <row r="454" spans="1:22" ht="27" customHeight="1">
      <c r="A454" s="721">
        <v>70335</v>
      </c>
      <c r="B454" s="1001">
        <v>76</v>
      </c>
      <c r="C454" s="689" t="s">
        <v>980</v>
      </c>
      <c r="D454" s="79" t="s">
        <v>1858</v>
      </c>
      <c r="E454" s="94" t="s">
        <v>974</v>
      </c>
      <c r="F454" s="510" t="s">
        <v>1682</v>
      </c>
      <c r="G454" s="511" t="s">
        <v>1218</v>
      </c>
      <c r="H454" s="169" t="s">
        <v>1320</v>
      </c>
      <c r="I454" s="1071" t="s">
        <v>1230</v>
      </c>
      <c r="J454" s="39"/>
      <c r="K454" s="196">
        <f>ROUND(90*(1-$G$4),2)</f>
        <v>87.3</v>
      </c>
      <c r="L454" s="334">
        <v>2015</v>
      </c>
      <c r="M454" s="147" t="s">
        <v>1231</v>
      </c>
      <c r="N454" s="261">
        <v>40</v>
      </c>
      <c r="O454" s="284" t="s">
        <v>1234</v>
      </c>
      <c r="P454" s="283">
        <v>32</v>
      </c>
      <c r="Q454" s="284" t="s">
        <v>1235</v>
      </c>
      <c r="R454" s="610" t="s">
        <v>158</v>
      </c>
      <c r="S454" s="87" t="s">
        <v>1808</v>
      </c>
      <c r="T454" s="288">
        <v>0.126</v>
      </c>
      <c r="U454" s="916" t="s">
        <v>308</v>
      </c>
      <c r="V454" s="360" t="e">
        <f>VLOOKUP(A454,#REF!,10,FALSE)</f>
        <v>#REF!</v>
      </c>
    </row>
    <row r="455" spans="1:22" ht="27" customHeight="1">
      <c r="A455" s="721">
        <v>70714</v>
      </c>
      <c r="B455" s="1001">
        <v>173</v>
      </c>
      <c r="C455" s="557" t="s">
        <v>981</v>
      </c>
      <c r="D455" s="79" t="s">
        <v>1858</v>
      </c>
      <c r="E455" s="158" t="s">
        <v>975</v>
      </c>
      <c r="F455" s="158" t="s">
        <v>982</v>
      </c>
      <c r="G455" s="488" t="s">
        <v>1218</v>
      </c>
      <c r="H455" s="169" t="s">
        <v>1320</v>
      </c>
      <c r="I455" s="1066" t="s">
        <v>1230</v>
      </c>
      <c r="J455" s="91"/>
      <c r="K455" s="196">
        <f>ROUND(90*(1-$G$4),2)</f>
        <v>87.3</v>
      </c>
      <c r="L455" s="334">
        <v>2014</v>
      </c>
      <c r="M455" s="147" t="s">
        <v>1231</v>
      </c>
      <c r="N455" s="148">
        <v>40</v>
      </c>
      <c r="O455" s="311" t="s">
        <v>1234</v>
      </c>
      <c r="P455" s="148">
        <v>32</v>
      </c>
      <c r="Q455" s="311" t="s">
        <v>1235</v>
      </c>
      <c r="R455" s="612" t="s">
        <v>157</v>
      </c>
      <c r="S455" s="239" t="s">
        <v>1808</v>
      </c>
      <c r="T455" s="301">
        <v>0.127</v>
      </c>
      <c r="U455" s="927" t="s">
        <v>308</v>
      </c>
      <c r="V455" s="360" t="e">
        <f>VLOOKUP(A455,#REF!,10,FALSE)</f>
        <v>#REF!</v>
      </c>
    </row>
    <row r="456" spans="1:22" ht="27" customHeight="1" thickBot="1">
      <c r="A456" s="887">
        <v>71625</v>
      </c>
      <c r="B456" s="1003">
        <v>94</v>
      </c>
      <c r="C456" s="726" t="s">
        <v>160</v>
      </c>
      <c r="D456" s="60" t="s">
        <v>1858</v>
      </c>
      <c r="E456" s="406" t="s">
        <v>161</v>
      </c>
      <c r="F456" s="406" t="s">
        <v>159</v>
      </c>
      <c r="G456" s="573"/>
      <c r="H456" s="237"/>
      <c r="I456" s="1059" t="s">
        <v>1230</v>
      </c>
      <c r="J456" s="138"/>
      <c r="K456" s="200">
        <f>ROUND(110*(1-$G$4),2)</f>
        <v>106.7</v>
      </c>
      <c r="L456" s="149">
        <v>2016</v>
      </c>
      <c r="M456" s="855" t="s">
        <v>1231</v>
      </c>
      <c r="N456" s="149">
        <v>25</v>
      </c>
      <c r="O456" s="244" t="s">
        <v>1234</v>
      </c>
      <c r="P456" s="149">
        <v>32</v>
      </c>
      <c r="Q456" s="244" t="s">
        <v>1235</v>
      </c>
      <c r="R456" s="687" t="s">
        <v>521</v>
      </c>
      <c r="S456" s="291" t="s">
        <v>1807</v>
      </c>
      <c r="T456" s="515">
        <v>0.13</v>
      </c>
      <c r="U456" s="918" t="s">
        <v>308</v>
      </c>
      <c r="V456" s="360" t="e">
        <f>VLOOKUP(A456,#REF!,10,FALSE)</f>
        <v>#REF!</v>
      </c>
    </row>
    <row r="457" spans="1:22" ht="21" thickBot="1">
      <c r="A457" s="1105" t="s">
        <v>1048</v>
      </c>
      <c r="B457" s="1039"/>
      <c r="C457" s="814"/>
      <c r="D457" s="68"/>
      <c r="E457" s="68"/>
      <c r="F457" s="68"/>
      <c r="G457" s="650"/>
      <c r="H457" s="69" t="s">
        <v>1229</v>
      </c>
      <c r="I457" s="69"/>
      <c r="J457" s="67"/>
      <c r="K457" s="208"/>
      <c r="L457" s="651"/>
      <c r="M457" s="866"/>
      <c r="N457" s="70"/>
      <c r="O457" s="71"/>
      <c r="P457" s="71"/>
      <c r="Q457" s="71"/>
      <c r="R457" s="70"/>
      <c r="S457" s="294"/>
      <c r="T457" s="305"/>
      <c r="U457" s="954"/>
      <c r="V457" s="360" t="e">
        <f>VLOOKUP(A457,#REF!,10,FALSE)</f>
        <v>#REF!</v>
      </c>
    </row>
    <row r="458" spans="1:22" ht="27" customHeight="1" thickBot="1">
      <c r="A458" s="103"/>
      <c r="B458" s="1020"/>
      <c r="C458" s="47" t="s">
        <v>1049</v>
      </c>
      <c r="D458" s="652"/>
      <c r="E458" s="160"/>
      <c r="F458" s="837"/>
      <c r="G458" s="653"/>
      <c r="H458" s="48"/>
      <c r="I458" s="1094"/>
      <c r="J458" s="49"/>
      <c r="K458" s="209"/>
      <c r="L458" s="336"/>
      <c r="M458" s="859"/>
      <c r="N458" s="654"/>
      <c r="O458" s="655"/>
      <c r="P458" s="655"/>
      <c r="Q458" s="655"/>
      <c r="R458" s="654"/>
      <c r="S458" s="431"/>
      <c r="T458" s="656"/>
      <c r="U458" s="955"/>
      <c r="V458" s="360" t="e">
        <f>VLOOKUP(A458,#REF!,10,FALSE)</f>
        <v>#REF!</v>
      </c>
    </row>
    <row r="459" spans="1:22" ht="27" customHeight="1">
      <c r="A459" s="815">
        <v>68934</v>
      </c>
      <c r="B459" s="1040">
        <v>667</v>
      </c>
      <c r="C459" s="816" t="s">
        <v>1053</v>
      </c>
      <c r="D459" s="657" t="s">
        <v>1050</v>
      </c>
      <c r="E459" s="658" t="s">
        <v>1051</v>
      </c>
      <c r="F459" s="817" t="s">
        <v>1699</v>
      </c>
      <c r="G459" s="659" t="s">
        <v>1218</v>
      </c>
      <c r="H459" s="254" t="s">
        <v>1052</v>
      </c>
      <c r="I459" s="1095"/>
      <c r="J459" s="127"/>
      <c r="K459" s="206">
        <f>ROUND(176.2*(1-$G$4),2)</f>
        <v>170.91</v>
      </c>
      <c r="L459" s="337">
        <v>2010</v>
      </c>
      <c r="M459" s="858" t="s">
        <v>1231</v>
      </c>
      <c r="N459" s="660">
        <v>20</v>
      </c>
      <c r="O459" s="661" t="s">
        <v>1375</v>
      </c>
      <c r="P459" s="662">
        <v>128</v>
      </c>
      <c r="Q459" s="663" t="s">
        <v>1010</v>
      </c>
      <c r="R459" s="664" t="s">
        <v>222</v>
      </c>
      <c r="S459" s="665" t="s">
        <v>1808</v>
      </c>
      <c r="T459" s="666">
        <v>0.202</v>
      </c>
      <c r="U459" s="915" t="s">
        <v>307</v>
      </c>
      <c r="V459" s="360" t="e">
        <f>VLOOKUP(A459,#REF!,10,FALSE)</f>
        <v>#REF!</v>
      </c>
    </row>
    <row r="460" spans="1:22" ht="27" customHeight="1">
      <c r="A460" s="716">
        <v>68935</v>
      </c>
      <c r="B460" s="999">
        <v>675</v>
      </c>
      <c r="C460" s="818" t="s">
        <v>1054</v>
      </c>
      <c r="D460" s="667" t="s">
        <v>1050</v>
      </c>
      <c r="E460" s="668" t="s">
        <v>1051</v>
      </c>
      <c r="F460" s="766" t="s">
        <v>1700</v>
      </c>
      <c r="G460" s="669" t="s">
        <v>1218</v>
      </c>
      <c r="H460" s="255" t="s">
        <v>1052</v>
      </c>
      <c r="I460" s="1096"/>
      <c r="J460" s="30"/>
      <c r="K460" s="210">
        <f>ROUND(187.5*(1-$G$4),2)</f>
        <v>181.88</v>
      </c>
      <c r="L460" s="334">
        <v>2010</v>
      </c>
      <c r="M460" s="846" t="s">
        <v>1231</v>
      </c>
      <c r="N460" s="259">
        <v>18</v>
      </c>
      <c r="O460" s="645" t="s">
        <v>1375</v>
      </c>
      <c r="P460" s="393">
        <v>168</v>
      </c>
      <c r="Q460" s="440" t="s">
        <v>1010</v>
      </c>
      <c r="R460" s="325" t="s">
        <v>223</v>
      </c>
      <c r="S460" s="670" t="s">
        <v>1808</v>
      </c>
      <c r="T460" s="302">
        <v>0.227</v>
      </c>
      <c r="U460" s="931" t="s">
        <v>307</v>
      </c>
      <c r="V460" s="360" t="e">
        <f>VLOOKUP(A460,#REF!,10,FALSE)</f>
        <v>#REF!</v>
      </c>
    </row>
    <row r="461" spans="1:22" ht="27" customHeight="1">
      <c r="A461" s="819">
        <v>68928</v>
      </c>
      <c r="B461" s="1041"/>
      <c r="C461" s="731" t="s">
        <v>1055</v>
      </c>
      <c r="D461" s="79" t="s">
        <v>1050</v>
      </c>
      <c r="E461" s="94" t="s">
        <v>1051</v>
      </c>
      <c r="F461" s="691" t="s">
        <v>1701</v>
      </c>
      <c r="G461" s="518" t="s">
        <v>1218</v>
      </c>
      <c r="H461" s="256" t="s">
        <v>1052</v>
      </c>
      <c r="I461" s="1071"/>
      <c r="J461" s="12"/>
      <c r="K461" s="196">
        <f>ROUND(176.2*(1-$G$4),2)</f>
        <v>170.91</v>
      </c>
      <c r="L461" s="334">
        <v>2010</v>
      </c>
      <c r="M461" s="147" t="s">
        <v>1231</v>
      </c>
      <c r="N461" s="261">
        <v>20</v>
      </c>
      <c r="O461" s="284" t="s">
        <v>1375</v>
      </c>
      <c r="P461" s="283">
        <v>168</v>
      </c>
      <c r="Q461" s="310" t="s">
        <v>1010</v>
      </c>
      <c r="R461" s="321" t="s">
        <v>221</v>
      </c>
      <c r="S461" s="87" t="s">
        <v>1808</v>
      </c>
      <c r="T461" s="288">
        <v>0.221</v>
      </c>
      <c r="U461" s="916" t="s">
        <v>307</v>
      </c>
      <c r="V461" s="360" t="e">
        <f>VLOOKUP(A461,#REF!,10,FALSE)</f>
        <v>#REF!</v>
      </c>
    </row>
    <row r="462" spans="1:22" ht="27" customHeight="1">
      <c r="A462" s="819">
        <v>69232</v>
      </c>
      <c r="B462" s="1041">
        <v>776</v>
      </c>
      <c r="C462" s="731" t="s">
        <v>1056</v>
      </c>
      <c r="D462" s="79" t="s">
        <v>1050</v>
      </c>
      <c r="E462" s="94" t="s">
        <v>1051</v>
      </c>
      <c r="F462" s="691" t="s">
        <v>1702</v>
      </c>
      <c r="G462" s="518" t="s">
        <v>1218</v>
      </c>
      <c r="H462" s="256" t="s">
        <v>1052</v>
      </c>
      <c r="I462" s="1071"/>
      <c r="J462" s="12"/>
      <c r="K462" s="196">
        <f>ROUND(176.2*(1-$G$4),2)</f>
        <v>170.91</v>
      </c>
      <c r="L462" s="334">
        <v>2011</v>
      </c>
      <c r="M462" s="147" t="s">
        <v>1231</v>
      </c>
      <c r="N462" s="261">
        <v>18</v>
      </c>
      <c r="O462" s="284" t="s">
        <v>1375</v>
      </c>
      <c r="P462" s="283">
        <v>168</v>
      </c>
      <c r="Q462" s="310" t="s">
        <v>1010</v>
      </c>
      <c r="R462" s="321" t="s">
        <v>224</v>
      </c>
      <c r="S462" s="87" t="s">
        <v>1808</v>
      </c>
      <c r="T462" s="288">
        <v>0.252</v>
      </c>
      <c r="U462" s="916" t="s">
        <v>307</v>
      </c>
      <c r="V462" s="360" t="e">
        <f>VLOOKUP(A462,#REF!,10,FALSE)</f>
        <v>#REF!</v>
      </c>
    </row>
    <row r="463" spans="1:22" ht="27" customHeight="1">
      <c r="A463" s="819">
        <v>69231</v>
      </c>
      <c r="B463" s="1041">
        <v>738</v>
      </c>
      <c r="C463" s="731" t="s">
        <v>226</v>
      </c>
      <c r="D463" s="79" t="s">
        <v>1050</v>
      </c>
      <c r="E463" s="94" t="s">
        <v>397</v>
      </c>
      <c r="F463" s="691" t="s">
        <v>225</v>
      </c>
      <c r="G463" s="518"/>
      <c r="H463" s="256" t="s">
        <v>1052</v>
      </c>
      <c r="I463" s="1071"/>
      <c r="J463" s="12"/>
      <c r="K463" s="196">
        <f>ROUND(176.2*(1-$G$4),2)</f>
        <v>170.91</v>
      </c>
      <c r="L463" s="334">
        <v>2011</v>
      </c>
      <c r="M463" s="147" t="s">
        <v>1231</v>
      </c>
      <c r="N463" s="261">
        <v>18</v>
      </c>
      <c r="O463" s="284" t="s">
        <v>1375</v>
      </c>
      <c r="P463" s="283">
        <v>168</v>
      </c>
      <c r="Q463" s="310" t="s">
        <v>1010</v>
      </c>
      <c r="R463" s="321">
        <v>9785947768183</v>
      </c>
      <c r="S463" s="87" t="s">
        <v>1808</v>
      </c>
      <c r="T463" s="288">
        <v>1.252</v>
      </c>
      <c r="U463" s="916" t="s">
        <v>307</v>
      </c>
      <c r="V463" s="360" t="e">
        <f>VLOOKUP(A463,#REF!,10,FALSE)</f>
        <v>#REF!</v>
      </c>
    </row>
    <row r="464" spans="1:22" ht="27" customHeight="1">
      <c r="A464" s="724">
        <v>71160</v>
      </c>
      <c r="B464" s="1002">
        <v>377</v>
      </c>
      <c r="C464" s="731" t="s">
        <v>1788</v>
      </c>
      <c r="D464" s="79" t="s">
        <v>1057</v>
      </c>
      <c r="E464" s="94" t="s">
        <v>1058</v>
      </c>
      <c r="F464" s="691" t="s">
        <v>1785</v>
      </c>
      <c r="G464" s="522" t="s">
        <v>1218</v>
      </c>
      <c r="H464" s="256" t="s">
        <v>1052</v>
      </c>
      <c r="I464" s="1071"/>
      <c r="J464" s="12"/>
      <c r="K464" s="196">
        <f>ROUND(349.8*(1-$G$4),2)</f>
        <v>339.31</v>
      </c>
      <c r="L464" s="334">
        <v>2015</v>
      </c>
      <c r="M464" s="147" t="s">
        <v>1231</v>
      </c>
      <c r="N464" s="261">
        <v>20</v>
      </c>
      <c r="O464" s="284" t="s">
        <v>1375</v>
      </c>
      <c r="P464" s="283">
        <v>128</v>
      </c>
      <c r="Q464" s="310" t="s">
        <v>1010</v>
      </c>
      <c r="R464" s="321" t="s">
        <v>228</v>
      </c>
      <c r="S464" s="87" t="s">
        <v>1808</v>
      </c>
      <c r="T464" s="288">
        <v>0.195</v>
      </c>
      <c r="U464" s="916" t="s">
        <v>307</v>
      </c>
      <c r="V464" s="360" t="e">
        <f>VLOOKUP(A464,#REF!,10,FALSE)</f>
        <v>#REF!</v>
      </c>
    </row>
    <row r="465" spans="1:22" ht="27" customHeight="1">
      <c r="A465" s="724">
        <v>71553</v>
      </c>
      <c r="B465" s="1002">
        <v>399</v>
      </c>
      <c r="C465" s="731" t="s">
        <v>1789</v>
      </c>
      <c r="D465" s="79" t="s">
        <v>1057</v>
      </c>
      <c r="E465" s="94" t="s">
        <v>1058</v>
      </c>
      <c r="F465" s="691" t="s">
        <v>1786</v>
      </c>
      <c r="G465" s="522" t="s">
        <v>1218</v>
      </c>
      <c r="H465" s="256" t="s">
        <v>1052</v>
      </c>
      <c r="I465" s="1071"/>
      <c r="J465" s="12"/>
      <c r="K465" s="196">
        <f>ROUND(349.8*(1-$G$4),2)</f>
        <v>339.31</v>
      </c>
      <c r="L465" s="334">
        <v>2016</v>
      </c>
      <c r="M465" s="147" t="s">
        <v>1231</v>
      </c>
      <c r="N465" s="261">
        <v>20</v>
      </c>
      <c r="O465" s="284" t="s">
        <v>1375</v>
      </c>
      <c r="P465" s="283">
        <v>144</v>
      </c>
      <c r="Q465" s="310" t="s">
        <v>1010</v>
      </c>
      <c r="R465" s="321" t="s">
        <v>230</v>
      </c>
      <c r="S465" s="87" t="s">
        <v>1808</v>
      </c>
      <c r="T465" s="288">
        <v>0.215</v>
      </c>
      <c r="U465" s="916" t="s">
        <v>307</v>
      </c>
      <c r="V465" s="360" t="e">
        <f>VLOOKUP(A465,#REF!,10,FALSE)</f>
        <v>#REF!</v>
      </c>
    </row>
    <row r="466" spans="1:22" ht="27" customHeight="1">
      <c r="A466" s="724">
        <v>71499</v>
      </c>
      <c r="B466" s="1002">
        <v>361</v>
      </c>
      <c r="C466" s="731" t="s">
        <v>232</v>
      </c>
      <c r="D466" s="79" t="s">
        <v>1057</v>
      </c>
      <c r="E466" s="94" t="s">
        <v>1058</v>
      </c>
      <c r="F466" s="691" t="s">
        <v>234</v>
      </c>
      <c r="G466" s="522"/>
      <c r="H466" s="177" t="s">
        <v>1052</v>
      </c>
      <c r="I466" s="1071"/>
      <c r="J466" s="12"/>
      <c r="K466" s="196">
        <f>ROUND(349.8*(1-$G$4),2)</f>
        <v>339.31</v>
      </c>
      <c r="L466" s="334">
        <v>2016</v>
      </c>
      <c r="M466" s="147" t="s">
        <v>1231</v>
      </c>
      <c r="N466" s="261">
        <v>20</v>
      </c>
      <c r="O466" s="284" t="s">
        <v>1375</v>
      </c>
      <c r="P466" s="283">
        <v>144</v>
      </c>
      <c r="Q466" s="310" t="s">
        <v>1010</v>
      </c>
      <c r="R466" s="321" t="s">
        <v>233</v>
      </c>
      <c r="S466" s="87" t="s">
        <v>1808</v>
      </c>
      <c r="T466" s="288">
        <v>0.25</v>
      </c>
      <c r="U466" s="916" t="s">
        <v>307</v>
      </c>
      <c r="V466" s="360" t="e">
        <f>VLOOKUP(A466,#REF!,10,FALSE)</f>
        <v>#REF!</v>
      </c>
    </row>
    <row r="467" spans="1:22" ht="27" customHeight="1">
      <c r="A467" s="724">
        <v>71163</v>
      </c>
      <c r="B467" s="1002">
        <v>383</v>
      </c>
      <c r="C467" s="731" t="s">
        <v>1790</v>
      </c>
      <c r="D467" s="79" t="s">
        <v>1057</v>
      </c>
      <c r="E467" s="94" t="s">
        <v>1058</v>
      </c>
      <c r="F467" s="691" t="s">
        <v>1787</v>
      </c>
      <c r="G467" s="522" t="s">
        <v>1218</v>
      </c>
      <c r="H467" s="256" t="s">
        <v>1052</v>
      </c>
      <c r="I467" s="1071"/>
      <c r="J467" s="12"/>
      <c r="K467" s="196">
        <f>ROUND(349.8*(1-$G$4),2)</f>
        <v>339.31</v>
      </c>
      <c r="L467" s="334">
        <v>2015</v>
      </c>
      <c r="M467" s="147" t="s">
        <v>1231</v>
      </c>
      <c r="N467" s="261">
        <v>20</v>
      </c>
      <c r="O467" s="284" t="s">
        <v>1375</v>
      </c>
      <c r="P467" s="283">
        <v>144</v>
      </c>
      <c r="Q467" s="310" t="s">
        <v>1010</v>
      </c>
      <c r="R467" s="321" t="s">
        <v>236</v>
      </c>
      <c r="S467" s="87" t="s">
        <v>1808</v>
      </c>
      <c r="T467" s="288">
        <v>0.242</v>
      </c>
      <c r="U467" s="916" t="s">
        <v>307</v>
      </c>
      <c r="V467" s="360" t="e">
        <f>VLOOKUP(A467,#REF!,10,FALSE)</f>
        <v>#REF!</v>
      </c>
    </row>
    <row r="468" spans="1:22" ht="27" customHeight="1">
      <c r="A468" s="724">
        <v>71159</v>
      </c>
      <c r="B468" s="1002">
        <v>461</v>
      </c>
      <c r="C468" s="731" t="s">
        <v>1060</v>
      </c>
      <c r="D468" s="79" t="s">
        <v>1057</v>
      </c>
      <c r="E468" s="94" t="s">
        <v>1058</v>
      </c>
      <c r="F468" s="94" t="s">
        <v>1784</v>
      </c>
      <c r="G468" s="673" t="s">
        <v>1218</v>
      </c>
      <c r="H468" s="256" t="s">
        <v>1052</v>
      </c>
      <c r="I468" s="1071"/>
      <c r="J468" s="12"/>
      <c r="K468" s="196">
        <f>ROUND(251.6*(1-$G$4),2)</f>
        <v>244.05</v>
      </c>
      <c r="L468" s="334">
        <v>2015</v>
      </c>
      <c r="M468" s="147" t="s">
        <v>1231</v>
      </c>
      <c r="N468" s="261">
        <v>24</v>
      </c>
      <c r="O468" s="284" t="s">
        <v>1255</v>
      </c>
      <c r="P468" s="283">
        <v>80</v>
      </c>
      <c r="Q468" s="310" t="s">
        <v>1235</v>
      </c>
      <c r="R468" s="321" t="s">
        <v>227</v>
      </c>
      <c r="S468" s="87" t="s">
        <v>1808</v>
      </c>
      <c r="T468" s="288">
        <v>0.214</v>
      </c>
      <c r="U468" s="916" t="s">
        <v>307</v>
      </c>
      <c r="V468" s="360" t="e">
        <f>VLOOKUP(A468,#REF!,10,FALSE)</f>
        <v>#REF!</v>
      </c>
    </row>
    <row r="469" spans="1:22" ht="27" customHeight="1">
      <c r="A469" s="820">
        <v>71197</v>
      </c>
      <c r="B469" s="1042">
        <v>744</v>
      </c>
      <c r="C469" s="731" t="s">
        <v>1061</v>
      </c>
      <c r="D469" s="79" t="s">
        <v>1057</v>
      </c>
      <c r="E469" s="94" t="s">
        <v>1058</v>
      </c>
      <c r="F469" s="94" t="s">
        <v>1703</v>
      </c>
      <c r="G469" s="518" t="s">
        <v>1218</v>
      </c>
      <c r="H469" s="256" t="s">
        <v>1052</v>
      </c>
      <c r="I469" s="1071"/>
      <c r="J469" s="12"/>
      <c r="K469" s="196">
        <f>ROUND(372.1*(1-$G$4),2)</f>
        <v>360.94</v>
      </c>
      <c r="L469" s="334">
        <v>2015</v>
      </c>
      <c r="M469" s="147" t="s">
        <v>1231</v>
      </c>
      <c r="N469" s="261">
        <v>10</v>
      </c>
      <c r="O469" s="284" t="s">
        <v>1255</v>
      </c>
      <c r="P469" s="283">
        <v>192</v>
      </c>
      <c r="Q469" s="310" t="s">
        <v>1235</v>
      </c>
      <c r="R469" s="321" t="s">
        <v>229</v>
      </c>
      <c r="S469" s="87" t="s">
        <v>1808</v>
      </c>
      <c r="T469" s="288">
        <v>0.51</v>
      </c>
      <c r="U469" s="916" t="s">
        <v>307</v>
      </c>
      <c r="V469" s="360" t="e">
        <f>VLOOKUP(A469,#REF!,10,FALSE)</f>
        <v>#REF!</v>
      </c>
    </row>
    <row r="470" spans="1:22" ht="27" customHeight="1">
      <c r="A470" s="724">
        <v>70813</v>
      </c>
      <c r="B470" s="1002">
        <v>633</v>
      </c>
      <c r="C470" s="731" t="s">
        <v>1062</v>
      </c>
      <c r="D470" s="79" t="s">
        <v>1057</v>
      </c>
      <c r="E470" s="94" t="s">
        <v>1058</v>
      </c>
      <c r="F470" s="94" t="s">
        <v>1704</v>
      </c>
      <c r="G470" s="518" t="s">
        <v>1218</v>
      </c>
      <c r="H470" s="256" t="s">
        <v>1052</v>
      </c>
      <c r="I470" s="1071"/>
      <c r="J470" s="12"/>
      <c r="K470" s="196">
        <f>ROUND(350.7*(1-$G$4),2)</f>
        <v>340.18</v>
      </c>
      <c r="L470" s="334">
        <v>2014</v>
      </c>
      <c r="M470" s="147" t="s">
        <v>1231</v>
      </c>
      <c r="N470" s="261">
        <v>12</v>
      </c>
      <c r="O470" s="284" t="s">
        <v>1255</v>
      </c>
      <c r="P470" s="283">
        <v>176</v>
      </c>
      <c r="Q470" s="310" t="s">
        <v>1235</v>
      </c>
      <c r="R470" s="321" t="s">
        <v>231</v>
      </c>
      <c r="S470" s="87" t="s">
        <v>1808</v>
      </c>
      <c r="T470" s="288">
        <v>0.404</v>
      </c>
      <c r="U470" s="916" t="s">
        <v>307</v>
      </c>
      <c r="V470" s="360" t="e">
        <f>VLOOKUP(A470,#REF!,10,FALSE)</f>
        <v>#REF!</v>
      </c>
    </row>
    <row r="471" spans="1:22" ht="27" customHeight="1" thickBot="1">
      <c r="A471" s="771">
        <v>70693</v>
      </c>
      <c r="B471" s="1021">
        <v>669</v>
      </c>
      <c r="C471" s="821" t="s">
        <v>1063</v>
      </c>
      <c r="D471" s="60" t="s">
        <v>1057</v>
      </c>
      <c r="E471" s="633" t="s">
        <v>1058</v>
      </c>
      <c r="F471" s="633" t="s">
        <v>1864</v>
      </c>
      <c r="G471" s="634" t="s">
        <v>1218</v>
      </c>
      <c r="H471" s="371" t="s">
        <v>1052</v>
      </c>
      <c r="I471" s="1072"/>
      <c r="J471" s="22"/>
      <c r="K471" s="200">
        <f>ROUND(400.1*(1-$G$4),2)</f>
        <v>388.1</v>
      </c>
      <c r="L471" s="335">
        <v>2014</v>
      </c>
      <c r="M471" s="855" t="s">
        <v>1231</v>
      </c>
      <c r="N471" s="338">
        <v>10</v>
      </c>
      <c r="O471" s="289" t="s">
        <v>1255</v>
      </c>
      <c r="P471" s="454">
        <v>256</v>
      </c>
      <c r="Q471" s="601" t="s">
        <v>1235</v>
      </c>
      <c r="R471" s="513" t="s">
        <v>235</v>
      </c>
      <c r="S471" s="429" t="s">
        <v>1808</v>
      </c>
      <c r="T471" s="515">
        <v>0.566</v>
      </c>
      <c r="U471" s="918" t="s">
        <v>307</v>
      </c>
      <c r="V471" s="360" t="e">
        <f>VLOOKUP(A471,#REF!,10,FALSE)</f>
        <v>#REF!</v>
      </c>
    </row>
    <row r="472" spans="1:22" ht="27" customHeight="1" thickBot="1">
      <c r="A472" s="103"/>
      <c r="B472" s="1020"/>
      <c r="C472" s="47" t="s">
        <v>1064</v>
      </c>
      <c r="D472" s="652"/>
      <c r="E472" s="160"/>
      <c r="F472" s="837"/>
      <c r="G472" s="653"/>
      <c r="H472" s="48"/>
      <c r="I472" s="1094"/>
      <c r="J472" s="49"/>
      <c r="K472" s="209"/>
      <c r="L472" s="336"/>
      <c r="M472" s="859"/>
      <c r="N472" s="654"/>
      <c r="O472" s="655"/>
      <c r="P472" s="655"/>
      <c r="Q472" s="655"/>
      <c r="R472" s="654"/>
      <c r="S472" s="431"/>
      <c r="T472" s="656"/>
      <c r="U472" s="955"/>
      <c r="V472" s="360" t="e">
        <f>VLOOKUP(A472,#REF!,10,FALSE)</f>
        <v>#REF!</v>
      </c>
    </row>
    <row r="473" spans="1:22" s="96" customFormat="1" ht="27" customHeight="1">
      <c r="A473" s="747">
        <v>71700</v>
      </c>
      <c r="B473" s="1011">
        <v>32</v>
      </c>
      <c r="C473" s="1440" t="s">
        <v>365</v>
      </c>
      <c r="D473" s="78" t="s">
        <v>1065</v>
      </c>
      <c r="E473" s="457" t="s">
        <v>1826</v>
      </c>
      <c r="F473" s="457" t="s">
        <v>1505</v>
      </c>
      <c r="G473" s="437"/>
      <c r="H473" s="1049" t="s">
        <v>1799</v>
      </c>
      <c r="I473" s="1080"/>
      <c r="J473" s="238"/>
      <c r="K473" s="207"/>
      <c r="L473" s="337">
        <v>2016</v>
      </c>
      <c r="M473" s="145" t="s">
        <v>1231</v>
      </c>
      <c r="N473" s="146">
        <v>6</v>
      </c>
      <c r="O473" s="316" t="s">
        <v>1249</v>
      </c>
      <c r="P473" s="146">
        <v>816</v>
      </c>
      <c r="Q473" s="472">
        <v>7</v>
      </c>
      <c r="R473" s="559">
        <v>9785947769692</v>
      </c>
      <c r="S473" s="295" t="s">
        <v>1808</v>
      </c>
      <c r="T473" s="303">
        <v>0.684</v>
      </c>
      <c r="U473" s="932" t="s">
        <v>307</v>
      </c>
      <c r="V473" s="360" t="e">
        <f>VLOOKUP(A473,#REF!,10,FALSE)</f>
        <v>#REF!</v>
      </c>
    </row>
    <row r="474" spans="1:22" ht="27" customHeight="1">
      <c r="A474" s="721">
        <v>71699</v>
      </c>
      <c r="B474" s="1001">
        <v>45</v>
      </c>
      <c r="C474" s="1441" t="s">
        <v>1879</v>
      </c>
      <c r="D474" s="79" t="s">
        <v>1065</v>
      </c>
      <c r="E474" s="158" t="s">
        <v>1066</v>
      </c>
      <c r="F474" s="158" t="s">
        <v>1705</v>
      </c>
      <c r="G474" s="629" t="s">
        <v>1218</v>
      </c>
      <c r="H474" s="167" t="s">
        <v>1799</v>
      </c>
      <c r="I474" s="863"/>
      <c r="J474" s="35"/>
      <c r="K474" s="201"/>
      <c r="L474" s="334">
        <v>2016</v>
      </c>
      <c r="M474" s="147" t="s">
        <v>1231</v>
      </c>
      <c r="N474" s="148">
        <v>6</v>
      </c>
      <c r="O474" s="272" t="s">
        <v>1249</v>
      </c>
      <c r="P474" s="311">
        <v>848</v>
      </c>
      <c r="Q474" s="272" t="s">
        <v>1232</v>
      </c>
      <c r="R474" s="608" t="s">
        <v>257</v>
      </c>
      <c r="S474" s="88" t="s">
        <v>1807</v>
      </c>
      <c r="T474" s="301">
        <v>0.675</v>
      </c>
      <c r="U474" s="927" t="s">
        <v>307</v>
      </c>
      <c r="V474" s="360" t="e">
        <f>VLOOKUP(A474,#REF!,10,FALSE)</f>
        <v>#REF!</v>
      </c>
    </row>
    <row r="475" spans="1:22" ht="27" customHeight="1">
      <c r="A475" s="721">
        <v>71421</v>
      </c>
      <c r="B475" s="1001">
        <v>198</v>
      </c>
      <c r="C475" s="1441" t="s">
        <v>1067</v>
      </c>
      <c r="D475" s="79" t="s">
        <v>1065</v>
      </c>
      <c r="E475" s="158" t="s">
        <v>1068</v>
      </c>
      <c r="F475" s="158" t="s">
        <v>1706</v>
      </c>
      <c r="G475" s="550" t="s">
        <v>1218</v>
      </c>
      <c r="H475" s="229"/>
      <c r="I475" s="1066"/>
      <c r="J475" s="91"/>
      <c r="K475" s="201">
        <f>ROUND(300*(1-$G$4),2)</f>
        <v>291</v>
      </c>
      <c r="L475" s="334">
        <v>2016</v>
      </c>
      <c r="M475" s="465">
        <v>0.1</v>
      </c>
      <c r="N475" s="148">
        <v>6</v>
      </c>
      <c r="O475" s="311" t="s">
        <v>1249</v>
      </c>
      <c r="P475" s="311">
        <v>464</v>
      </c>
      <c r="Q475" s="311" t="s">
        <v>1232</v>
      </c>
      <c r="R475" s="608" t="s">
        <v>258</v>
      </c>
      <c r="S475" s="239" t="s">
        <v>1807</v>
      </c>
      <c r="T475" s="301">
        <v>0.45</v>
      </c>
      <c r="U475" s="927" t="s">
        <v>307</v>
      </c>
      <c r="V475" s="360" t="e">
        <f>VLOOKUP(A475,#REF!,10,FALSE)</f>
        <v>#REF!</v>
      </c>
    </row>
    <row r="476" spans="1:22" ht="27" customHeight="1">
      <c r="A476" s="721">
        <v>71294</v>
      </c>
      <c r="B476" s="1001">
        <v>274</v>
      </c>
      <c r="C476" s="1441" t="s">
        <v>1945</v>
      </c>
      <c r="D476" s="79" t="s">
        <v>1065</v>
      </c>
      <c r="E476" s="158" t="s">
        <v>1947</v>
      </c>
      <c r="F476" s="158" t="s">
        <v>1944</v>
      </c>
      <c r="G476" s="397"/>
      <c r="H476" s="229"/>
      <c r="I476" s="863"/>
      <c r="J476" s="85"/>
      <c r="K476" s="201">
        <f>ROUND(375*(1-$G$4),2)</f>
        <v>363.75</v>
      </c>
      <c r="L476" s="334">
        <v>2015</v>
      </c>
      <c r="M476" s="465">
        <v>0.1</v>
      </c>
      <c r="N476" s="148">
        <v>10</v>
      </c>
      <c r="O476" s="311" t="s">
        <v>1249</v>
      </c>
      <c r="P476" s="148">
        <v>480</v>
      </c>
      <c r="Q476" s="313" t="s">
        <v>1232</v>
      </c>
      <c r="R476" s="612" t="s">
        <v>1946</v>
      </c>
      <c r="S476" s="239" t="s">
        <v>1807</v>
      </c>
      <c r="T476" s="301">
        <v>0.42</v>
      </c>
      <c r="U476" s="927" t="s">
        <v>307</v>
      </c>
      <c r="V476" s="360" t="e">
        <f>VLOOKUP(A476,#REF!,10,FALSE)</f>
        <v>#REF!</v>
      </c>
    </row>
    <row r="477" spans="1:22" ht="27" customHeight="1">
      <c r="A477" s="721">
        <v>71420</v>
      </c>
      <c r="B477" s="1001">
        <v>141</v>
      </c>
      <c r="C477" s="1441" t="s">
        <v>1069</v>
      </c>
      <c r="D477" s="79" t="s">
        <v>1065</v>
      </c>
      <c r="E477" s="158" t="s">
        <v>1043</v>
      </c>
      <c r="F477" s="158" t="s">
        <v>1707</v>
      </c>
      <c r="G477" s="550" t="s">
        <v>1218</v>
      </c>
      <c r="H477" s="167" t="s">
        <v>1799</v>
      </c>
      <c r="I477" s="1066"/>
      <c r="J477" s="91"/>
      <c r="K477" s="201"/>
      <c r="L477" s="334">
        <v>2016</v>
      </c>
      <c r="M477" s="147" t="s">
        <v>1231</v>
      </c>
      <c r="N477" s="148">
        <v>10</v>
      </c>
      <c r="O477" s="311" t="s">
        <v>1249</v>
      </c>
      <c r="P477" s="148">
        <v>528</v>
      </c>
      <c r="Q477" s="313" t="s">
        <v>1232</v>
      </c>
      <c r="R477" s="608" t="s">
        <v>259</v>
      </c>
      <c r="S477" s="239" t="s">
        <v>1807</v>
      </c>
      <c r="T477" s="301">
        <v>0.485</v>
      </c>
      <c r="U477" s="927" t="s">
        <v>307</v>
      </c>
      <c r="V477" s="360" t="e">
        <f>VLOOKUP(A477,#REF!,10,FALSE)</f>
        <v>#REF!</v>
      </c>
    </row>
    <row r="478" spans="1:22" ht="27" customHeight="1" thickBot="1">
      <c r="A478" s="725">
        <v>70033</v>
      </c>
      <c r="B478" s="1003">
        <v>115</v>
      </c>
      <c r="C478" s="1442" t="s">
        <v>1070</v>
      </c>
      <c r="D478" s="60" t="s">
        <v>1065</v>
      </c>
      <c r="E478" s="406" t="s">
        <v>1948</v>
      </c>
      <c r="F478" s="406" t="s">
        <v>1708</v>
      </c>
      <c r="G478" s="573"/>
      <c r="H478" s="237" t="s">
        <v>1799</v>
      </c>
      <c r="I478" s="1081"/>
      <c r="J478" s="138"/>
      <c r="K478" s="202"/>
      <c r="L478" s="149">
        <v>2016</v>
      </c>
      <c r="M478" s="855" t="s">
        <v>1231</v>
      </c>
      <c r="N478" s="149">
        <v>10</v>
      </c>
      <c r="O478" s="244" t="s">
        <v>1249</v>
      </c>
      <c r="P478" s="149">
        <v>576</v>
      </c>
      <c r="Q478" s="314" t="s">
        <v>1232</v>
      </c>
      <c r="R478" s="687" t="s">
        <v>198</v>
      </c>
      <c r="S478" s="491" t="s">
        <v>1807</v>
      </c>
      <c r="T478" s="455">
        <v>0.46</v>
      </c>
      <c r="U478" s="928" t="s">
        <v>307</v>
      </c>
      <c r="V478" s="360" t="e">
        <f>VLOOKUP(A478,#REF!,10,FALSE)</f>
        <v>#REF!</v>
      </c>
    </row>
    <row r="479" spans="1:22" ht="27" customHeight="1">
      <c r="A479" s="768">
        <v>70003</v>
      </c>
      <c r="B479" s="1019">
        <v>615</v>
      </c>
      <c r="C479" s="735" t="s">
        <v>1071</v>
      </c>
      <c r="D479" s="164" t="s">
        <v>1072</v>
      </c>
      <c r="E479" s="674" t="s">
        <v>1073</v>
      </c>
      <c r="F479" s="674" t="s">
        <v>1782</v>
      </c>
      <c r="G479" s="675" t="s">
        <v>1218</v>
      </c>
      <c r="H479" s="42"/>
      <c r="I479" s="1070"/>
      <c r="J479" s="43"/>
      <c r="K479" s="198">
        <f>ROUND(75*(1-$G$4),2)</f>
        <v>72.75</v>
      </c>
      <c r="L479" s="844">
        <v>2012</v>
      </c>
      <c r="M479" s="844" t="s">
        <v>1231</v>
      </c>
      <c r="N479" s="504">
        <v>50</v>
      </c>
      <c r="O479" s="422" t="s">
        <v>1233</v>
      </c>
      <c r="P479" s="505">
        <v>32</v>
      </c>
      <c r="Q479" s="676" t="s">
        <v>1235</v>
      </c>
      <c r="R479" s="507" t="s">
        <v>216</v>
      </c>
      <c r="S479" s="418" t="s">
        <v>1808</v>
      </c>
      <c r="T479" s="509">
        <v>0.217</v>
      </c>
      <c r="U479" s="956" t="s">
        <v>307</v>
      </c>
      <c r="V479" s="360" t="e">
        <f>VLOOKUP(A479,#REF!,10,FALSE)</f>
        <v>#REF!</v>
      </c>
    </row>
    <row r="480" spans="1:22" ht="27" customHeight="1">
      <c r="A480" s="724">
        <v>70169</v>
      </c>
      <c r="B480" s="1002">
        <v>498</v>
      </c>
      <c r="C480" s="557" t="s">
        <v>1074</v>
      </c>
      <c r="D480" s="79" t="s">
        <v>1072</v>
      </c>
      <c r="E480" s="94" t="s">
        <v>1073</v>
      </c>
      <c r="F480" s="158" t="s">
        <v>1780</v>
      </c>
      <c r="G480" s="629" t="s">
        <v>1218</v>
      </c>
      <c r="H480" s="17"/>
      <c r="I480" s="1071"/>
      <c r="J480" s="12"/>
      <c r="K480" s="196">
        <f>ROUND(187.5*(1-$G$4),2)</f>
        <v>181.88</v>
      </c>
      <c r="L480" s="147">
        <v>2013</v>
      </c>
      <c r="M480" s="147" t="s">
        <v>1231</v>
      </c>
      <c r="N480" s="261">
        <v>20</v>
      </c>
      <c r="O480" s="284" t="s">
        <v>1233</v>
      </c>
      <c r="P480" s="283">
        <v>112</v>
      </c>
      <c r="Q480" s="310" t="s">
        <v>1235</v>
      </c>
      <c r="R480" s="321" t="s">
        <v>215</v>
      </c>
      <c r="S480" s="87" t="s">
        <v>1808</v>
      </c>
      <c r="T480" s="288">
        <v>0.2</v>
      </c>
      <c r="U480" s="916" t="s">
        <v>307</v>
      </c>
      <c r="V480" s="360" t="e">
        <f>VLOOKUP(A480,#REF!,10,FALSE)</f>
        <v>#REF!</v>
      </c>
    </row>
    <row r="481" spans="1:22" ht="27" customHeight="1">
      <c r="A481" s="721">
        <v>70801</v>
      </c>
      <c r="B481" s="1001">
        <v>539</v>
      </c>
      <c r="C481" s="557" t="s">
        <v>1075</v>
      </c>
      <c r="D481" s="79" t="s">
        <v>1072</v>
      </c>
      <c r="E481" s="158" t="s">
        <v>1076</v>
      </c>
      <c r="F481" s="158" t="s">
        <v>1779</v>
      </c>
      <c r="G481" s="40"/>
      <c r="H481" s="175" t="s">
        <v>1320</v>
      </c>
      <c r="I481" s="1066"/>
      <c r="J481" s="91"/>
      <c r="K481" s="196">
        <f>ROUND(348.7*(1-$G$4),2)</f>
        <v>338.24</v>
      </c>
      <c r="L481" s="148">
        <v>2014</v>
      </c>
      <c r="M481" s="147" t="s">
        <v>1231</v>
      </c>
      <c r="N481" s="148">
        <v>8</v>
      </c>
      <c r="O481" s="311" t="s">
        <v>1233</v>
      </c>
      <c r="P481" s="148">
        <v>192</v>
      </c>
      <c r="Q481" s="677">
        <v>7</v>
      </c>
      <c r="R481" s="322" t="s">
        <v>217</v>
      </c>
      <c r="S481" s="239" t="s">
        <v>1808</v>
      </c>
      <c r="T481" s="301">
        <v>0.35</v>
      </c>
      <c r="U481" s="927" t="s">
        <v>307</v>
      </c>
      <c r="V481" s="360" t="e">
        <f>VLOOKUP(A481,#REF!,10,FALSE)</f>
        <v>#REF!</v>
      </c>
    </row>
    <row r="482" spans="1:22" ht="27" customHeight="1">
      <c r="A482" s="721">
        <v>70148</v>
      </c>
      <c r="B482" s="1001">
        <v>660</v>
      </c>
      <c r="C482" s="774" t="s">
        <v>1077</v>
      </c>
      <c r="D482" s="79" t="s">
        <v>1072</v>
      </c>
      <c r="E482" s="116" t="s">
        <v>1073</v>
      </c>
      <c r="F482" s="158" t="s">
        <v>1776</v>
      </c>
      <c r="G482" s="671" t="s">
        <v>1218</v>
      </c>
      <c r="H482" s="17"/>
      <c r="I482" s="863"/>
      <c r="J482" s="15"/>
      <c r="K482" s="201">
        <f>ROUND(75*(1-$G$4),2)</f>
        <v>72.75</v>
      </c>
      <c r="L482" s="147">
        <v>2013</v>
      </c>
      <c r="M482" s="147" t="s">
        <v>1231</v>
      </c>
      <c r="N482" s="148">
        <v>50</v>
      </c>
      <c r="O482" s="272" t="s">
        <v>1233</v>
      </c>
      <c r="P482" s="311">
        <v>32</v>
      </c>
      <c r="Q482" s="318" t="s">
        <v>1235</v>
      </c>
      <c r="R482" s="322" t="s">
        <v>219</v>
      </c>
      <c r="S482" s="88" t="s">
        <v>1808</v>
      </c>
      <c r="T482" s="301">
        <v>0.07</v>
      </c>
      <c r="U482" s="927" t="s">
        <v>307</v>
      </c>
      <c r="V482" s="360" t="e">
        <f>VLOOKUP(A482,#REF!,10,FALSE)</f>
        <v>#REF!</v>
      </c>
    </row>
    <row r="483" spans="1:22" ht="27" customHeight="1">
      <c r="A483" s="724">
        <v>70034</v>
      </c>
      <c r="B483" s="1002">
        <v>601</v>
      </c>
      <c r="C483" s="689" t="s">
        <v>1078</v>
      </c>
      <c r="D483" s="79" t="s">
        <v>1072</v>
      </c>
      <c r="E483" s="94" t="s">
        <v>1073</v>
      </c>
      <c r="F483" s="510" t="s">
        <v>1778</v>
      </c>
      <c r="G483" s="511" t="s">
        <v>1218</v>
      </c>
      <c r="H483" s="19"/>
      <c r="I483" s="1071"/>
      <c r="J483" s="12"/>
      <c r="K483" s="196">
        <f>ROUND(210*(1-$G$4),2)</f>
        <v>203.7</v>
      </c>
      <c r="L483" s="147">
        <v>2012</v>
      </c>
      <c r="M483" s="147" t="s">
        <v>1231</v>
      </c>
      <c r="N483" s="261">
        <v>20</v>
      </c>
      <c r="O483" s="284" t="s">
        <v>1233</v>
      </c>
      <c r="P483" s="283">
        <v>120</v>
      </c>
      <c r="Q483" s="310" t="s">
        <v>1235</v>
      </c>
      <c r="R483" s="321" t="s">
        <v>218</v>
      </c>
      <c r="S483" s="87" t="s">
        <v>1808</v>
      </c>
      <c r="T483" s="288">
        <v>0.21</v>
      </c>
      <c r="U483" s="916" t="s">
        <v>307</v>
      </c>
      <c r="V483" s="360" t="e">
        <f>VLOOKUP(A483,#REF!,10,FALSE)</f>
        <v>#REF!</v>
      </c>
    </row>
    <row r="484" spans="1:22" ht="27" customHeight="1">
      <c r="A484" s="721">
        <v>70149</v>
      </c>
      <c r="B484" s="1001">
        <v>494</v>
      </c>
      <c r="C484" s="557" t="s">
        <v>1079</v>
      </c>
      <c r="D484" s="79" t="s">
        <v>1072</v>
      </c>
      <c r="E484" s="116" t="s">
        <v>1073</v>
      </c>
      <c r="F484" s="158" t="s">
        <v>1777</v>
      </c>
      <c r="G484" s="678" t="s">
        <v>1218</v>
      </c>
      <c r="H484" s="17"/>
      <c r="I484" s="863"/>
      <c r="J484" s="15"/>
      <c r="K484" s="201">
        <f>ROUND(348.7*(1-$G$4),2)</f>
        <v>338.24</v>
      </c>
      <c r="L484" s="147">
        <v>2013</v>
      </c>
      <c r="M484" s="147" t="s">
        <v>1231</v>
      </c>
      <c r="N484" s="148">
        <v>6</v>
      </c>
      <c r="O484" s="272" t="s">
        <v>1233</v>
      </c>
      <c r="P484" s="311">
        <v>192</v>
      </c>
      <c r="Q484" s="134" t="s">
        <v>1059</v>
      </c>
      <c r="R484" s="322" t="s">
        <v>220</v>
      </c>
      <c r="S484" s="88" t="s">
        <v>1808</v>
      </c>
      <c r="T484" s="301">
        <v>0.39</v>
      </c>
      <c r="U484" s="927" t="s">
        <v>307</v>
      </c>
      <c r="V484" s="360" t="e">
        <f>VLOOKUP(A484,#REF!,10,FALSE)</f>
        <v>#REF!</v>
      </c>
    </row>
    <row r="485" spans="1:22" ht="27" customHeight="1">
      <c r="A485" s="822">
        <v>65522</v>
      </c>
      <c r="B485" s="1043">
        <v>562</v>
      </c>
      <c r="C485" s="823" t="s">
        <v>1077</v>
      </c>
      <c r="D485" s="494" t="s">
        <v>1072</v>
      </c>
      <c r="E485" s="679" t="s">
        <v>1073</v>
      </c>
      <c r="F485" s="158" t="s">
        <v>1776</v>
      </c>
      <c r="G485" s="680"/>
      <c r="H485" s="50"/>
      <c r="I485" s="1061"/>
      <c r="J485" s="5"/>
      <c r="K485" s="190">
        <f>ROUND(75*(1-$G$4),2)</f>
        <v>72.75</v>
      </c>
      <c r="L485" s="340">
        <v>2009</v>
      </c>
      <c r="M485" s="334" t="s">
        <v>1231</v>
      </c>
      <c r="N485" s="328">
        <v>6</v>
      </c>
      <c r="O485" s="496" t="s">
        <v>1233</v>
      </c>
      <c r="P485" s="445">
        <v>192</v>
      </c>
      <c r="Q485" s="460" t="s">
        <v>1059</v>
      </c>
      <c r="R485" s="447" t="s">
        <v>219</v>
      </c>
      <c r="S485" s="528" t="s">
        <v>1808</v>
      </c>
      <c r="T485" s="448">
        <v>0.067</v>
      </c>
      <c r="U485" s="936" t="s">
        <v>307</v>
      </c>
      <c r="V485" s="360" t="e">
        <f>VLOOKUP(A485,#REF!,10,FALSE)</f>
        <v>#REF!</v>
      </c>
    </row>
    <row r="486" spans="1:22" ht="27" customHeight="1">
      <c r="A486" s="724">
        <v>70409</v>
      </c>
      <c r="B486" s="1002">
        <v>628</v>
      </c>
      <c r="C486" s="689" t="s">
        <v>1080</v>
      </c>
      <c r="D486" s="286" t="s">
        <v>1081</v>
      </c>
      <c r="E486" s="94" t="s">
        <v>1073</v>
      </c>
      <c r="F486" s="94" t="s">
        <v>1709</v>
      </c>
      <c r="G486" s="518" t="s">
        <v>1218</v>
      </c>
      <c r="H486" s="19"/>
      <c r="I486" s="1071"/>
      <c r="J486" s="12"/>
      <c r="K486" s="196">
        <f>ROUND(262.5*(1-$G$4),2)</f>
        <v>254.63</v>
      </c>
      <c r="L486" s="147">
        <v>2013</v>
      </c>
      <c r="M486" s="147" t="s">
        <v>1231</v>
      </c>
      <c r="N486" s="261">
        <v>12</v>
      </c>
      <c r="O486" s="284" t="s">
        <v>1233</v>
      </c>
      <c r="P486" s="283">
        <v>152</v>
      </c>
      <c r="Q486" s="310" t="s">
        <v>1059</v>
      </c>
      <c r="R486" s="321" t="s">
        <v>201</v>
      </c>
      <c r="S486" s="87" t="s">
        <v>1808</v>
      </c>
      <c r="T486" s="288">
        <v>0.318</v>
      </c>
      <c r="U486" s="916" t="s">
        <v>307</v>
      </c>
      <c r="V486" s="360" t="e">
        <f>VLOOKUP(A486,#REF!,10,FALSE)</f>
        <v>#REF!</v>
      </c>
    </row>
    <row r="487" spans="1:22" ht="27" customHeight="1">
      <c r="A487" s="721">
        <v>67153</v>
      </c>
      <c r="B487" s="1001">
        <v>597</v>
      </c>
      <c r="C487" s="689" t="s">
        <v>1082</v>
      </c>
      <c r="D487" s="286" t="s">
        <v>1081</v>
      </c>
      <c r="E487" s="158" t="s">
        <v>1076</v>
      </c>
      <c r="F487" s="158" t="s">
        <v>1710</v>
      </c>
      <c r="G487" s="51"/>
      <c r="H487" s="397"/>
      <c r="I487" s="1066"/>
      <c r="J487" s="91"/>
      <c r="K487" s="196">
        <f>ROUND(210*(1-$G$4),2)</f>
        <v>203.7</v>
      </c>
      <c r="L487" s="148">
        <v>2014</v>
      </c>
      <c r="M487" s="147" t="s">
        <v>1231</v>
      </c>
      <c r="N487" s="148">
        <v>12</v>
      </c>
      <c r="O487" s="311" t="s">
        <v>1233</v>
      </c>
      <c r="P487" s="148">
        <v>136</v>
      </c>
      <c r="Q487" s="134" t="s">
        <v>1235</v>
      </c>
      <c r="R487" s="322" t="s">
        <v>199</v>
      </c>
      <c r="S487" s="239" t="s">
        <v>1808</v>
      </c>
      <c r="T487" s="301">
        <v>0.255</v>
      </c>
      <c r="U487" s="927" t="s">
        <v>307</v>
      </c>
      <c r="V487" s="360" t="e">
        <f>VLOOKUP(A487,#REF!,10,FALSE)</f>
        <v>#REF!</v>
      </c>
    </row>
    <row r="488" spans="1:22" ht="27" customHeight="1">
      <c r="A488" s="724">
        <v>70150</v>
      </c>
      <c r="B488" s="1002">
        <v>519</v>
      </c>
      <c r="C488" s="689" t="s">
        <v>1083</v>
      </c>
      <c r="D488" s="79" t="s">
        <v>1081</v>
      </c>
      <c r="E488" s="116" t="s">
        <v>1073</v>
      </c>
      <c r="F488" s="158" t="s">
        <v>1711</v>
      </c>
      <c r="G488" s="629" t="s">
        <v>1218</v>
      </c>
      <c r="H488" s="17"/>
      <c r="I488" s="863"/>
      <c r="J488" s="15"/>
      <c r="K488" s="201">
        <f>ROUND(90*(1-$G$4),2)</f>
        <v>87.3</v>
      </c>
      <c r="L488" s="147">
        <v>2013</v>
      </c>
      <c r="M488" s="147" t="s">
        <v>1231</v>
      </c>
      <c r="N488" s="148">
        <v>40</v>
      </c>
      <c r="O488" s="311" t="s">
        <v>1233</v>
      </c>
      <c r="P488" s="311">
        <v>48</v>
      </c>
      <c r="Q488" s="318" t="s">
        <v>1235</v>
      </c>
      <c r="R488" s="322" t="s">
        <v>200</v>
      </c>
      <c r="S488" s="239" t="s">
        <v>1808</v>
      </c>
      <c r="T488" s="301">
        <v>0.095</v>
      </c>
      <c r="U488" s="927" t="s">
        <v>307</v>
      </c>
      <c r="V488" s="360" t="e">
        <f>VLOOKUP(A488,#REF!,10,FALSE)</f>
        <v>#REF!</v>
      </c>
    </row>
    <row r="489" spans="1:22" ht="27" customHeight="1">
      <c r="A489" s="724">
        <v>70783</v>
      </c>
      <c r="B489" s="1002">
        <v>694</v>
      </c>
      <c r="C489" s="689" t="s">
        <v>1084</v>
      </c>
      <c r="D489" s="79" t="s">
        <v>1081</v>
      </c>
      <c r="E489" s="94" t="s">
        <v>1073</v>
      </c>
      <c r="F489" s="838" t="s">
        <v>1712</v>
      </c>
      <c r="G489" s="511"/>
      <c r="H489" s="169" t="s">
        <v>1320</v>
      </c>
      <c r="I489" s="1071" t="s">
        <v>1230</v>
      </c>
      <c r="J489" s="12"/>
      <c r="K489" s="196">
        <f>ROUND(210*(1-$G$4),2)</f>
        <v>203.7</v>
      </c>
      <c r="L489" s="147">
        <v>2014</v>
      </c>
      <c r="M489" s="147" t="s">
        <v>1231</v>
      </c>
      <c r="N489" s="261">
        <v>12</v>
      </c>
      <c r="O489" s="283" t="s">
        <v>1233</v>
      </c>
      <c r="P489" s="283">
        <v>128</v>
      </c>
      <c r="Q489" s="310" t="s">
        <v>1235</v>
      </c>
      <c r="R489" s="321" t="s">
        <v>203</v>
      </c>
      <c r="S489" s="240" t="s">
        <v>1808</v>
      </c>
      <c r="T489" s="288">
        <v>0.23</v>
      </c>
      <c r="U489" s="916" t="s">
        <v>307</v>
      </c>
      <c r="V489" s="360" t="e">
        <f>VLOOKUP(A489,#REF!,10,FALSE)</f>
        <v>#REF!</v>
      </c>
    </row>
    <row r="490" spans="1:22" ht="27" customHeight="1">
      <c r="A490" s="724">
        <v>70410</v>
      </c>
      <c r="B490" s="1002">
        <v>749</v>
      </c>
      <c r="C490" s="689" t="s">
        <v>1085</v>
      </c>
      <c r="D490" s="79" t="s">
        <v>1081</v>
      </c>
      <c r="E490" s="94" t="s">
        <v>1073</v>
      </c>
      <c r="F490" s="510" t="s">
        <v>1713</v>
      </c>
      <c r="G490" s="681" t="s">
        <v>1218</v>
      </c>
      <c r="H490" s="19"/>
      <c r="I490" s="1071"/>
      <c r="J490" s="12"/>
      <c r="K490" s="196">
        <f>ROUND(348.7*(1-$G$4),2)</f>
        <v>338.24</v>
      </c>
      <c r="L490" s="147">
        <v>2013</v>
      </c>
      <c r="M490" s="147" t="s">
        <v>1231</v>
      </c>
      <c r="N490" s="261">
        <v>12</v>
      </c>
      <c r="O490" s="284" t="s">
        <v>1233</v>
      </c>
      <c r="P490" s="283">
        <v>152</v>
      </c>
      <c r="Q490" s="310" t="s">
        <v>1059</v>
      </c>
      <c r="R490" s="321" t="s">
        <v>205</v>
      </c>
      <c r="S490" s="87" t="s">
        <v>1808</v>
      </c>
      <c r="T490" s="288">
        <v>0.328</v>
      </c>
      <c r="U490" s="916" t="s">
        <v>307</v>
      </c>
      <c r="V490" s="360" t="e">
        <f>VLOOKUP(A490,#REF!,10,FALSE)</f>
        <v>#REF!</v>
      </c>
    </row>
    <row r="491" spans="1:22" ht="27" customHeight="1">
      <c r="A491" s="724">
        <v>57402</v>
      </c>
      <c r="B491" s="1002">
        <v>634</v>
      </c>
      <c r="C491" s="689" t="s">
        <v>1086</v>
      </c>
      <c r="D491" s="79" t="s">
        <v>1081</v>
      </c>
      <c r="E491" s="116" t="s">
        <v>1073</v>
      </c>
      <c r="F491" s="116" t="s">
        <v>1714</v>
      </c>
      <c r="G491" s="671" t="s">
        <v>1218</v>
      </c>
      <c r="H491" s="17" t="s">
        <v>1229</v>
      </c>
      <c r="I491" s="863"/>
      <c r="J491" s="15"/>
      <c r="K491" s="201">
        <f>ROUND(108.7*(1-$G$4),2)</f>
        <v>105.44</v>
      </c>
      <c r="L491" s="147">
        <v>2007</v>
      </c>
      <c r="M491" s="147" t="s">
        <v>1231</v>
      </c>
      <c r="N491" s="148">
        <v>20</v>
      </c>
      <c r="O491" s="272" t="s">
        <v>1233</v>
      </c>
      <c r="P491" s="311">
        <v>128</v>
      </c>
      <c r="Q491" s="318" t="s">
        <v>1235</v>
      </c>
      <c r="R491" s="322" t="s">
        <v>202</v>
      </c>
      <c r="S491" s="88" t="s">
        <v>1808</v>
      </c>
      <c r="T491" s="301">
        <v>0.23</v>
      </c>
      <c r="U491" s="927" t="s">
        <v>307</v>
      </c>
      <c r="V491" s="360" t="e">
        <f>VLOOKUP(A491,#REF!,10,FALSE)</f>
        <v>#REF!</v>
      </c>
    </row>
    <row r="492" spans="1:22" ht="27" customHeight="1">
      <c r="A492" s="724">
        <v>70413</v>
      </c>
      <c r="B492" s="1002">
        <v>724</v>
      </c>
      <c r="C492" s="689" t="s">
        <v>1087</v>
      </c>
      <c r="D492" s="79" t="s">
        <v>1081</v>
      </c>
      <c r="E492" s="94" t="s">
        <v>1073</v>
      </c>
      <c r="F492" s="94" t="s">
        <v>1715</v>
      </c>
      <c r="G492" s="518" t="s">
        <v>1218</v>
      </c>
      <c r="H492" s="19"/>
      <c r="I492" s="1071"/>
      <c r="J492" s="12"/>
      <c r="K492" s="196">
        <f>ROUND(90*(1-$G$4),2)</f>
        <v>87.3</v>
      </c>
      <c r="L492" s="147">
        <v>2013</v>
      </c>
      <c r="M492" s="147" t="s">
        <v>1231</v>
      </c>
      <c r="N492" s="261">
        <v>40</v>
      </c>
      <c r="O492" s="283" t="s">
        <v>1233</v>
      </c>
      <c r="P492" s="283">
        <v>48</v>
      </c>
      <c r="Q492" s="310" t="s">
        <v>1235</v>
      </c>
      <c r="R492" s="321" t="s">
        <v>204</v>
      </c>
      <c r="S492" s="240" t="s">
        <v>1808</v>
      </c>
      <c r="T492" s="288">
        <v>0.1</v>
      </c>
      <c r="U492" s="916" t="s">
        <v>307</v>
      </c>
      <c r="V492" s="360" t="e">
        <f>VLOOKUP(A492,#REF!,10,FALSE)</f>
        <v>#REF!</v>
      </c>
    </row>
    <row r="493" spans="1:22" ht="27" customHeight="1">
      <c r="A493" s="724">
        <v>70414</v>
      </c>
      <c r="B493" s="1002">
        <v>617</v>
      </c>
      <c r="C493" s="689" t="s">
        <v>1088</v>
      </c>
      <c r="D493" s="79" t="s">
        <v>1081</v>
      </c>
      <c r="E493" s="94" t="s">
        <v>1073</v>
      </c>
      <c r="F493" s="94" t="s">
        <v>1716</v>
      </c>
      <c r="G493" s="672" t="s">
        <v>1218</v>
      </c>
      <c r="H493" s="19"/>
      <c r="I493" s="1071"/>
      <c r="J493" s="12"/>
      <c r="K493" s="196">
        <f>ROUND(348.7*(1-$G$4),2)</f>
        <v>338.24</v>
      </c>
      <c r="L493" s="147">
        <v>2013</v>
      </c>
      <c r="M493" s="147" t="s">
        <v>1231</v>
      </c>
      <c r="N493" s="261">
        <v>14</v>
      </c>
      <c r="O493" s="284" t="s">
        <v>1233</v>
      </c>
      <c r="P493" s="283">
        <v>160</v>
      </c>
      <c r="Q493" s="310" t="s">
        <v>1059</v>
      </c>
      <c r="R493" s="321" t="s">
        <v>209</v>
      </c>
      <c r="S493" s="87" t="s">
        <v>1808</v>
      </c>
      <c r="T493" s="288">
        <v>0.3</v>
      </c>
      <c r="U493" s="916" t="s">
        <v>307</v>
      </c>
      <c r="V493" s="360" t="e">
        <f>VLOOKUP(A493,#REF!,10,FALSE)</f>
        <v>#REF!</v>
      </c>
    </row>
    <row r="494" spans="1:22" ht="27" customHeight="1">
      <c r="A494" s="724">
        <v>60128</v>
      </c>
      <c r="B494" s="1002">
        <v>750</v>
      </c>
      <c r="C494" s="689" t="s">
        <v>1089</v>
      </c>
      <c r="D494" s="79" t="s">
        <v>1081</v>
      </c>
      <c r="E494" s="116" t="s">
        <v>1073</v>
      </c>
      <c r="F494" s="116" t="s">
        <v>1717</v>
      </c>
      <c r="G494" s="671" t="s">
        <v>1218</v>
      </c>
      <c r="H494" s="17" t="s">
        <v>1229</v>
      </c>
      <c r="I494" s="863"/>
      <c r="J494" s="15"/>
      <c r="K494" s="201">
        <f>ROUND(127.5*(1-$G$4),2)</f>
        <v>123.68</v>
      </c>
      <c r="L494" s="147">
        <v>2009</v>
      </c>
      <c r="M494" s="147" t="s">
        <v>1231</v>
      </c>
      <c r="N494" s="148">
        <v>24</v>
      </c>
      <c r="O494" s="272" t="s">
        <v>1233</v>
      </c>
      <c r="P494" s="311">
        <v>128</v>
      </c>
      <c r="Q494" s="318" t="s">
        <v>1235</v>
      </c>
      <c r="R494" s="322" t="s">
        <v>206</v>
      </c>
      <c r="S494" s="88" t="s">
        <v>1808</v>
      </c>
      <c r="T494" s="301">
        <v>0.225</v>
      </c>
      <c r="U494" s="927" t="s">
        <v>307</v>
      </c>
      <c r="V494" s="360" t="e">
        <f>VLOOKUP(A494,#REF!,10,FALSE)</f>
        <v>#REF!</v>
      </c>
    </row>
    <row r="495" spans="1:22" ht="27" customHeight="1">
      <c r="A495" s="724">
        <v>70415</v>
      </c>
      <c r="B495" s="1002">
        <v>671</v>
      </c>
      <c r="C495" s="689" t="s">
        <v>1090</v>
      </c>
      <c r="D495" s="79" t="s">
        <v>1081</v>
      </c>
      <c r="E495" s="94" t="s">
        <v>1073</v>
      </c>
      <c r="F495" s="94" t="s">
        <v>1718</v>
      </c>
      <c r="G495" s="518" t="s">
        <v>1218</v>
      </c>
      <c r="H495" s="19"/>
      <c r="I495" s="1071"/>
      <c r="J495" s="12"/>
      <c r="K495" s="196">
        <f>ROUND(187.5*(1-$G$4),2)</f>
        <v>181.88</v>
      </c>
      <c r="L495" s="147">
        <v>2013</v>
      </c>
      <c r="M495" s="147" t="s">
        <v>1231</v>
      </c>
      <c r="N495" s="261">
        <v>20</v>
      </c>
      <c r="O495" s="284" t="s">
        <v>1233</v>
      </c>
      <c r="P495" s="283">
        <v>128</v>
      </c>
      <c r="Q495" s="310" t="s">
        <v>1059</v>
      </c>
      <c r="R495" s="321" t="s">
        <v>207</v>
      </c>
      <c r="S495" s="87" t="s">
        <v>1808</v>
      </c>
      <c r="T495" s="288">
        <v>0.235</v>
      </c>
      <c r="U495" s="916" t="s">
        <v>307</v>
      </c>
      <c r="V495" s="360" t="e">
        <f>VLOOKUP(A495,#REF!,10,FALSE)</f>
        <v>#REF!</v>
      </c>
    </row>
    <row r="496" spans="1:22" ht="27" customHeight="1" thickBot="1">
      <c r="A496" s="771">
        <v>69293</v>
      </c>
      <c r="B496" s="1021">
        <v>611</v>
      </c>
      <c r="C496" s="772" t="s">
        <v>1091</v>
      </c>
      <c r="D496" s="60" t="s">
        <v>1081</v>
      </c>
      <c r="E496" s="576" t="s">
        <v>1073</v>
      </c>
      <c r="F496" s="576" t="s">
        <v>1719</v>
      </c>
      <c r="G496" s="577" t="s">
        <v>1218</v>
      </c>
      <c r="H496" s="37" t="s">
        <v>1229</v>
      </c>
      <c r="I496" s="1081"/>
      <c r="J496" s="24"/>
      <c r="K496" s="202">
        <f>ROUND(71.3*(1-$G$4),2)</f>
        <v>69.16</v>
      </c>
      <c r="L496" s="855">
        <v>2011</v>
      </c>
      <c r="M496" s="855" t="s">
        <v>1231</v>
      </c>
      <c r="N496" s="149">
        <v>40</v>
      </c>
      <c r="O496" s="578" t="s">
        <v>1233</v>
      </c>
      <c r="P496" s="244">
        <v>40</v>
      </c>
      <c r="Q496" s="441" t="s">
        <v>1059</v>
      </c>
      <c r="R496" s="324" t="s">
        <v>208</v>
      </c>
      <c r="S496" s="579" t="s">
        <v>1808</v>
      </c>
      <c r="T496" s="455">
        <v>0.08</v>
      </c>
      <c r="U496" s="928" t="s">
        <v>307</v>
      </c>
      <c r="V496" s="360" t="e">
        <f>VLOOKUP(A496,#REF!,10,FALSE)</f>
        <v>#REF!</v>
      </c>
    </row>
    <row r="497" spans="1:22" ht="17.25" customHeight="1" thickBot="1">
      <c r="A497" s="89"/>
      <c r="B497" s="1031"/>
      <c r="C497" s="52" t="s">
        <v>1092</v>
      </c>
      <c r="D497" s="682"/>
      <c r="E497" s="161"/>
      <c r="F497" s="839"/>
      <c r="G497" s="683"/>
      <c r="H497" s="53"/>
      <c r="I497" s="1097"/>
      <c r="J497" s="54"/>
      <c r="K497" s="211"/>
      <c r="L497" s="856"/>
      <c r="M497" s="859"/>
      <c r="N497" s="684"/>
      <c r="O497" s="373"/>
      <c r="P497" s="373"/>
      <c r="Q497" s="373"/>
      <c r="R497" s="684"/>
      <c r="S497" s="685"/>
      <c r="T497" s="569"/>
      <c r="U497" s="957"/>
      <c r="V497" s="360" t="e">
        <f>VLOOKUP(A497,#REF!,10,FALSE)</f>
        <v>#REF!</v>
      </c>
    </row>
    <row r="498" spans="1:22" ht="27" customHeight="1">
      <c r="A498" s="767">
        <v>66373</v>
      </c>
      <c r="B498" s="1018">
        <v>651</v>
      </c>
      <c r="C498" s="688" t="s">
        <v>1093</v>
      </c>
      <c r="D498" s="162" t="s">
        <v>1094</v>
      </c>
      <c r="E498" s="159" t="s">
        <v>1073</v>
      </c>
      <c r="F498" s="159" t="s">
        <v>1720</v>
      </c>
      <c r="G498" s="686" t="s">
        <v>1218</v>
      </c>
      <c r="H498" s="224" t="s">
        <v>1052</v>
      </c>
      <c r="I498" s="1080"/>
      <c r="J498" s="45"/>
      <c r="K498" s="207">
        <f>ROUND(75*(1-$G$4),2)</f>
        <v>72.75</v>
      </c>
      <c r="L498" s="145">
        <v>2010</v>
      </c>
      <c r="M498" s="145" t="s">
        <v>1282</v>
      </c>
      <c r="N498" s="146">
        <v>200</v>
      </c>
      <c r="O498" s="607" t="s">
        <v>1229</v>
      </c>
      <c r="P498" s="316" t="s">
        <v>1240</v>
      </c>
      <c r="Q498" s="308" t="s">
        <v>1240</v>
      </c>
      <c r="R498" s="323" t="s">
        <v>210</v>
      </c>
      <c r="S498" s="295" t="s">
        <v>1808</v>
      </c>
      <c r="T498" s="299">
        <v>0.055</v>
      </c>
      <c r="U498" s="926" t="s">
        <v>307</v>
      </c>
      <c r="V498" s="360" t="e">
        <f>VLOOKUP(A498,#REF!,10,FALSE)</f>
        <v>#REF!</v>
      </c>
    </row>
    <row r="499" spans="1:22" ht="27" customHeight="1">
      <c r="A499" s="724">
        <v>42740</v>
      </c>
      <c r="B499" s="1002">
        <v>697</v>
      </c>
      <c r="C499" s="689" t="s">
        <v>1095</v>
      </c>
      <c r="D499" s="286" t="s">
        <v>1094</v>
      </c>
      <c r="E499" s="116" t="s">
        <v>1073</v>
      </c>
      <c r="F499" s="116" t="s">
        <v>1721</v>
      </c>
      <c r="G499" s="671" t="s">
        <v>1218</v>
      </c>
      <c r="H499" s="225" t="s">
        <v>1052</v>
      </c>
      <c r="I499" s="863"/>
      <c r="J499" s="15"/>
      <c r="K499" s="201">
        <f>ROUND(72.8*(1-$G$4),2)</f>
        <v>70.62</v>
      </c>
      <c r="L499" s="147">
        <v>2006</v>
      </c>
      <c r="M499" s="147" t="s">
        <v>1231</v>
      </c>
      <c r="N499" s="148">
        <v>20</v>
      </c>
      <c r="O499" s="272" t="s">
        <v>1249</v>
      </c>
      <c r="P499" s="311">
        <v>136</v>
      </c>
      <c r="Q499" s="318" t="s">
        <v>1235</v>
      </c>
      <c r="R499" s="322" t="s">
        <v>211</v>
      </c>
      <c r="S499" s="88" t="s">
        <v>1808</v>
      </c>
      <c r="T499" s="301">
        <v>0.145</v>
      </c>
      <c r="U499" s="927" t="s">
        <v>307</v>
      </c>
      <c r="V499" s="360" t="e">
        <f>VLOOKUP(A499,#REF!,10,FALSE)</f>
        <v>#REF!</v>
      </c>
    </row>
    <row r="500" spans="1:22" ht="27" customHeight="1">
      <c r="A500" s="724">
        <v>70784</v>
      </c>
      <c r="B500" s="1002">
        <v>480</v>
      </c>
      <c r="C500" s="689" t="s">
        <v>1096</v>
      </c>
      <c r="D500" s="79" t="s">
        <v>1094</v>
      </c>
      <c r="E500" s="94" t="s">
        <v>1073</v>
      </c>
      <c r="F500" s="158" t="s">
        <v>1722</v>
      </c>
      <c r="G500" s="518"/>
      <c r="H500" s="256" t="s">
        <v>1981</v>
      </c>
      <c r="I500" s="1071" t="s">
        <v>1230</v>
      </c>
      <c r="J500" s="12"/>
      <c r="K500" s="196">
        <f>ROUND(187.5*(1-$G$4),2)</f>
        <v>181.88</v>
      </c>
      <c r="L500" s="147">
        <v>2014</v>
      </c>
      <c r="M500" s="147" t="s">
        <v>1231</v>
      </c>
      <c r="N500" s="261">
        <v>14</v>
      </c>
      <c r="O500" s="284" t="s">
        <v>1233</v>
      </c>
      <c r="P500" s="283">
        <v>128</v>
      </c>
      <c r="Q500" s="310" t="s">
        <v>1235</v>
      </c>
      <c r="R500" s="321" t="s">
        <v>212</v>
      </c>
      <c r="S500" s="87" t="s">
        <v>1808</v>
      </c>
      <c r="T500" s="288">
        <v>0.228</v>
      </c>
      <c r="U500" s="916" t="s">
        <v>307</v>
      </c>
      <c r="V500" s="360" t="e">
        <f>VLOOKUP(A500,#REF!,10,FALSE)</f>
        <v>#REF!</v>
      </c>
    </row>
    <row r="501" spans="1:22" ht="27" customHeight="1">
      <c r="A501" s="724">
        <v>68882</v>
      </c>
      <c r="B501" s="1002">
        <v>384</v>
      </c>
      <c r="C501" s="689" t="s">
        <v>1097</v>
      </c>
      <c r="D501" s="286" t="s">
        <v>1094</v>
      </c>
      <c r="E501" s="94" t="s">
        <v>1073</v>
      </c>
      <c r="F501" s="510" t="s">
        <v>1723</v>
      </c>
      <c r="G501" s="511" t="s">
        <v>1218</v>
      </c>
      <c r="H501" s="167" t="s">
        <v>1799</v>
      </c>
      <c r="I501" s="1071"/>
      <c r="J501" s="12"/>
      <c r="K501" s="196"/>
      <c r="L501" s="147">
        <v>2010</v>
      </c>
      <c r="M501" s="147" t="s">
        <v>1231</v>
      </c>
      <c r="N501" s="261">
        <v>20</v>
      </c>
      <c r="O501" s="284" t="s">
        <v>1233</v>
      </c>
      <c r="P501" s="283">
        <v>128</v>
      </c>
      <c r="Q501" s="310" t="s">
        <v>1235</v>
      </c>
      <c r="R501" s="321" t="s">
        <v>213</v>
      </c>
      <c r="S501" s="87" t="s">
        <v>1808</v>
      </c>
      <c r="T501" s="288">
        <v>0.344</v>
      </c>
      <c r="U501" s="916" t="s">
        <v>307</v>
      </c>
      <c r="V501" s="360" t="e">
        <f>VLOOKUP(A501,#REF!,10,FALSE)</f>
        <v>#REF!</v>
      </c>
    </row>
    <row r="502" spans="1:22" ht="27" customHeight="1" thickBot="1">
      <c r="A502" s="725">
        <v>70812</v>
      </c>
      <c r="B502" s="1003">
        <v>548</v>
      </c>
      <c r="C502" s="726" t="s">
        <v>1098</v>
      </c>
      <c r="D502" s="566" t="s">
        <v>1094</v>
      </c>
      <c r="E502" s="406" t="s">
        <v>1076</v>
      </c>
      <c r="F502" s="406" t="s">
        <v>1724</v>
      </c>
      <c r="G502" s="1580"/>
      <c r="H502" s="1581" t="s">
        <v>1052</v>
      </c>
      <c r="I502" s="1068"/>
      <c r="J502" s="114"/>
      <c r="K502" s="200">
        <f>ROUND(412.5*(1-$G$4),2)</f>
        <v>400.13</v>
      </c>
      <c r="L502" s="149">
        <v>2014</v>
      </c>
      <c r="M502" s="490">
        <v>0.1</v>
      </c>
      <c r="N502" s="149">
        <v>8</v>
      </c>
      <c r="O502" s="244" t="s">
        <v>1233</v>
      </c>
      <c r="P502" s="149">
        <v>224</v>
      </c>
      <c r="Q502" s="136" t="s">
        <v>1010</v>
      </c>
      <c r="R502" s="324" t="s">
        <v>214</v>
      </c>
      <c r="S502" s="491" t="s">
        <v>1808</v>
      </c>
      <c r="T502" s="455">
        <v>0.455</v>
      </c>
      <c r="U502" s="928" t="s">
        <v>307</v>
      </c>
      <c r="V502" s="360" t="e">
        <f>VLOOKUP(A502,#REF!,10,FALSE)</f>
        <v>#REF!</v>
      </c>
    </row>
    <row r="503" spans="1:22" ht="19.5" customHeight="1">
      <c r="A503" s="1147"/>
      <c r="B503" s="1148"/>
      <c r="C503" s="1149" t="s">
        <v>866</v>
      </c>
      <c r="D503" s="1150"/>
      <c r="E503" s="1151"/>
      <c r="F503" s="1150"/>
      <c r="G503" s="1152"/>
      <c r="H503" s="1153"/>
      <c r="I503" s="1154"/>
      <c r="J503" s="1154"/>
      <c r="K503" s="1155"/>
      <c r="L503" s="1156"/>
      <c r="M503" s="1156"/>
      <c r="N503" s="1157"/>
      <c r="O503" s="1157"/>
      <c r="P503" s="1157"/>
      <c r="Q503" s="1157"/>
      <c r="R503" s="1158"/>
      <c r="S503" s="1159"/>
      <c r="T503" s="1160"/>
      <c r="U503" s="1161"/>
      <c r="V503" s="360"/>
    </row>
    <row r="504" spans="1:22" ht="16.5" customHeight="1">
      <c r="A504" s="89"/>
      <c r="B504" s="1162"/>
      <c r="C504" s="1163" t="s">
        <v>867</v>
      </c>
      <c r="D504" s="1164"/>
      <c r="E504" s="1165"/>
      <c r="F504" s="1165"/>
      <c r="G504" s="1166"/>
      <c r="H504" s="53"/>
      <c r="I504" s="53"/>
      <c r="J504" s="53"/>
      <c r="K504" s="211"/>
      <c r="L504" s="1167"/>
      <c r="M504" s="1167"/>
      <c r="N504" s="1167"/>
      <c r="O504" s="1168"/>
      <c r="P504" s="1168"/>
      <c r="Q504" s="1168"/>
      <c r="R504" s="1167"/>
      <c r="S504" s="1169"/>
      <c r="T504" s="1170"/>
      <c r="U504" s="1171"/>
      <c r="V504" s="360"/>
    </row>
    <row r="505" spans="1:22" ht="19.5" customHeight="1" thickBot="1">
      <c r="A505" s="89"/>
      <c r="B505" s="1162"/>
      <c r="C505" s="1163" t="s">
        <v>868</v>
      </c>
      <c r="D505" s="1164"/>
      <c r="E505" s="1165"/>
      <c r="F505" s="1165"/>
      <c r="G505" s="1166"/>
      <c r="H505" s="53"/>
      <c r="I505" s="53"/>
      <c r="J505" s="53"/>
      <c r="K505" s="211"/>
      <c r="L505" s="1167"/>
      <c r="M505" s="1167"/>
      <c r="N505" s="1167"/>
      <c r="O505" s="1168"/>
      <c r="P505" s="1168"/>
      <c r="Q505" s="1168"/>
      <c r="R505" s="1167"/>
      <c r="S505" s="1169"/>
      <c r="T505" s="1170"/>
      <c r="U505" s="1171"/>
      <c r="V505" s="360"/>
    </row>
    <row r="506" spans="1:22" ht="27" customHeight="1">
      <c r="A506" s="1244">
        <v>71842</v>
      </c>
      <c r="B506" s="1245"/>
      <c r="C506" s="1174" t="s">
        <v>837</v>
      </c>
      <c r="D506" s="93" t="s">
        <v>763</v>
      </c>
      <c r="E506" s="1246" t="s">
        <v>859</v>
      </c>
      <c r="F506" s="1246" t="s">
        <v>836</v>
      </c>
      <c r="G506" s="1247"/>
      <c r="H506" s="1176" t="s">
        <v>1052</v>
      </c>
      <c r="I506" s="10"/>
      <c r="J506" s="10"/>
      <c r="K506" s="195">
        <f>ROUND(40.6*(1-$G$4),2)</f>
        <v>39.38</v>
      </c>
      <c r="L506" s="1248">
        <v>2017</v>
      </c>
      <c r="M506" s="1177" t="s">
        <v>1282</v>
      </c>
      <c r="N506" s="1248">
        <v>100</v>
      </c>
      <c r="O506" s="1249" t="s">
        <v>1255</v>
      </c>
      <c r="P506" s="1249">
        <v>24</v>
      </c>
      <c r="Q506" s="413" t="s">
        <v>1235</v>
      </c>
      <c r="R506" s="1261" t="s">
        <v>838</v>
      </c>
      <c r="S506" s="1173" t="s">
        <v>1808</v>
      </c>
      <c r="T506" s="1250">
        <v>0.1</v>
      </c>
      <c r="U506" s="1182" t="s">
        <v>307</v>
      </c>
      <c r="V506" s="360"/>
    </row>
    <row r="507" spans="1:22" ht="27" customHeight="1" thickBot="1">
      <c r="A507" s="1257">
        <v>71832</v>
      </c>
      <c r="B507" s="1259"/>
      <c r="C507" s="1258" t="s">
        <v>742</v>
      </c>
      <c r="D507" s="633" t="s">
        <v>741</v>
      </c>
      <c r="E507" s="1212" t="s">
        <v>744</v>
      </c>
      <c r="F507" s="1212" t="s">
        <v>828</v>
      </c>
      <c r="G507" s="1254"/>
      <c r="H507" s="237" t="s">
        <v>1799</v>
      </c>
      <c r="I507" s="9"/>
      <c r="J507" s="9"/>
      <c r="K507" s="200"/>
      <c r="L507" s="1255">
        <v>2017</v>
      </c>
      <c r="M507" s="1194" t="s">
        <v>1282</v>
      </c>
      <c r="N507" s="1255">
        <v>40</v>
      </c>
      <c r="O507" s="1256" t="s">
        <v>1255</v>
      </c>
      <c r="P507" s="1256">
        <v>56</v>
      </c>
      <c r="Q507" s="289" t="s">
        <v>1235</v>
      </c>
      <c r="R507" s="1262" t="s">
        <v>743</v>
      </c>
      <c r="S507" s="1263" t="s">
        <v>1808</v>
      </c>
      <c r="T507" s="1260">
        <v>0.14</v>
      </c>
      <c r="U507" s="1195" t="s">
        <v>307</v>
      </c>
      <c r="V507" s="360"/>
    </row>
    <row r="508" spans="1:22" ht="27" customHeight="1" thickBot="1">
      <c r="A508" s="89"/>
      <c r="B508" s="1162"/>
      <c r="C508" s="1163" t="s">
        <v>869</v>
      </c>
      <c r="D508" s="1164"/>
      <c r="E508" s="1165"/>
      <c r="F508" s="1165"/>
      <c r="G508" s="1166"/>
      <c r="H508" s="53"/>
      <c r="I508" s="53"/>
      <c r="J508" s="53"/>
      <c r="K508" s="211"/>
      <c r="L508" s="1167"/>
      <c r="M508" s="1167"/>
      <c r="N508" s="1167"/>
      <c r="O508" s="1168"/>
      <c r="P508" s="1168"/>
      <c r="Q508" s="1168"/>
      <c r="R508" s="1167"/>
      <c r="S508" s="1169"/>
      <c r="T508" s="1170"/>
      <c r="U508" s="1171"/>
      <c r="V508" s="360"/>
    </row>
    <row r="509" spans="1:22" ht="27" customHeight="1">
      <c r="A509" s="1245">
        <v>71846</v>
      </c>
      <c r="B509" s="1245"/>
      <c r="C509" s="1174" t="s">
        <v>846</v>
      </c>
      <c r="D509" s="93" t="s">
        <v>763</v>
      </c>
      <c r="E509" s="1246" t="s">
        <v>859</v>
      </c>
      <c r="F509" s="1246" t="s">
        <v>863</v>
      </c>
      <c r="G509" s="1247"/>
      <c r="H509" s="1176" t="s">
        <v>1052</v>
      </c>
      <c r="I509" s="10"/>
      <c r="J509" s="10"/>
      <c r="K509" s="195">
        <f>ROUND(40.6*(1-$G$4),2)</f>
        <v>39.38</v>
      </c>
      <c r="L509" s="1248">
        <v>2017</v>
      </c>
      <c r="M509" s="1177" t="s">
        <v>1282</v>
      </c>
      <c r="N509" s="1248">
        <v>100</v>
      </c>
      <c r="O509" s="1249" t="s">
        <v>1255</v>
      </c>
      <c r="P509" s="1249">
        <v>12</v>
      </c>
      <c r="Q509" s="413" t="s">
        <v>1235</v>
      </c>
      <c r="R509" s="1261" t="s">
        <v>847</v>
      </c>
      <c r="S509" s="1173" t="s">
        <v>1808</v>
      </c>
      <c r="T509" s="1250">
        <v>0.1</v>
      </c>
      <c r="U509" s="1266" t="s">
        <v>307</v>
      </c>
      <c r="V509" s="360"/>
    </row>
    <row r="510" spans="1:22" ht="27" customHeight="1">
      <c r="A510" s="875">
        <v>71843</v>
      </c>
      <c r="B510" s="875"/>
      <c r="C510" s="1185" t="s">
        <v>848</v>
      </c>
      <c r="D510" s="94" t="s">
        <v>763</v>
      </c>
      <c r="E510" s="1211" t="s">
        <v>859</v>
      </c>
      <c r="F510" s="1211" t="s">
        <v>850</v>
      </c>
      <c r="G510" s="1251"/>
      <c r="H510" s="1187" t="s">
        <v>1052</v>
      </c>
      <c r="I510" s="8"/>
      <c r="J510" s="8"/>
      <c r="K510" s="196">
        <f>ROUND(40.6*(1-$G$4),2)</f>
        <v>39.38</v>
      </c>
      <c r="L510" s="1252">
        <v>2017</v>
      </c>
      <c r="M510" s="1188" t="s">
        <v>1282</v>
      </c>
      <c r="N510" s="1252">
        <v>100</v>
      </c>
      <c r="O510" s="1253" t="s">
        <v>1255</v>
      </c>
      <c r="P510" s="1253">
        <v>24</v>
      </c>
      <c r="Q510" s="284" t="s">
        <v>1235</v>
      </c>
      <c r="R510" s="1269" t="s">
        <v>849</v>
      </c>
      <c r="S510" s="1184" t="s">
        <v>1808</v>
      </c>
      <c r="T510" s="1265">
        <v>0.1</v>
      </c>
      <c r="U510" s="1267" t="s">
        <v>307</v>
      </c>
      <c r="V510" s="360"/>
    </row>
    <row r="511" spans="1:22" ht="27" customHeight="1">
      <c r="A511" s="875">
        <v>71835</v>
      </c>
      <c r="B511" s="875"/>
      <c r="C511" s="1185" t="s">
        <v>751</v>
      </c>
      <c r="D511" s="94" t="s">
        <v>741</v>
      </c>
      <c r="E511" s="1211" t="s">
        <v>859</v>
      </c>
      <c r="F511" s="1211" t="s">
        <v>753</v>
      </c>
      <c r="G511" s="1251"/>
      <c r="H511" s="167" t="s">
        <v>1799</v>
      </c>
      <c r="I511" s="8"/>
      <c r="J511" s="8"/>
      <c r="K511" s="196"/>
      <c r="L511" s="1252">
        <v>2017</v>
      </c>
      <c r="M511" s="1188" t="s">
        <v>1282</v>
      </c>
      <c r="N511" s="1252">
        <v>40</v>
      </c>
      <c r="O511" s="1253" t="s">
        <v>1255</v>
      </c>
      <c r="P511" s="1253">
        <v>52</v>
      </c>
      <c r="Q511" s="284" t="s">
        <v>1235</v>
      </c>
      <c r="R511" s="1269" t="s">
        <v>752</v>
      </c>
      <c r="S511" s="1184" t="s">
        <v>1808</v>
      </c>
      <c r="T511" s="1265">
        <v>0.125</v>
      </c>
      <c r="U511" s="1267" t="s">
        <v>307</v>
      </c>
      <c r="V511" s="360"/>
    </row>
    <row r="512" spans="1:22" ht="27" customHeight="1" thickBot="1">
      <c r="A512" s="1259">
        <v>71833</v>
      </c>
      <c r="B512" s="1259"/>
      <c r="C512" s="1258" t="s">
        <v>830</v>
      </c>
      <c r="D512" s="633" t="s">
        <v>741</v>
      </c>
      <c r="E512" s="1212" t="s">
        <v>858</v>
      </c>
      <c r="F512" s="1212" t="s">
        <v>832</v>
      </c>
      <c r="G512" s="1254"/>
      <c r="H512" s="237" t="s">
        <v>1799</v>
      </c>
      <c r="I512" s="9"/>
      <c r="J512" s="9"/>
      <c r="K512" s="200"/>
      <c r="L512" s="1255">
        <v>2017</v>
      </c>
      <c r="M512" s="1194" t="s">
        <v>1282</v>
      </c>
      <c r="N512" s="1255">
        <v>40</v>
      </c>
      <c r="O512" s="1256" t="s">
        <v>1255</v>
      </c>
      <c r="P512" s="1256">
        <v>36</v>
      </c>
      <c r="Q512" s="289" t="s">
        <v>1235</v>
      </c>
      <c r="R512" s="1262" t="s">
        <v>831</v>
      </c>
      <c r="S512" s="1263" t="s">
        <v>1808</v>
      </c>
      <c r="T512" s="1260">
        <v>0.11</v>
      </c>
      <c r="U512" s="1268" t="s">
        <v>307</v>
      </c>
      <c r="V512" s="360"/>
    </row>
    <row r="513" spans="1:22" ht="27" customHeight="1" thickBot="1">
      <c r="A513" s="89"/>
      <c r="B513" s="1162"/>
      <c r="C513" s="1196" t="s">
        <v>870</v>
      </c>
      <c r="D513" s="1164"/>
      <c r="E513" s="1165"/>
      <c r="F513" s="1165"/>
      <c r="G513" s="1166"/>
      <c r="H513" s="1270"/>
      <c r="I513" s="53"/>
      <c r="J513" s="53"/>
      <c r="K513" s="211"/>
      <c r="L513" s="1167"/>
      <c r="M513" s="1167"/>
      <c r="N513" s="1167"/>
      <c r="O513" s="1168"/>
      <c r="P513" s="1168"/>
      <c r="Q513" s="1168"/>
      <c r="R513" s="1167"/>
      <c r="S513" s="1169"/>
      <c r="T513" s="1170"/>
      <c r="U513" s="1171"/>
      <c r="V513" s="360"/>
    </row>
    <row r="514" spans="1:22" ht="27" customHeight="1">
      <c r="A514" s="1172">
        <v>71844</v>
      </c>
      <c r="B514" s="1173"/>
      <c r="C514" s="1197" t="s">
        <v>839</v>
      </c>
      <c r="D514" s="93" t="s">
        <v>763</v>
      </c>
      <c r="E514" s="1175" t="s">
        <v>859</v>
      </c>
      <c r="F514" s="1175" t="s">
        <v>860</v>
      </c>
      <c r="G514" s="1198"/>
      <c r="H514" s="1176" t="s">
        <v>1052</v>
      </c>
      <c r="I514" s="1199"/>
      <c r="J514" s="1200"/>
      <c r="K514" s="195">
        <f>ROUND(40.6*(1-$G$4),2)</f>
        <v>39.38</v>
      </c>
      <c r="L514" s="330">
        <v>2017</v>
      </c>
      <c r="M514" s="1201" t="s">
        <v>1282</v>
      </c>
      <c r="N514" s="1178">
        <v>100</v>
      </c>
      <c r="O514" s="1179" t="s">
        <v>1255</v>
      </c>
      <c r="P514" s="330">
        <v>24</v>
      </c>
      <c r="Q514" s="1179" t="s">
        <v>1235</v>
      </c>
      <c r="R514" s="1202" t="s">
        <v>840</v>
      </c>
      <c r="S514" s="1283" t="s">
        <v>1808</v>
      </c>
      <c r="T514" s="1280">
        <v>0.1</v>
      </c>
      <c r="U514" s="1266" t="s">
        <v>307</v>
      </c>
      <c r="V514" s="360"/>
    </row>
    <row r="515" spans="1:22" ht="27" customHeight="1">
      <c r="A515" s="1183">
        <v>71845</v>
      </c>
      <c r="B515" s="1184"/>
      <c r="C515" s="1204" t="s">
        <v>851</v>
      </c>
      <c r="D515" s="94" t="s">
        <v>763</v>
      </c>
      <c r="E515" s="1186" t="s">
        <v>859</v>
      </c>
      <c r="F515" s="1186" t="s">
        <v>864</v>
      </c>
      <c r="G515" s="1205"/>
      <c r="H515" s="1187" t="s">
        <v>1052</v>
      </c>
      <c r="I515" s="1206"/>
      <c r="J515" s="1207"/>
      <c r="K515" s="196">
        <f>ROUND(40.6*(1-$G$4),2)</f>
        <v>39.38</v>
      </c>
      <c r="L515" s="261">
        <v>2017</v>
      </c>
      <c r="M515" s="1208" t="s">
        <v>1282</v>
      </c>
      <c r="N515" s="1189">
        <v>100</v>
      </c>
      <c r="O515" s="1190" t="s">
        <v>1255</v>
      </c>
      <c r="P515" s="261">
        <v>24</v>
      </c>
      <c r="Q515" s="1190" t="s">
        <v>1235</v>
      </c>
      <c r="R515" s="1209" t="s">
        <v>852</v>
      </c>
      <c r="S515" s="1284" t="s">
        <v>1808</v>
      </c>
      <c r="T515" s="1281">
        <v>0.1</v>
      </c>
      <c r="U515" s="1267" t="s">
        <v>307</v>
      </c>
      <c r="V515" s="360"/>
    </row>
    <row r="516" spans="1:22" ht="27" customHeight="1">
      <c r="A516" s="1183">
        <v>71836</v>
      </c>
      <c r="B516" s="1184"/>
      <c r="C516" s="1204" t="s">
        <v>754</v>
      </c>
      <c r="D516" s="94" t="s">
        <v>741</v>
      </c>
      <c r="E516" s="1186" t="s">
        <v>859</v>
      </c>
      <c r="F516" s="1186" t="s">
        <v>756</v>
      </c>
      <c r="G516" s="1205"/>
      <c r="H516" s="167" t="s">
        <v>1799</v>
      </c>
      <c r="I516" s="1206"/>
      <c r="J516" s="1207"/>
      <c r="K516" s="196"/>
      <c r="L516" s="261">
        <v>2017</v>
      </c>
      <c r="M516" s="1208" t="s">
        <v>1282</v>
      </c>
      <c r="N516" s="1189">
        <v>40</v>
      </c>
      <c r="O516" s="1190" t="s">
        <v>1255</v>
      </c>
      <c r="P516" s="261">
        <v>44</v>
      </c>
      <c r="Q516" s="1190" t="s">
        <v>1235</v>
      </c>
      <c r="R516" s="1209" t="s">
        <v>755</v>
      </c>
      <c r="S516" s="1284" t="s">
        <v>1808</v>
      </c>
      <c r="T516" s="1281">
        <v>0.125</v>
      </c>
      <c r="U516" s="1267" t="s">
        <v>307</v>
      </c>
      <c r="V516" s="360"/>
    </row>
    <row r="517" spans="1:22" ht="27" customHeight="1" thickBot="1">
      <c r="A517" s="1277">
        <v>71834</v>
      </c>
      <c r="B517" s="1263"/>
      <c r="C517" s="1278" t="s">
        <v>745</v>
      </c>
      <c r="D517" s="633" t="s">
        <v>741</v>
      </c>
      <c r="E517" s="1271" t="s">
        <v>748</v>
      </c>
      <c r="F517" s="1271" t="s">
        <v>747</v>
      </c>
      <c r="G517" s="1272"/>
      <c r="H517" s="1701" t="s">
        <v>1799</v>
      </c>
      <c r="I517" s="1273"/>
      <c r="J517" s="1274"/>
      <c r="K517" s="200"/>
      <c r="L517" s="338">
        <v>2017</v>
      </c>
      <c r="M517" s="1213" t="s">
        <v>1282</v>
      </c>
      <c r="N517" s="1275">
        <v>40</v>
      </c>
      <c r="O517" s="1276" t="s">
        <v>1255</v>
      </c>
      <c r="P517" s="338">
        <v>44</v>
      </c>
      <c r="Q517" s="1276" t="s">
        <v>1235</v>
      </c>
      <c r="R517" s="1279" t="s">
        <v>746</v>
      </c>
      <c r="S517" s="1285" t="s">
        <v>1808</v>
      </c>
      <c r="T517" s="1282">
        <v>0.125</v>
      </c>
      <c r="U517" s="1268" t="s">
        <v>307</v>
      </c>
      <c r="V517" s="360"/>
    </row>
    <row r="518" spans="1:22" ht="27" customHeight="1" thickBot="1">
      <c r="A518" s="89"/>
      <c r="B518" s="1162"/>
      <c r="C518" s="1196" t="s">
        <v>871</v>
      </c>
      <c r="D518" s="1164"/>
      <c r="E518" s="1165"/>
      <c r="F518" s="1165"/>
      <c r="G518" s="1166"/>
      <c r="H518" s="53"/>
      <c r="I518" s="53"/>
      <c r="J518" s="53"/>
      <c r="K518" s="211"/>
      <c r="L518" s="1167"/>
      <c r="M518" s="1167"/>
      <c r="N518" s="1167"/>
      <c r="O518" s="1168"/>
      <c r="P518" s="1168"/>
      <c r="Q518" s="1168"/>
      <c r="R518" s="1167"/>
      <c r="S518" s="1169"/>
      <c r="T518" s="1170"/>
      <c r="U518" s="1171"/>
      <c r="V518" s="360"/>
    </row>
    <row r="519" spans="1:22" ht="27" customHeight="1">
      <c r="A519" s="1172">
        <v>71847</v>
      </c>
      <c r="B519" s="1173"/>
      <c r="C519" s="1197" t="s">
        <v>841</v>
      </c>
      <c r="D519" s="93" t="s">
        <v>763</v>
      </c>
      <c r="E519" s="1175" t="s">
        <v>859</v>
      </c>
      <c r="F519" s="1175" t="s">
        <v>861</v>
      </c>
      <c r="G519" s="1198"/>
      <c r="H519" s="1176" t="s">
        <v>1052</v>
      </c>
      <c r="I519" s="1199"/>
      <c r="J519" s="1200"/>
      <c r="K519" s="195">
        <f>ROUND(40.6*(1-$G$4),2)</f>
        <v>39.38</v>
      </c>
      <c r="L519" s="660">
        <v>2017</v>
      </c>
      <c r="M519" s="1201" t="s">
        <v>1282</v>
      </c>
      <c r="N519" s="1178">
        <v>100</v>
      </c>
      <c r="O519" s="1179" t="s">
        <v>1255</v>
      </c>
      <c r="P519" s="1292">
        <v>24</v>
      </c>
      <c r="Q519" s="1180" t="s">
        <v>1235</v>
      </c>
      <c r="R519" s="1202" t="s">
        <v>842</v>
      </c>
      <c r="S519" s="1181" t="s">
        <v>1808</v>
      </c>
      <c r="T519" s="1203">
        <v>0.1</v>
      </c>
      <c r="U519" s="1266" t="s">
        <v>307</v>
      </c>
      <c r="V519" s="360"/>
    </row>
    <row r="520" spans="1:22" ht="27" customHeight="1">
      <c r="A520" s="1183">
        <v>71848</v>
      </c>
      <c r="B520" s="1184"/>
      <c r="C520" s="1204" t="s">
        <v>853</v>
      </c>
      <c r="D520" s="94" t="s">
        <v>763</v>
      </c>
      <c r="E520" s="1186" t="s">
        <v>859</v>
      </c>
      <c r="F520" s="1186" t="s">
        <v>865</v>
      </c>
      <c r="G520" s="1205"/>
      <c r="H520" s="1187" t="s">
        <v>1052</v>
      </c>
      <c r="I520" s="1206"/>
      <c r="J520" s="1207"/>
      <c r="K520" s="196">
        <f>ROUND(40.6*(1-$G$4),2)</f>
        <v>39.38</v>
      </c>
      <c r="L520" s="343">
        <v>2017</v>
      </c>
      <c r="M520" s="1208" t="s">
        <v>1282</v>
      </c>
      <c r="N520" s="1189">
        <v>100</v>
      </c>
      <c r="O520" s="1190" t="s">
        <v>1255</v>
      </c>
      <c r="P520" s="1293">
        <v>24</v>
      </c>
      <c r="Q520" s="1191" t="s">
        <v>1235</v>
      </c>
      <c r="R520" s="1209" t="s">
        <v>854</v>
      </c>
      <c r="S520" s="1192" t="s">
        <v>1808</v>
      </c>
      <c r="T520" s="1210">
        <v>0.1</v>
      </c>
      <c r="U520" s="1267" t="s">
        <v>307</v>
      </c>
      <c r="V520" s="360"/>
    </row>
    <row r="521" spans="1:22" ht="27" customHeight="1">
      <c r="A521" s="1183">
        <v>71838</v>
      </c>
      <c r="B521" s="1184"/>
      <c r="C521" s="1204" t="s">
        <v>757</v>
      </c>
      <c r="D521" s="94" t="s">
        <v>741</v>
      </c>
      <c r="E521" s="1186" t="s">
        <v>859</v>
      </c>
      <c r="F521" s="1186" t="s">
        <v>759</v>
      </c>
      <c r="G521" s="1205"/>
      <c r="H521" s="167" t="s">
        <v>1799</v>
      </c>
      <c r="I521" s="1206"/>
      <c r="J521" s="1207"/>
      <c r="K521" s="196">
        <f>ROUND(113.6*(1-$G$4),2)</f>
        <v>110.19</v>
      </c>
      <c r="L521" s="343">
        <v>2017</v>
      </c>
      <c r="M521" s="1208" t="s">
        <v>1282</v>
      </c>
      <c r="N521" s="1189">
        <v>40</v>
      </c>
      <c r="O521" s="1190" t="s">
        <v>1255</v>
      </c>
      <c r="P521" s="1293">
        <v>52</v>
      </c>
      <c r="Q521" s="1191" t="s">
        <v>1235</v>
      </c>
      <c r="R521" s="1209" t="s">
        <v>758</v>
      </c>
      <c r="S521" s="1192" t="s">
        <v>1808</v>
      </c>
      <c r="T521" s="1210">
        <v>0.125</v>
      </c>
      <c r="U521" s="1267" t="s">
        <v>307</v>
      </c>
      <c r="V521" s="360"/>
    </row>
    <row r="522" spans="1:22" ht="27" customHeight="1" thickBot="1">
      <c r="A522" s="1277">
        <v>71837</v>
      </c>
      <c r="B522" s="1263"/>
      <c r="C522" s="1278" t="s">
        <v>749</v>
      </c>
      <c r="D522" s="633" t="s">
        <v>741</v>
      </c>
      <c r="E522" s="1271" t="s">
        <v>748</v>
      </c>
      <c r="F522" s="1271" t="s">
        <v>829</v>
      </c>
      <c r="G522" s="1272"/>
      <c r="H522" s="1701" t="s">
        <v>1799</v>
      </c>
      <c r="I522" s="1273"/>
      <c r="J522" s="1274"/>
      <c r="K522" s="200"/>
      <c r="L522" s="338">
        <v>2017</v>
      </c>
      <c r="M522" s="1213" t="s">
        <v>1282</v>
      </c>
      <c r="N522" s="1275">
        <v>40</v>
      </c>
      <c r="O522" s="1276" t="s">
        <v>1255</v>
      </c>
      <c r="P522" s="1294">
        <v>52</v>
      </c>
      <c r="Q522" s="1286" t="s">
        <v>1235</v>
      </c>
      <c r="R522" s="1279" t="s">
        <v>750</v>
      </c>
      <c r="S522" s="1287" t="s">
        <v>1808</v>
      </c>
      <c r="T522" s="1214">
        <v>0.125</v>
      </c>
      <c r="U522" s="1268" t="s">
        <v>307</v>
      </c>
      <c r="V522" s="360"/>
    </row>
    <row r="523" spans="1:22" ht="27" customHeight="1" thickBot="1">
      <c r="A523" s="89"/>
      <c r="B523" s="1162"/>
      <c r="C523" s="1215" t="s">
        <v>872</v>
      </c>
      <c r="D523" s="1216"/>
      <c r="E523" s="1217"/>
      <c r="F523" s="1217"/>
      <c r="G523" s="1218"/>
      <c r="H523" s="1219"/>
      <c r="I523" s="1220"/>
      <c r="J523" s="1220"/>
      <c r="K523" s="1221"/>
      <c r="L523" s="1222"/>
      <c r="M523" s="1222"/>
      <c r="N523" s="1223"/>
      <c r="O523" s="1224"/>
      <c r="P523" s="1223"/>
      <c r="Q523" s="1224"/>
      <c r="R523" s="1223"/>
      <c r="S523" s="1225"/>
      <c r="T523" s="1226"/>
      <c r="U523" s="1227"/>
      <c r="V523" s="360"/>
    </row>
    <row r="524" spans="1:22" ht="27" customHeight="1">
      <c r="A524" s="1172">
        <v>71849</v>
      </c>
      <c r="B524" s="1173"/>
      <c r="C524" s="1197" t="s">
        <v>855</v>
      </c>
      <c r="D524" s="93" t="s">
        <v>763</v>
      </c>
      <c r="E524" s="1175" t="s">
        <v>858</v>
      </c>
      <c r="F524" s="1175" t="s">
        <v>857</v>
      </c>
      <c r="G524" s="1198"/>
      <c r="H524" s="1176" t="s">
        <v>1052</v>
      </c>
      <c r="I524" s="1199"/>
      <c r="J524" s="1200"/>
      <c r="K524" s="195">
        <f>ROUND(40.6*(1-$G$4),2)</f>
        <v>39.38</v>
      </c>
      <c r="L524" s="660">
        <v>2017</v>
      </c>
      <c r="M524" s="1201" t="s">
        <v>1282</v>
      </c>
      <c r="N524" s="1178">
        <v>100</v>
      </c>
      <c r="O524" s="1179" t="s">
        <v>1255</v>
      </c>
      <c r="P524" s="1288">
        <v>24</v>
      </c>
      <c r="Q524" s="1180" t="s">
        <v>1235</v>
      </c>
      <c r="R524" s="1202" t="s">
        <v>856</v>
      </c>
      <c r="S524" s="1181" t="s">
        <v>1808</v>
      </c>
      <c r="T524" s="1203">
        <v>0.1</v>
      </c>
      <c r="U524" s="1266" t="s">
        <v>307</v>
      </c>
      <c r="V524" s="360"/>
    </row>
    <row r="525" spans="1:22" ht="27" customHeight="1">
      <c r="A525" s="1183">
        <v>71850</v>
      </c>
      <c r="B525" s="1184"/>
      <c r="C525" s="1204" t="s">
        <v>843</v>
      </c>
      <c r="D525" s="94" t="s">
        <v>763</v>
      </c>
      <c r="E525" s="1186" t="s">
        <v>858</v>
      </c>
      <c r="F525" s="1186" t="s">
        <v>845</v>
      </c>
      <c r="G525" s="1205"/>
      <c r="H525" s="1187" t="s">
        <v>1052</v>
      </c>
      <c r="I525" s="1206"/>
      <c r="J525" s="1207"/>
      <c r="K525" s="196">
        <f>ROUND(40.6*(1-$G$4),2)</f>
        <v>39.38</v>
      </c>
      <c r="L525" s="343">
        <v>2017</v>
      </c>
      <c r="M525" s="1208" t="s">
        <v>1282</v>
      </c>
      <c r="N525" s="1189">
        <v>100</v>
      </c>
      <c r="O525" s="1190" t="s">
        <v>1255</v>
      </c>
      <c r="P525" s="1289">
        <v>20</v>
      </c>
      <c r="Q525" s="1191" t="s">
        <v>1235</v>
      </c>
      <c r="R525" s="1209" t="s">
        <v>844</v>
      </c>
      <c r="S525" s="1192" t="s">
        <v>1808</v>
      </c>
      <c r="T525" s="1210">
        <v>0.1</v>
      </c>
      <c r="U525" s="1267" t="s">
        <v>307</v>
      </c>
      <c r="V525" s="360"/>
    </row>
    <row r="526" spans="1:22" ht="27" customHeight="1">
      <c r="A526" s="1183">
        <v>71840</v>
      </c>
      <c r="B526" s="1184"/>
      <c r="C526" s="1204" t="s">
        <v>833</v>
      </c>
      <c r="D526" s="94" t="s">
        <v>741</v>
      </c>
      <c r="E526" s="1186" t="s">
        <v>858</v>
      </c>
      <c r="F526" s="1186" t="s">
        <v>835</v>
      </c>
      <c r="G526" s="1205"/>
      <c r="H526" s="167" t="s">
        <v>1799</v>
      </c>
      <c r="I526" s="1206"/>
      <c r="J526" s="1207"/>
      <c r="K526" s="196"/>
      <c r="L526" s="343">
        <v>2017</v>
      </c>
      <c r="M526" s="1208" t="s">
        <v>1282</v>
      </c>
      <c r="N526" s="1189">
        <v>40</v>
      </c>
      <c r="O526" s="1190" t="s">
        <v>1255</v>
      </c>
      <c r="P526" s="1289">
        <v>48</v>
      </c>
      <c r="Q526" s="1191" t="s">
        <v>1235</v>
      </c>
      <c r="R526" s="1209" t="s">
        <v>834</v>
      </c>
      <c r="S526" s="1192" t="s">
        <v>1808</v>
      </c>
      <c r="T526" s="1210">
        <v>0.133</v>
      </c>
      <c r="U526" s="1267" t="s">
        <v>307</v>
      </c>
      <c r="V526" s="360"/>
    </row>
    <row r="527" spans="1:22" ht="27" customHeight="1" thickBot="1">
      <c r="A527" s="1277">
        <v>71839</v>
      </c>
      <c r="B527" s="1263"/>
      <c r="C527" s="1278" t="s">
        <v>760</v>
      </c>
      <c r="D527" s="633" t="s">
        <v>741</v>
      </c>
      <c r="E527" s="1271" t="s">
        <v>858</v>
      </c>
      <c r="F527" s="1271" t="s">
        <v>762</v>
      </c>
      <c r="G527" s="1272"/>
      <c r="H527" s="237" t="s">
        <v>1799</v>
      </c>
      <c r="I527" s="1273"/>
      <c r="J527" s="1274"/>
      <c r="K527" s="200"/>
      <c r="L527" s="338">
        <v>2017</v>
      </c>
      <c r="M527" s="1213" t="s">
        <v>1282</v>
      </c>
      <c r="N527" s="1275">
        <v>40</v>
      </c>
      <c r="O527" s="1276" t="s">
        <v>1255</v>
      </c>
      <c r="P527" s="1290">
        <v>56</v>
      </c>
      <c r="Q527" s="1286" t="s">
        <v>1235</v>
      </c>
      <c r="R527" s="1279" t="s">
        <v>761</v>
      </c>
      <c r="S527" s="1287" t="s">
        <v>1808</v>
      </c>
      <c r="T527" s="1214">
        <v>0.125</v>
      </c>
      <c r="U527" s="1268" t="s">
        <v>307</v>
      </c>
      <c r="V527" s="360"/>
    </row>
    <row r="528" spans="1:22" ht="27" customHeight="1" thickBot="1">
      <c r="A528" s="1228"/>
      <c r="B528" s="1229"/>
      <c r="C528" s="1230" t="s">
        <v>873</v>
      </c>
      <c r="D528" s="1231"/>
      <c r="E528" s="1232"/>
      <c r="F528" s="1233"/>
      <c r="G528" s="1234"/>
      <c r="H528" s="1235"/>
      <c r="I528" s="1236"/>
      <c r="J528" s="1236"/>
      <c r="K528" s="1101"/>
      <c r="L528" s="1237"/>
      <c r="M528" s="1238"/>
      <c r="N528" s="1237"/>
      <c r="O528" s="1239"/>
      <c r="P528" s="1291"/>
      <c r="Q528" s="1240"/>
      <c r="R528" s="1241"/>
      <c r="S528" s="1242"/>
      <c r="T528" s="1243"/>
      <c r="U528" s="1171"/>
      <c r="V528" s="360"/>
    </row>
    <row r="529" spans="1:22" ht="27" customHeight="1">
      <c r="A529" s="1172">
        <v>71852</v>
      </c>
      <c r="B529" s="1173"/>
      <c r="C529" s="1197" t="s">
        <v>764</v>
      </c>
      <c r="D529" s="93" t="s">
        <v>763</v>
      </c>
      <c r="E529" s="1175" t="s">
        <v>858</v>
      </c>
      <c r="F529" s="1175" t="s">
        <v>862</v>
      </c>
      <c r="G529" s="1198"/>
      <c r="H529" s="1176" t="s">
        <v>1052</v>
      </c>
      <c r="I529" s="1199"/>
      <c r="J529" s="1200"/>
      <c r="K529" s="195">
        <f>ROUND(71*(1-$G$4),2)</f>
        <v>68.87</v>
      </c>
      <c r="L529" s="660">
        <v>2017</v>
      </c>
      <c r="M529" s="1201" t="s">
        <v>1282</v>
      </c>
      <c r="N529" s="1178">
        <v>50</v>
      </c>
      <c r="O529" s="1179" t="s">
        <v>1255</v>
      </c>
      <c r="P529" s="1288">
        <v>64</v>
      </c>
      <c r="Q529" s="1180" t="s">
        <v>1235</v>
      </c>
      <c r="R529" s="1202">
        <v>9785947769654</v>
      </c>
      <c r="S529" s="1181" t="s">
        <v>1808</v>
      </c>
      <c r="T529" s="1529">
        <v>0.1</v>
      </c>
      <c r="U529" s="1266" t="s">
        <v>307</v>
      </c>
      <c r="V529" s="360"/>
    </row>
    <row r="530" spans="1:22" ht="27" customHeight="1" thickBot="1">
      <c r="A530" s="1277">
        <v>71841</v>
      </c>
      <c r="B530" s="1263"/>
      <c r="C530" s="1278" t="s">
        <v>738</v>
      </c>
      <c r="D530" s="633" t="s">
        <v>737</v>
      </c>
      <c r="E530" s="1271" t="s">
        <v>858</v>
      </c>
      <c r="F530" s="1271" t="s">
        <v>740</v>
      </c>
      <c r="G530" s="1272"/>
      <c r="H530" s="237" t="s">
        <v>1799</v>
      </c>
      <c r="I530" s="1273"/>
      <c r="J530" s="1274"/>
      <c r="K530" s="200"/>
      <c r="L530" s="338">
        <v>2017</v>
      </c>
      <c r="M530" s="1213" t="s">
        <v>1282</v>
      </c>
      <c r="N530" s="1275">
        <v>40</v>
      </c>
      <c r="O530" s="1276" t="s">
        <v>1255</v>
      </c>
      <c r="P530" s="1290">
        <v>80</v>
      </c>
      <c r="Q530" s="1286" t="s">
        <v>1235</v>
      </c>
      <c r="R530" s="1279" t="s">
        <v>739</v>
      </c>
      <c r="S530" s="1287" t="s">
        <v>1808</v>
      </c>
      <c r="T530" s="1530">
        <v>0.2</v>
      </c>
      <c r="U530" s="1268" t="s">
        <v>307</v>
      </c>
      <c r="V530" s="360"/>
    </row>
    <row r="531" spans="1:22" ht="22.5" customHeight="1">
      <c r="A531" s="1478"/>
      <c r="B531" s="1479"/>
      <c r="C531" s="1163" t="s">
        <v>929</v>
      </c>
      <c r="D531" s="1480"/>
      <c r="E531" s="1481"/>
      <c r="F531" s="1481"/>
      <c r="G531" s="1482"/>
      <c r="H531" s="1483"/>
      <c r="I531" s="1484"/>
      <c r="J531" s="1485"/>
      <c r="K531" s="209"/>
      <c r="L531" s="654"/>
      <c r="M531" s="1486"/>
      <c r="N531" s="1487"/>
      <c r="O531" s="1488"/>
      <c r="P531" s="1489"/>
      <c r="Q531" s="1488"/>
      <c r="R531" s="1487"/>
      <c r="S531" s="1490"/>
      <c r="T531" s="1491"/>
      <c r="U531" s="1227"/>
      <c r="V531" s="360"/>
    </row>
    <row r="532" spans="1:22" ht="20.25" customHeight="1" thickBot="1">
      <c r="A532" s="1478"/>
      <c r="B532" s="1479"/>
      <c r="C532" s="1163" t="s">
        <v>868</v>
      </c>
      <c r="D532" s="1480"/>
      <c r="E532" s="1481"/>
      <c r="F532" s="1481"/>
      <c r="G532" s="1482"/>
      <c r="H532" s="1483"/>
      <c r="I532" s="1484"/>
      <c r="J532" s="1485"/>
      <c r="K532" s="209"/>
      <c r="L532" s="654"/>
      <c r="M532" s="1486"/>
      <c r="N532" s="1487"/>
      <c r="O532" s="1488"/>
      <c r="P532" s="1489"/>
      <c r="Q532" s="1488"/>
      <c r="R532" s="1487"/>
      <c r="S532" s="1490"/>
      <c r="T532" s="1491"/>
      <c r="U532" s="1227"/>
      <c r="V532" s="360"/>
    </row>
    <row r="533" spans="1:22" s="96" customFormat="1" ht="27" customHeight="1">
      <c r="A533" s="1503">
        <v>71872</v>
      </c>
      <c r="B533" s="1504"/>
      <c r="C533" s="1505" t="s">
        <v>729</v>
      </c>
      <c r="D533" s="93" t="s">
        <v>727</v>
      </c>
      <c r="E533" s="1045" t="s">
        <v>712</v>
      </c>
      <c r="F533" s="1045" t="s">
        <v>728</v>
      </c>
      <c r="G533" s="1507"/>
      <c r="H533" s="168" t="s">
        <v>1320</v>
      </c>
      <c r="I533" s="1506"/>
      <c r="J533" s="1506"/>
      <c r="K533" s="206">
        <f>ROUND(46.2*(1-$G$4),2)</f>
        <v>44.81</v>
      </c>
      <c r="L533" s="660">
        <v>2017</v>
      </c>
      <c r="M533" s="1177" t="s">
        <v>1282</v>
      </c>
      <c r="N533" s="1048">
        <v>100</v>
      </c>
      <c r="O533" s="1522" t="s">
        <v>1255</v>
      </c>
      <c r="P533" s="1048">
        <v>20</v>
      </c>
      <c r="Q533" s="1522" t="s">
        <v>1235</v>
      </c>
      <c r="R533" s="1544" t="s">
        <v>730</v>
      </c>
      <c r="S533" s="1508" t="s">
        <v>1808</v>
      </c>
      <c r="T533" s="1534">
        <v>0.03</v>
      </c>
      <c r="U533" s="1182" t="s">
        <v>307</v>
      </c>
      <c r="V533" s="1509"/>
    </row>
    <row r="534" spans="1:22" s="96" customFormat="1" ht="27" customHeight="1">
      <c r="A534" s="880">
        <v>71868</v>
      </c>
      <c r="B534" s="1510"/>
      <c r="C534" s="882" t="s">
        <v>896</v>
      </c>
      <c r="D534" s="691" t="s">
        <v>711</v>
      </c>
      <c r="E534" s="888" t="s">
        <v>712</v>
      </c>
      <c r="F534" s="888" t="s">
        <v>895</v>
      </c>
      <c r="G534" s="1512"/>
      <c r="H534" s="169" t="s">
        <v>1320</v>
      </c>
      <c r="I534" s="1511"/>
      <c r="J534" s="1511"/>
      <c r="K534" s="196">
        <f>ROUND(95.9*(1-$G$4),2)</f>
        <v>93.02</v>
      </c>
      <c r="L534" s="261">
        <v>2017</v>
      </c>
      <c r="M534" s="1528" t="s">
        <v>1282</v>
      </c>
      <c r="N534" s="890">
        <v>40</v>
      </c>
      <c r="O534" s="878" t="s">
        <v>1255</v>
      </c>
      <c r="P534" s="890">
        <v>32</v>
      </c>
      <c r="Q534" s="878" t="s">
        <v>1235</v>
      </c>
      <c r="R534" s="1545" t="s">
        <v>897</v>
      </c>
      <c r="S534" s="893" t="s">
        <v>1808</v>
      </c>
      <c r="T534" s="1535">
        <v>0.095</v>
      </c>
      <c r="U534" s="1193" t="s">
        <v>307</v>
      </c>
      <c r="V534" s="1509"/>
    </row>
    <row r="535" spans="1:22" s="96" customFormat="1" ht="27" customHeight="1" thickBot="1">
      <c r="A535" s="881">
        <v>71871</v>
      </c>
      <c r="B535" s="1513"/>
      <c r="C535" s="1459" t="s">
        <v>721</v>
      </c>
      <c r="D535" s="633" t="s">
        <v>936</v>
      </c>
      <c r="E535" s="1046" t="s">
        <v>712</v>
      </c>
      <c r="F535" s="1046" t="s">
        <v>720</v>
      </c>
      <c r="G535" s="1515"/>
      <c r="H535" s="237" t="s">
        <v>1799</v>
      </c>
      <c r="I535" s="1514"/>
      <c r="J535" s="1514"/>
      <c r="K535" s="199"/>
      <c r="L535" s="705">
        <v>2017</v>
      </c>
      <c r="M535" s="1194" t="s">
        <v>1282</v>
      </c>
      <c r="N535" s="1403">
        <v>40</v>
      </c>
      <c r="O535" s="879" t="s">
        <v>1255</v>
      </c>
      <c r="P535" s="1403">
        <v>52</v>
      </c>
      <c r="Q535" s="879" t="s">
        <v>1235</v>
      </c>
      <c r="R535" s="1546" t="s">
        <v>722</v>
      </c>
      <c r="S535" s="1516" t="s">
        <v>1808</v>
      </c>
      <c r="T535" s="1536">
        <v>0.138</v>
      </c>
      <c r="U535" s="1195" t="s">
        <v>307</v>
      </c>
      <c r="V535" s="1509"/>
    </row>
    <row r="536" spans="1:22" s="96" customFormat="1" ht="27" customHeight="1" thickBot="1">
      <c r="A536" s="1478"/>
      <c r="B536" s="1479"/>
      <c r="C536" s="1492" t="s">
        <v>930</v>
      </c>
      <c r="D536" s="1517"/>
      <c r="E536" s="1518"/>
      <c r="F536" s="1518"/>
      <c r="G536" s="1502"/>
      <c r="H536" s="1493"/>
      <c r="I536" s="1519"/>
      <c r="J536" s="1498"/>
      <c r="K536" s="205"/>
      <c r="L536" s="1414"/>
      <c r="M536" s="1494"/>
      <c r="N536" s="1495"/>
      <c r="O536" s="1496"/>
      <c r="P536" s="1497"/>
      <c r="Q536" s="1496"/>
      <c r="R536" s="1500"/>
      <c r="S536" s="1501"/>
      <c r="T536" s="1520"/>
      <c r="U536" s="1499"/>
      <c r="V536" s="1509"/>
    </row>
    <row r="537" spans="1:22" s="96" customFormat="1" ht="27" customHeight="1">
      <c r="A537" s="1503">
        <v>71947</v>
      </c>
      <c r="B537" s="1504"/>
      <c r="C537" s="1532" t="s">
        <v>924</v>
      </c>
      <c r="D537" s="93" t="s">
        <v>727</v>
      </c>
      <c r="E537" s="1045" t="s">
        <v>906</v>
      </c>
      <c r="F537" s="1047" t="s">
        <v>731</v>
      </c>
      <c r="G537" s="1507"/>
      <c r="H537" s="1049" t="s">
        <v>1799</v>
      </c>
      <c r="I537" s="1506"/>
      <c r="J537" s="1506"/>
      <c r="K537" s="206"/>
      <c r="L537" s="1525">
        <v>2017</v>
      </c>
      <c r="M537" s="1177" t="s">
        <v>1282</v>
      </c>
      <c r="N537" s="1048">
        <v>100</v>
      </c>
      <c r="O537" s="1522" t="s">
        <v>1255</v>
      </c>
      <c r="P537" s="1048">
        <v>24</v>
      </c>
      <c r="Q537" s="1522" t="s">
        <v>1235</v>
      </c>
      <c r="R537" s="1778" t="s">
        <v>934</v>
      </c>
      <c r="S537" s="1508" t="s">
        <v>1808</v>
      </c>
      <c r="T537" s="1537">
        <v>0.03</v>
      </c>
      <c r="U537" s="1182" t="s">
        <v>307</v>
      </c>
      <c r="V537" s="1509"/>
    </row>
    <row r="538" spans="1:22" s="96" customFormat="1" ht="27" customHeight="1">
      <c r="A538" s="880">
        <v>71936</v>
      </c>
      <c r="B538" s="1510"/>
      <c r="C538" s="1533" t="s">
        <v>917</v>
      </c>
      <c r="D538" s="691" t="s">
        <v>711</v>
      </c>
      <c r="E538" s="888" t="s">
        <v>906</v>
      </c>
      <c r="F538" s="888" t="s">
        <v>713</v>
      </c>
      <c r="G538" s="1512"/>
      <c r="H538" s="246" t="s">
        <v>1238</v>
      </c>
      <c r="I538" s="1511"/>
      <c r="J538" s="1511"/>
      <c r="K538" s="196">
        <f>ROUND(95.9*(1-$G$4),2)</f>
        <v>93.02</v>
      </c>
      <c r="L538" s="1526">
        <v>2017</v>
      </c>
      <c r="M538" s="1528" t="s">
        <v>1282</v>
      </c>
      <c r="N538" s="890">
        <v>40</v>
      </c>
      <c r="O538" s="878" t="s">
        <v>1255</v>
      </c>
      <c r="P538" s="890">
        <v>32</v>
      </c>
      <c r="Q538" s="878" t="s">
        <v>1235</v>
      </c>
      <c r="R538" s="1551">
        <v>9785947769791</v>
      </c>
      <c r="S538" s="893" t="s">
        <v>1808</v>
      </c>
      <c r="T538" s="1535">
        <v>0.095</v>
      </c>
      <c r="U538" s="1193" t="s">
        <v>307</v>
      </c>
      <c r="V538" s="1509"/>
    </row>
    <row r="539" spans="1:22" s="96" customFormat="1" ht="27" customHeight="1" thickBot="1">
      <c r="A539" s="881">
        <v>71942</v>
      </c>
      <c r="B539" s="1513"/>
      <c r="C539" s="1622" t="s">
        <v>940</v>
      </c>
      <c r="D539" s="633" t="s">
        <v>936</v>
      </c>
      <c r="E539" s="1046" t="s">
        <v>724</v>
      </c>
      <c r="F539" s="1046" t="s">
        <v>723</v>
      </c>
      <c r="G539" s="1515"/>
      <c r="H539" s="237" t="s">
        <v>1799</v>
      </c>
      <c r="I539" s="1514"/>
      <c r="J539" s="1514"/>
      <c r="K539" s="199"/>
      <c r="L539" s="1527">
        <v>2017</v>
      </c>
      <c r="M539" s="1194" t="s">
        <v>1282</v>
      </c>
      <c r="N539" s="1403">
        <v>40</v>
      </c>
      <c r="O539" s="879" t="s">
        <v>1255</v>
      </c>
      <c r="P539" s="1403">
        <v>56</v>
      </c>
      <c r="Q539" s="879" t="s">
        <v>1235</v>
      </c>
      <c r="R539" s="1779">
        <v>9785947769944</v>
      </c>
      <c r="S539" s="1516" t="s">
        <v>1808</v>
      </c>
      <c r="T539" s="1538">
        <v>0.125</v>
      </c>
      <c r="U539" s="1195" t="s">
        <v>307</v>
      </c>
      <c r="V539" s="1509"/>
    </row>
    <row r="540" spans="1:22" s="96" customFormat="1" ht="27" customHeight="1" thickBot="1">
      <c r="A540" s="1478"/>
      <c r="B540" s="1479"/>
      <c r="C540" s="1492" t="s">
        <v>931</v>
      </c>
      <c r="D540" s="1517"/>
      <c r="E540" s="1518"/>
      <c r="F540" s="1518"/>
      <c r="G540" s="1502"/>
      <c r="H540" s="1493"/>
      <c r="I540" s="1519"/>
      <c r="J540" s="1498"/>
      <c r="K540" s="205"/>
      <c r="L540" s="1414"/>
      <c r="M540" s="1494"/>
      <c r="N540" s="1495"/>
      <c r="O540" s="1496"/>
      <c r="P540" s="1497"/>
      <c r="Q540" s="1496"/>
      <c r="R540" s="1549"/>
      <c r="S540" s="1501"/>
      <c r="T540" s="1520"/>
      <c r="U540" s="1499"/>
      <c r="V540" s="1509"/>
    </row>
    <row r="541" spans="1:22" s="96" customFormat="1" ht="27" customHeight="1">
      <c r="A541" s="1503">
        <v>71944</v>
      </c>
      <c r="B541" s="1504"/>
      <c r="C541" s="1505" t="s">
        <v>925</v>
      </c>
      <c r="D541" s="93" t="s">
        <v>727</v>
      </c>
      <c r="E541" s="1045" t="s">
        <v>906</v>
      </c>
      <c r="F541" s="1047" t="s">
        <v>732</v>
      </c>
      <c r="G541" s="1507"/>
      <c r="H541" s="1049" t="s">
        <v>1799</v>
      </c>
      <c r="I541" s="1506"/>
      <c r="J541" s="1521"/>
      <c r="K541" s="206"/>
      <c r="L541" s="1525">
        <v>2017</v>
      </c>
      <c r="M541" s="1177" t="s">
        <v>1282</v>
      </c>
      <c r="N541" s="1048">
        <v>100</v>
      </c>
      <c r="O541" s="1522" t="s">
        <v>1255</v>
      </c>
      <c r="P541" s="1048">
        <v>24</v>
      </c>
      <c r="Q541" s="1522" t="s">
        <v>1235</v>
      </c>
      <c r="R541" s="1550">
        <v>9785947769838</v>
      </c>
      <c r="S541" s="1542" t="s">
        <v>1808</v>
      </c>
      <c r="T541" s="1534">
        <v>0.125</v>
      </c>
      <c r="U541" s="1182" t="s">
        <v>307</v>
      </c>
      <c r="V541" s="1509"/>
    </row>
    <row r="542" spans="1:22" s="96" customFormat="1" ht="27" customHeight="1">
      <c r="A542" s="880">
        <v>71939</v>
      </c>
      <c r="B542" s="1510"/>
      <c r="C542" s="882" t="s">
        <v>918</v>
      </c>
      <c r="D542" s="691" t="s">
        <v>711</v>
      </c>
      <c r="E542" s="888" t="s">
        <v>906</v>
      </c>
      <c r="F542" s="888" t="s">
        <v>714</v>
      </c>
      <c r="G542" s="1512"/>
      <c r="H542" s="167" t="s">
        <v>1799</v>
      </c>
      <c r="I542" s="1511"/>
      <c r="J542" s="1523"/>
      <c r="K542" s="196"/>
      <c r="L542" s="1526">
        <v>2017</v>
      </c>
      <c r="M542" s="1528" t="s">
        <v>1282</v>
      </c>
      <c r="N542" s="890">
        <v>25</v>
      </c>
      <c r="O542" s="878" t="s">
        <v>1255</v>
      </c>
      <c r="P542" s="890">
        <v>64</v>
      </c>
      <c r="Q542" s="878" t="s">
        <v>1235</v>
      </c>
      <c r="R542" s="1551">
        <v>9785947769814</v>
      </c>
      <c r="S542" s="1531" t="s">
        <v>1808</v>
      </c>
      <c r="T542" s="1535">
        <v>0.14</v>
      </c>
      <c r="U542" s="1193" t="s">
        <v>307</v>
      </c>
      <c r="V542" s="1509"/>
    </row>
    <row r="543" spans="1:22" s="96" customFormat="1" ht="27" customHeight="1" thickBot="1">
      <c r="A543" s="881">
        <v>71941</v>
      </c>
      <c r="B543" s="1513"/>
      <c r="C543" s="1459" t="s">
        <v>921</v>
      </c>
      <c r="D543" s="633" t="s">
        <v>936</v>
      </c>
      <c r="E543" s="1046" t="s">
        <v>906</v>
      </c>
      <c r="F543" s="1046" t="s">
        <v>875</v>
      </c>
      <c r="G543" s="1515"/>
      <c r="H543" s="1701" t="s">
        <v>1799</v>
      </c>
      <c r="I543" s="1514"/>
      <c r="J543" s="1524"/>
      <c r="K543" s="199"/>
      <c r="L543" s="1527">
        <v>2017</v>
      </c>
      <c r="M543" s="1194" t="s">
        <v>1282</v>
      </c>
      <c r="N543" s="1403">
        <v>25</v>
      </c>
      <c r="O543" s="879" t="s">
        <v>1255</v>
      </c>
      <c r="P543" s="1403">
        <v>84</v>
      </c>
      <c r="Q543" s="879" t="s">
        <v>1235</v>
      </c>
      <c r="R543" s="1552">
        <v>9785947769821</v>
      </c>
      <c r="S543" s="1543" t="s">
        <v>1808</v>
      </c>
      <c r="T543" s="1536">
        <v>0.19</v>
      </c>
      <c r="U543" s="1195" t="s">
        <v>307</v>
      </c>
      <c r="V543" s="1509"/>
    </row>
    <row r="544" spans="1:22" s="96" customFormat="1" ht="27" customHeight="1" thickBot="1">
      <c r="A544" s="1478"/>
      <c r="B544" s="1479"/>
      <c r="C544" s="1492" t="s">
        <v>932</v>
      </c>
      <c r="D544" s="1517"/>
      <c r="E544" s="1518"/>
      <c r="F544" s="1518"/>
      <c r="G544" s="1502"/>
      <c r="H544" s="1493"/>
      <c r="I544" s="1519"/>
      <c r="J544" s="205"/>
      <c r="K544" s="205"/>
      <c r="L544" s="1414"/>
      <c r="M544" s="1494"/>
      <c r="N544" s="1495"/>
      <c r="O544" s="1496"/>
      <c r="P544" s="1497"/>
      <c r="Q544" s="1496"/>
      <c r="R544" s="1549"/>
      <c r="S544" s="1501"/>
      <c r="T544" s="1520"/>
      <c r="U544" s="1499"/>
      <c r="V544" s="1509"/>
    </row>
    <row r="545" spans="1:22" s="96" customFormat="1" ht="27" customHeight="1">
      <c r="A545" s="1503">
        <v>71945</v>
      </c>
      <c r="B545" s="1504"/>
      <c r="C545" s="1505" t="s">
        <v>926</v>
      </c>
      <c r="D545" s="93" t="s">
        <v>727</v>
      </c>
      <c r="E545" s="1045" t="s">
        <v>907</v>
      </c>
      <c r="F545" s="1045" t="s">
        <v>733</v>
      </c>
      <c r="G545" s="1507"/>
      <c r="H545" s="1639" t="s">
        <v>1238</v>
      </c>
      <c r="I545" s="1506"/>
      <c r="J545" s="1521"/>
      <c r="K545" s="206">
        <f>ROUND(46.2*(1-$G$4),2)</f>
        <v>44.81</v>
      </c>
      <c r="L545" s="1525">
        <v>2017</v>
      </c>
      <c r="M545" s="1177" t="s">
        <v>1282</v>
      </c>
      <c r="N545" s="1048">
        <v>100</v>
      </c>
      <c r="O545" s="1522" t="s">
        <v>1255</v>
      </c>
      <c r="P545" s="1048">
        <v>24</v>
      </c>
      <c r="Q545" s="1522" t="s">
        <v>1235</v>
      </c>
      <c r="R545" s="1553">
        <v>9785947769890</v>
      </c>
      <c r="S545" s="1508" t="s">
        <v>1808</v>
      </c>
      <c r="T545" s="1539">
        <v>0.0057</v>
      </c>
      <c r="U545" s="1182" t="s">
        <v>307</v>
      </c>
      <c r="V545" s="1509"/>
    </row>
    <row r="546" spans="1:22" s="96" customFormat="1" ht="27" customHeight="1">
      <c r="A546" s="880">
        <v>71937</v>
      </c>
      <c r="B546" s="1510"/>
      <c r="C546" s="882" t="s">
        <v>919</v>
      </c>
      <c r="D546" s="691" t="s">
        <v>711</v>
      </c>
      <c r="E546" s="888" t="s">
        <v>907</v>
      </c>
      <c r="F546" s="888" t="s">
        <v>715</v>
      </c>
      <c r="G546" s="1512"/>
      <c r="H546" s="101" t="s">
        <v>1238</v>
      </c>
      <c r="I546" s="1511"/>
      <c r="J546" s="1523"/>
      <c r="K546" s="196">
        <f>ROUND(103*(1-$G$4),2)</f>
        <v>99.91</v>
      </c>
      <c r="L546" s="1526">
        <v>2017</v>
      </c>
      <c r="M546" s="1528" t="s">
        <v>1282</v>
      </c>
      <c r="N546" s="890">
        <v>40</v>
      </c>
      <c r="O546" s="878" t="s">
        <v>1255</v>
      </c>
      <c r="P546" s="890">
        <v>48</v>
      </c>
      <c r="Q546" s="878" t="s">
        <v>1235</v>
      </c>
      <c r="R546" s="1547">
        <v>9785947769876</v>
      </c>
      <c r="S546" s="893" t="s">
        <v>1808</v>
      </c>
      <c r="T546" s="1540">
        <v>0.12</v>
      </c>
      <c r="U546" s="1193" t="s">
        <v>307</v>
      </c>
      <c r="V546" s="1509"/>
    </row>
    <row r="547" spans="1:22" s="96" customFormat="1" ht="27" customHeight="1" thickBot="1">
      <c r="A547" s="881">
        <v>71940</v>
      </c>
      <c r="B547" s="1513"/>
      <c r="C547" s="1459" t="s">
        <v>922</v>
      </c>
      <c r="D547" s="633" t="s">
        <v>936</v>
      </c>
      <c r="E547" s="1046" t="s">
        <v>907</v>
      </c>
      <c r="F547" s="1046" t="s">
        <v>725</v>
      </c>
      <c r="G547" s="1515"/>
      <c r="H547" s="237" t="s">
        <v>1799</v>
      </c>
      <c r="I547" s="1514"/>
      <c r="J547" s="1524"/>
      <c r="K547" s="199"/>
      <c r="L547" s="1527">
        <v>2017</v>
      </c>
      <c r="M547" s="1194" t="s">
        <v>1282</v>
      </c>
      <c r="N547" s="1403">
        <v>40</v>
      </c>
      <c r="O547" s="879" t="s">
        <v>1255</v>
      </c>
      <c r="P547" s="1403">
        <v>72</v>
      </c>
      <c r="Q547" s="879" t="s">
        <v>1235</v>
      </c>
      <c r="R547" s="1548">
        <v>9785947769883</v>
      </c>
      <c r="S547" s="1516" t="s">
        <v>1808</v>
      </c>
      <c r="T547" s="1541">
        <v>0.186</v>
      </c>
      <c r="U547" s="1195" t="s">
        <v>307</v>
      </c>
      <c r="V547" s="1509"/>
    </row>
    <row r="548" spans="1:22" s="96" customFormat="1" ht="27" customHeight="1" thickBot="1">
      <c r="A548" s="1478"/>
      <c r="B548" s="1479"/>
      <c r="C548" s="1492" t="s">
        <v>872</v>
      </c>
      <c r="D548" s="1517"/>
      <c r="E548" s="1518"/>
      <c r="F548" s="1518"/>
      <c r="G548" s="1502"/>
      <c r="H548" s="1493"/>
      <c r="I548" s="1519"/>
      <c r="J548" s="205"/>
      <c r="K548" s="205"/>
      <c r="L548" s="1414"/>
      <c r="M548" s="1494"/>
      <c r="N548" s="1495"/>
      <c r="O548" s="1496"/>
      <c r="P548" s="1497"/>
      <c r="Q548" s="1496"/>
      <c r="R548" s="1554"/>
      <c r="S548" s="1501"/>
      <c r="T548" s="1520"/>
      <c r="U548" s="1499"/>
      <c r="V548" s="1509"/>
    </row>
    <row r="549" spans="1:22" s="96" customFormat="1" ht="27" customHeight="1">
      <c r="A549" s="1503">
        <v>71946</v>
      </c>
      <c r="B549" s="1504"/>
      <c r="C549" s="1505" t="s">
        <v>927</v>
      </c>
      <c r="D549" s="93" t="s">
        <v>727</v>
      </c>
      <c r="E549" s="1045" t="s">
        <v>928</v>
      </c>
      <c r="F549" s="1045" t="s">
        <v>898</v>
      </c>
      <c r="G549" s="1507"/>
      <c r="H549" s="150" t="s">
        <v>1238</v>
      </c>
      <c r="I549" s="1506"/>
      <c r="J549" s="1521"/>
      <c r="K549" s="206">
        <f>ROUND(46.2*(1-$G$4),2)</f>
        <v>44.81</v>
      </c>
      <c r="L549" s="1525">
        <v>2017</v>
      </c>
      <c r="M549" s="1177" t="s">
        <v>1282</v>
      </c>
      <c r="N549" s="1048">
        <v>100</v>
      </c>
      <c r="O549" s="1522" t="s">
        <v>1255</v>
      </c>
      <c r="P549" s="1048">
        <v>24</v>
      </c>
      <c r="Q549" s="1522" t="s">
        <v>1235</v>
      </c>
      <c r="R549" s="1555" t="s">
        <v>935</v>
      </c>
      <c r="S549" s="1508" t="s">
        <v>1808</v>
      </c>
      <c r="T549" s="1576">
        <v>0.055</v>
      </c>
      <c r="U549" s="1266" t="s">
        <v>307</v>
      </c>
      <c r="V549" s="1509"/>
    </row>
    <row r="550" spans="1:22" s="96" customFormat="1" ht="27" customHeight="1">
      <c r="A550" s="880">
        <v>71938</v>
      </c>
      <c r="B550" s="1510"/>
      <c r="C550" s="882" t="s">
        <v>920</v>
      </c>
      <c r="D550" s="691" t="s">
        <v>711</v>
      </c>
      <c r="E550" s="888" t="s">
        <v>908</v>
      </c>
      <c r="F550" s="888" t="s">
        <v>716</v>
      </c>
      <c r="G550" s="1512"/>
      <c r="H550" s="246" t="s">
        <v>1238</v>
      </c>
      <c r="I550" s="1511"/>
      <c r="J550" s="1523"/>
      <c r="K550" s="196">
        <f>ROUND(103*(1-$G$4),2)</f>
        <v>99.91</v>
      </c>
      <c r="L550" s="1526">
        <v>2017</v>
      </c>
      <c r="M550" s="1528" t="s">
        <v>1282</v>
      </c>
      <c r="N550" s="890">
        <v>40</v>
      </c>
      <c r="O550" s="878" t="s">
        <v>1255</v>
      </c>
      <c r="P550" s="890">
        <v>40</v>
      </c>
      <c r="Q550" s="878" t="s">
        <v>1235</v>
      </c>
      <c r="R550" s="1556" t="s">
        <v>933</v>
      </c>
      <c r="S550" s="893" t="s">
        <v>1808</v>
      </c>
      <c r="T550" s="1577">
        <v>0.1</v>
      </c>
      <c r="U550" s="1267" t="s">
        <v>307</v>
      </c>
      <c r="V550" s="1509"/>
    </row>
    <row r="551" spans="1:22" s="96" customFormat="1" ht="27" customHeight="1" thickBot="1">
      <c r="A551" s="881">
        <v>71943</v>
      </c>
      <c r="B551" s="1513"/>
      <c r="C551" s="1459" t="s">
        <v>923</v>
      </c>
      <c r="D551" s="633" t="s">
        <v>936</v>
      </c>
      <c r="E551" s="1046" t="s">
        <v>908</v>
      </c>
      <c r="F551" s="1046" t="s">
        <v>726</v>
      </c>
      <c r="G551" s="1515"/>
      <c r="H551" s="237" t="s">
        <v>1799</v>
      </c>
      <c r="I551" s="1514"/>
      <c r="J551" s="1524"/>
      <c r="K551" s="199"/>
      <c r="L551" s="1527">
        <v>2017</v>
      </c>
      <c r="M551" s="1194" t="s">
        <v>1282</v>
      </c>
      <c r="N551" s="1403">
        <v>40</v>
      </c>
      <c r="O551" s="879" t="s">
        <v>1255</v>
      </c>
      <c r="P551" s="1403">
        <v>64</v>
      </c>
      <c r="Q551" s="879" t="s">
        <v>1235</v>
      </c>
      <c r="R551" s="1557">
        <v>9785947769913</v>
      </c>
      <c r="S551" s="1516" t="s">
        <v>1808</v>
      </c>
      <c r="T551" s="1578">
        <v>0.145</v>
      </c>
      <c r="U551" s="1268" t="s">
        <v>307</v>
      </c>
      <c r="V551" s="1509"/>
    </row>
    <row r="552" spans="1:22" s="96" customFormat="1" ht="27" customHeight="1" thickBot="1">
      <c r="A552" s="1478"/>
      <c r="B552" s="1479"/>
      <c r="C552" s="1492" t="s">
        <v>873</v>
      </c>
      <c r="D552" s="1517"/>
      <c r="E552" s="1518"/>
      <c r="F552" s="1518"/>
      <c r="G552" s="1502"/>
      <c r="H552" s="1493"/>
      <c r="I552" s="1519"/>
      <c r="J552" s="205"/>
      <c r="K552" s="205"/>
      <c r="L552" s="1414"/>
      <c r="M552" s="1494"/>
      <c r="N552" s="1495"/>
      <c r="O552" s="1496"/>
      <c r="P552" s="1497"/>
      <c r="Q552" s="1496"/>
      <c r="R552" s="1549"/>
      <c r="S552" s="1501"/>
      <c r="T552" s="1520"/>
      <c r="U552" s="1499"/>
      <c r="V552" s="1509"/>
    </row>
    <row r="553" spans="1:22" s="96" customFormat="1" ht="27" customHeight="1">
      <c r="A553" s="1503">
        <v>71873</v>
      </c>
      <c r="B553" s="1504"/>
      <c r="C553" s="1505" t="s">
        <v>735</v>
      </c>
      <c r="D553" s="93" t="s">
        <v>727</v>
      </c>
      <c r="E553" s="1045" t="s">
        <v>909</v>
      </c>
      <c r="F553" s="1045" t="s">
        <v>734</v>
      </c>
      <c r="G553" s="1507"/>
      <c r="H553" s="168" t="s">
        <v>1320</v>
      </c>
      <c r="I553" s="1506"/>
      <c r="J553" s="1521"/>
      <c r="K553" s="195">
        <f>ROUND(46.2*(1-$G$4),2)</f>
        <v>44.81</v>
      </c>
      <c r="L553" s="1525">
        <v>2017</v>
      </c>
      <c r="M553" s="1177" t="s">
        <v>1282</v>
      </c>
      <c r="N553" s="1048">
        <v>100</v>
      </c>
      <c r="O553" s="1522" t="s">
        <v>1255</v>
      </c>
      <c r="P553" s="1048">
        <v>16</v>
      </c>
      <c r="Q553" s="1522" t="s">
        <v>1235</v>
      </c>
      <c r="R553" s="1544" t="s">
        <v>736</v>
      </c>
      <c r="S553" s="1508" t="s">
        <v>1808</v>
      </c>
      <c r="T553" s="1534">
        <v>0.09</v>
      </c>
      <c r="U553" s="1182" t="s">
        <v>307</v>
      </c>
      <c r="V553" s="1509"/>
    </row>
    <row r="554" spans="1:22" s="96" customFormat="1" ht="27" customHeight="1">
      <c r="A554" s="880">
        <v>71869</v>
      </c>
      <c r="B554" s="1510"/>
      <c r="C554" s="882" t="s">
        <v>718</v>
      </c>
      <c r="D554" s="691" t="s">
        <v>711</v>
      </c>
      <c r="E554" s="888" t="s">
        <v>909</v>
      </c>
      <c r="F554" s="888" t="s">
        <v>717</v>
      </c>
      <c r="G554" s="1512"/>
      <c r="H554" s="169" t="s">
        <v>1320</v>
      </c>
      <c r="I554" s="1511"/>
      <c r="J554" s="1523"/>
      <c r="K554" s="196">
        <f>ROUND(110.1*(1-$G$4),2)</f>
        <v>106.8</v>
      </c>
      <c r="L554" s="1526">
        <v>2017</v>
      </c>
      <c r="M554" s="1188" t="s">
        <v>1282</v>
      </c>
      <c r="N554" s="890">
        <v>25</v>
      </c>
      <c r="O554" s="878" t="s">
        <v>1255</v>
      </c>
      <c r="P554" s="890">
        <v>64</v>
      </c>
      <c r="Q554" s="878" t="s">
        <v>1235</v>
      </c>
      <c r="R554" s="1545" t="s">
        <v>719</v>
      </c>
      <c r="S554" s="893" t="s">
        <v>1808</v>
      </c>
      <c r="T554" s="1535">
        <v>0.157</v>
      </c>
      <c r="U554" s="1193" t="s">
        <v>307</v>
      </c>
      <c r="V554" s="1509"/>
    </row>
    <row r="555" spans="1:22" s="96" customFormat="1" ht="27" customHeight="1" thickBot="1">
      <c r="A555" s="881">
        <v>71870</v>
      </c>
      <c r="B555" s="1513"/>
      <c r="C555" s="1459" t="s">
        <v>877</v>
      </c>
      <c r="D555" s="633" t="s">
        <v>936</v>
      </c>
      <c r="E555" s="1046" t="s">
        <v>909</v>
      </c>
      <c r="F555" s="1046" t="s">
        <v>876</v>
      </c>
      <c r="G555" s="1515"/>
      <c r="H555" s="237" t="s">
        <v>1799</v>
      </c>
      <c r="I555" s="1514"/>
      <c r="J555" s="1524"/>
      <c r="K555" s="200"/>
      <c r="L555" s="1527">
        <v>2017</v>
      </c>
      <c r="M555" s="1194" t="s">
        <v>1282</v>
      </c>
      <c r="N555" s="1403">
        <v>25</v>
      </c>
      <c r="O555" s="879" t="s">
        <v>1255</v>
      </c>
      <c r="P555" s="1403">
        <v>80</v>
      </c>
      <c r="Q555" s="879" t="s">
        <v>1235</v>
      </c>
      <c r="R555" s="1546" t="s">
        <v>878</v>
      </c>
      <c r="S555" s="1516" t="s">
        <v>1808</v>
      </c>
      <c r="T555" s="1536">
        <v>0.157</v>
      </c>
      <c r="U555" s="1195" t="s">
        <v>307</v>
      </c>
      <c r="V555" s="1509"/>
    </row>
    <row r="556" spans="1:22" ht="21" customHeight="1" thickBot="1">
      <c r="A556" s="1102" t="s">
        <v>1156</v>
      </c>
      <c r="B556" s="1008"/>
      <c r="C556" s="744"/>
      <c r="D556" s="62"/>
      <c r="E556" s="62"/>
      <c r="F556" s="62"/>
      <c r="G556" s="432"/>
      <c r="H556" s="63"/>
      <c r="I556" s="63"/>
      <c r="J556" s="61"/>
      <c r="K556" s="192"/>
      <c r="L556" s="64"/>
      <c r="M556" s="864"/>
      <c r="N556" s="64"/>
      <c r="O556" s="65"/>
      <c r="P556" s="66"/>
      <c r="Q556" s="65"/>
      <c r="R556" s="64"/>
      <c r="S556" s="292"/>
      <c r="T556" s="297"/>
      <c r="U556" s="923"/>
      <c r="V556" s="360" t="e">
        <f>VLOOKUP(A556,#REF!,10,FALSE)</f>
        <v>#REF!</v>
      </c>
    </row>
    <row r="557" spans="1:22" ht="28.5" customHeight="1">
      <c r="A557" s="747">
        <v>70561</v>
      </c>
      <c r="B557" s="1011">
        <v>541</v>
      </c>
      <c r="C557" s="556" t="s">
        <v>1819</v>
      </c>
      <c r="D557" s="123" t="s">
        <v>1817</v>
      </c>
      <c r="E557" s="457" t="s">
        <v>1376</v>
      </c>
      <c r="F557" s="457" t="s">
        <v>1818</v>
      </c>
      <c r="G557" s="458" t="s">
        <v>1218</v>
      </c>
      <c r="H557" s="104"/>
      <c r="I557" s="1080"/>
      <c r="J557" s="459"/>
      <c r="K557" s="207">
        <f>ROUND(2925*(1-$G$4),2)</f>
        <v>2837.25</v>
      </c>
      <c r="L557" s="146">
        <v>2014</v>
      </c>
      <c r="M557" s="145" t="s">
        <v>1231</v>
      </c>
      <c r="N557" s="146">
        <v>3</v>
      </c>
      <c r="O557" s="316" t="s">
        <v>1162</v>
      </c>
      <c r="P557" s="146">
        <v>336</v>
      </c>
      <c r="Q557" s="693">
        <v>7</v>
      </c>
      <c r="R557" s="323" t="s">
        <v>89</v>
      </c>
      <c r="S557" s="410" t="s">
        <v>1807</v>
      </c>
      <c r="T557" s="275">
        <v>0.683</v>
      </c>
      <c r="U557" s="924" t="s">
        <v>307</v>
      </c>
      <c r="V557" s="360" t="e">
        <f>VLOOKUP(A557,#REF!,10,FALSE)</f>
        <v>#REF!</v>
      </c>
    </row>
    <row r="558" spans="1:22" ht="24.75" customHeight="1">
      <c r="A558" s="721">
        <v>60021</v>
      </c>
      <c r="B558" s="1001">
        <v>612</v>
      </c>
      <c r="C558" s="557" t="s">
        <v>1823</v>
      </c>
      <c r="D558" s="124" t="s">
        <v>1817</v>
      </c>
      <c r="E558" s="158" t="s">
        <v>1376</v>
      </c>
      <c r="F558" s="158" t="s">
        <v>1822</v>
      </c>
      <c r="G558" s="694" t="s">
        <v>1218</v>
      </c>
      <c r="H558" s="167"/>
      <c r="I558" s="863"/>
      <c r="J558" s="404"/>
      <c r="K558" s="201">
        <f>ROUND(2925*(1-$G$4),2)</f>
        <v>2837.25</v>
      </c>
      <c r="L558" s="148">
        <v>2012</v>
      </c>
      <c r="M558" s="844" t="s">
        <v>1231</v>
      </c>
      <c r="N558" s="148">
        <v>3</v>
      </c>
      <c r="O558" s="311" t="s">
        <v>1162</v>
      </c>
      <c r="P558" s="148">
        <v>320</v>
      </c>
      <c r="Q558" s="695">
        <v>7</v>
      </c>
      <c r="R558" s="322" t="s">
        <v>91</v>
      </c>
      <c r="S558" s="87" t="s">
        <v>1807</v>
      </c>
      <c r="T558" s="276">
        <v>0.68</v>
      </c>
      <c r="U558" s="917" t="s">
        <v>307</v>
      </c>
      <c r="V558" s="360" t="e">
        <f>VLOOKUP(A558,#REF!,10,FALSE)</f>
        <v>#REF!</v>
      </c>
    </row>
    <row r="559" spans="1:22" ht="27.75" customHeight="1">
      <c r="A559" s="721">
        <v>70111</v>
      </c>
      <c r="B559" s="1001">
        <v>572</v>
      </c>
      <c r="C559" s="557" t="s">
        <v>1825</v>
      </c>
      <c r="D559" s="124" t="s">
        <v>1817</v>
      </c>
      <c r="E559" s="158" t="s">
        <v>1376</v>
      </c>
      <c r="F559" s="158" t="s">
        <v>1824</v>
      </c>
      <c r="G559" s="403"/>
      <c r="H559" s="167"/>
      <c r="I559" s="863"/>
      <c r="J559" s="404"/>
      <c r="K559" s="201">
        <f>ROUND(2925*(1-$G$4),2)</f>
        <v>2837.25</v>
      </c>
      <c r="L559" s="148">
        <v>2013</v>
      </c>
      <c r="M559" s="844" t="s">
        <v>1231</v>
      </c>
      <c r="N559" s="148">
        <v>3</v>
      </c>
      <c r="O559" s="311" t="s">
        <v>1162</v>
      </c>
      <c r="P559" s="148">
        <v>320</v>
      </c>
      <c r="Q559" s="695">
        <v>7</v>
      </c>
      <c r="R559" s="322" t="s">
        <v>92</v>
      </c>
      <c r="S559" s="87" t="s">
        <v>1807</v>
      </c>
      <c r="T559" s="276">
        <v>0.685</v>
      </c>
      <c r="U559" s="917" t="s">
        <v>307</v>
      </c>
      <c r="V559" s="360" t="e">
        <f>VLOOKUP(A559,#REF!,10,FALSE)</f>
        <v>#REF!</v>
      </c>
    </row>
    <row r="560" spans="1:22" ht="24.75" customHeight="1">
      <c r="A560" s="721">
        <v>70112</v>
      </c>
      <c r="B560" s="1001">
        <v>585</v>
      </c>
      <c r="C560" s="557" t="s">
        <v>1821</v>
      </c>
      <c r="D560" s="124" t="s">
        <v>1817</v>
      </c>
      <c r="E560" s="158" t="s">
        <v>1376</v>
      </c>
      <c r="F560" s="158" t="s">
        <v>1820</v>
      </c>
      <c r="G560" s="403"/>
      <c r="H560" s="91"/>
      <c r="I560" s="863"/>
      <c r="J560" s="404"/>
      <c r="K560" s="201">
        <f>ROUND(2925*(1-$G$4),2)</f>
        <v>2837.25</v>
      </c>
      <c r="L560" s="148">
        <v>2013</v>
      </c>
      <c r="M560" s="844" t="s">
        <v>1231</v>
      </c>
      <c r="N560" s="148">
        <v>3</v>
      </c>
      <c r="O560" s="311" t="s">
        <v>1162</v>
      </c>
      <c r="P560" s="148">
        <v>336</v>
      </c>
      <c r="Q560" s="140">
        <v>7</v>
      </c>
      <c r="R560" s="322" t="s">
        <v>90</v>
      </c>
      <c r="S560" s="87" t="s">
        <v>1807</v>
      </c>
      <c r="T560" s="276">
        <v>0.7</v>
      </c>
      <c r="U560" s="917" t="s">
        <v>307</v>
      </c>
      <c r="V560" s="360" t="e">
        <f>VLOOKUP(A560,#REF!,10,FALSE)</f>
        <v>#REF!</v>
      </c>
    </row>
    <row r="561" spans="1:22" ht="27.75" customHeight="1">
      <c r="A561" s="721">
        <v>70114</v>
      </c>
      <c r="B561" s="1001">
        <v>649</v>
      </c>
      <c r="C561" s="557" t="s">
        <v>689</v>
      </c>
      <c r="D561" s="124" t="s">
        <v>1817</v>
      </c>
      <c r="E561" s="158" t="s">
        <v>1376</v>
      </c>
      <c r="F561" s="158" t="s">
        <v>688</v>
      </c>
      <c r="G561" s="403"/>
      <c r="H561" s="404"/>
      <c r="I561" s="404"/>
      <c r="J561" s="404"/>
      <c r="K561" s="201">
        <f>ROUND(2925*(1-$G$4),2)</f>
        <v>2837.25</v>
      </c>
      <c r="L561" s="148">
        <v>2013</v>
      </c>
      <c r="M561" s="844" t="s">
        <v>1231</v>
      </c>
      <c r="N561" s="148">
        <v>8</v>
      </c>
      <c r="O561" s="148" t="s">
        <v>1162</v>
      </c>
      <c r="P561" s="844">
        <v>288</v>
      </c>
      <c r="Q561" s="148" t="s">
        <v>1158</v>
      </c>
      <c r="R561" s="311" t="s">
        <v>690</v>
      </c>
      <c r="S561" s="87" t="s">
        <v>1807</v>
      </c>
      <c r="T561" s="276">
        <v>0.62</v>
      </c>
      <c r="U561" s="917" t="s">
        <v>307</v>
      </c>
      <c r="V561" s="360"/>
    </row>
    <row r="562" spans="1:22" s="96" customFormat="1" ht="27.75" customHeight="1">
      <c r="A562" s="1582">
        <v>70518</v>
      </c>
      <c r="B562" s="906"/>
      <c r="C562" s="1583" t="s">
        <v>893</v>
      </c>
      <c r="D562" s="85" t="s">
        <v>1817</v>
      </c>
      <c r="E562" s="91" t="s">
        <v>1376</v>
      </c>
      <c r="F562" s="91" t="s">
        <v>892</v>
      </c>
      <c r="G562" s="397"/>
      <c r="H562" s="166" t="s">
        <v>1799</v>
      </c>
      <c r="I562" s="85"/>
      <c r="J562" s="1391"/>
      <c r="K562" s="201"/>
      <c r="L562" s="272">
        <v>2014</v>
      </c>
      <c r="M562" s="272" t="s">
        <v>1231</v>
      </c>
      <c r="N562" s="148">
        <v>2</v>
      </c>
      <c r="O562" s="148" t="s">
        <v>1162</v>
      </c>
      <c r="P562" s="844">
        <v>1280</v>
      </c>
      <c r="Q562" s="148" t="s">
        <v>1232</v>
      </c>
      <c r="R562" s="148" t="s">
        <v>894</v>
      </c>
      <c r="S562" s="1584" t="s">
        <v>1807</v>
      </c>
      <c r="T562" s="276">
        <v>2.925</v>
      </c>
      <c r="U562" s="917" t="s">
        <v>307</v>
      </c>
      <c r="V562" s="1509"/>
    </row>
    <row r="563" spans="1:22" ht="33" customHeight="1" thickBot="1">
      <c r="A563" s="716">
        <v>71179</v>
      </c>
      <c r="B563" s="999">
        <v>614</v>
      </c>
      <c r="C563" s="717" t="s">
        <v>1832</v>
      </c>
      <c r="D563" s="184" t="s">
        <v>1817</v>
      </c>
      <c r="E563" s="391" t="s">
        <v>1376</v>
      </c>
      <c r="F563" s="391" t="s">
        <v>1831</v>
      </c>
      <c r="G563" s="1773"/>
      <c r="H563" s="129"/>
      <c r="I563" s="1092"/>
      <c r="J563" s="473"/>
      <c r="K563" s="210">
        <f>ROUND(5250*(1-$G$4),2)</f>
        <v>5092.5</v>
      </c>
      <c r="L563" s="259">
        <v>2015</v>
      </c>
      <c r="M563" s="856" t="s">
        <v>1231</v>
      </c>
      <c r="N563" s="259">
        <v>2</v>
      </c>
      <c r="O563" s="393" t="s">
        <v>1833</v>
      </c>
      <c r="P563" s="259">
        <v>624</v>
      </c>
      <c r="Q563" s="270" t="s">
        <v>1158</v>
      </c>
      <c r="R563" s="325" t="s">
        <v>93</v>
      </c>
      <c r="S563" s="424" t="s">
        <v>1809</v>
      </c>
      <c r="T563" s="298">
        <v>1.27</v>
      </c>
      <c r="U563" s="930" t="s">
        <v>307</v>
      </c>
      <c r="V563" s="360" t="e">
        <f>VLOOKUP(A563,#REF!,10,FALSE)</f>
        <v>#REF!</v>
      </c>
    </row>
    <row r="564" spans="1:22" ht="27.75" customHeight="1">
      <c r="A564" s="745">
        <v>71439</v>
      </c>
      <c r="B564" s="1009">
        <v>603</v>
      </c>
      <c r="C564" s="1721" t="s">
        <v>327</v>
      </c>
      <c r="D564" s="123" t="s">
        <v>2009</v>
      </c>
      <c r="E564" s="457" t="s">
        <v>2029</v>
      </c>
      <c r="F564" s="457" t="s">
        <v>328</v>
      </c>
      <c r="G564" s="104"/>
      <c r="H564" s="150"/>
      <c r="I564" s="1060" t="s">
        <v>1230</v>
      </c>
      <c r="J564" s="238"/>
      <c r="K564" s="195">
        <f>ROUND(400*(1-$G$4),2)</f>
        <v>388</v>
      </c>
      <c r="L564" s="263">
        <v>2016</v>
      </c>
      <c r="M564" s="145" t="s">
        <v>1231</v>
      </c>
      <c r="N564" s="263">
        <v>10</v>
      </c>
      <c r="O564" s="435" t="s">
        <v>1469</v>
      </c>
      <c r="P564" s="263">
        <v>336</v>
      </c>
      <c r="Q564" s="1774" t="s">
        <v>1232</v>
      </c>
      <c r="R564" s="323">
        <v>9785462018473</v>
      </c>
      <c r="S564" s="414" t="s">
        <v>1807</v>
      </c>
      <c r="T564" s="1777">
        <v>0.585</v>
      </c>
      <c r="U564" s="1775" t="s">
        <v>307</v>
      </c>
      <c r="V564" s="360" t="e">
        <f>VLOOKUP(A564,#REF!,10,FALSE)</f>
        <v>#REF!</v>
      </c>
    </row>
    <row r="565" spans="1:22" ht="27.75" customHeight="1">
      <c r="A565" s="721">
        <v>71380</v>
      </c>
      <c r="B565" s="1001">
        <v>490</v>
      </c>
      <c r="C565" s="557" t="s">
        <v>2011</v>
      </c>
      <c r="D565" s="124" t="s">
        <v>2009</v>
      </c>
      <c r="E565" s="158" t="s">
        <v>2029</v>
      </c>
      <c r="F565" s="158" t="s">
        <v>2010</v>
      </c>
      <c r="G565" s="85"/>
      <c r="H565" s="101"/>
      <c r="I565" s="863"/>
      <c r="J565" s="85"/>
      <c r="K565" s="196">
        <f>ROUND(412.5*(1-$G$4),2)</f>
        <v>400.13</v>
      </c>
      <c r="L565" s="148">
        <v>2016</v>
      </c>
      <c r="M565" s="147" t="s">
        <v>1231</v>
      </c>
      <c r="N565" s="148">
        <v>6</v>
      </c>
      <c r="O565" s="311" t="s">
        <v>1234</v>
      </c>
      <c r="P565" s="148">
        <v>352</v>
      </c>
      <c r="Q565" s="313" t="s">
        <v>1232</v>
      </c>
      <c r="R565" s="322" t="s">
        <v>81</v>
      </c>
      <c r="S565" s="143" t="s">
        <v>1807</v>
      </c>
      <c r="T565" s="1650">
        <v>0.775</v>
      </c>
      <c r="U565" s="1651" t="s">
        <v>307</v>
      </c>
      <c r="V565" s="360" t="e">
        <f>VLOOKUP(A565,#REF!,10,FALSE)</f>
        <v>#REF!</v>
      </c>
    </row>
    <row r="566" spans="1:22" ht="26.25" customHeight="1" thickBot="1">
      <c r="A566" s="746">
        <v>71408</v>
      </c>
      <c r="B566" s="1010">
        <v>119</v>
      </c>
      <c r="C566" s="1722" t="s">
        <v>2013</v>
      </c>
      <c r="D566" s="466" t="s">
        <v>2009</v>
      </c>
      <c r="E566" s="406" t="s">
        <v>2027</v>
      </c>
      <c r="F566" s="406" t="s">
        <v>2012</v>
      </c>
      <c r="G566" s="138"/>
      <c r="H566" s="170" t="s">
        <v>1320</v>
      </c>
      <c r="I566" s="1081"/>
      <c r="J566" s="138"/>
      <c r="K566" s="200">
        <f>ROUND(300*(1-$G$4),2)</f>
        <v>291</v>
      </c>
      <c r="L566" s="344">
        <v>2016</v>
      </c>
      <c r="M566" s="855" t="s">
        <v>1231</v>
      </c>
      <c r="N566" s="344">
        <v>10</v>
      </c>
      <c r="O566" s="436" t="s">
        <v>2028</v>
      </c>
      <c r="P566" s="344">
        <v>368</v>
      </c>
      <c r="Q566" s="312" t="s">
        <v>1232</v>
      </c>
      <c r="R566" s="324" t="s">
        <v>82</v>
      </c>
      <c r="S566" s="358" t="s">
        <v>1807</v>
      </c>
      <c r="T566" s="1652">
        <v>0.61</v>
      </c>
      <c r="U566" s="1776" t="s">
        <v>307</v>
      </c>
      <c r="V566" s="360" t="e">
        <f>VLOOKUP(A566,#REF!,10,FALSE)</f>
        <v>#REF!</v>
      </c>
    </row>
    <row r="567" spans="1:22" s="697" customFormat="1" ht="27.75" customHeight="1">
      <c r="A567" s="758">
        <v>69240</v>
      </c>
      <c r="B567" s="1014">
        <v>422</v>
      </c>
      <c r="C567" s="787" t="s">
        <v>1814</v>
      </c>
      <c r="D567" s="560" t="s">
        <v>1160</v>
      </c>
      <c r="E567" s="561" t="s">
        <v>1816</v>
      </c>
      <c r="F567" s="561" t="s">
        <v>1815</v>
      </c>
      <c r="G567" s="562" t="s">
        <v>1218</v>
      </c>
      <c r="H567" s="185" t="s">
        <v>1321</v>
      </c>
      <c r="I567" s="1098"/>
      <c r="J567" s="186"/>
      <c r="K567" s="203">
        <v>70</v>
      </c>
      <c r="L567" s="844">
        <v>2011</v>
      </c>
      <c r="M567" s="844" t="s">
        <v>1231</v>
      </c>
      <c r="N567" s="260">
        <v>10</v>
      </c>
      <c r="O567" s="563" t="s">
        <v>1162</v>
      </c>
      <c r="P567" s="475">
        <v>64</v>
      </c>
      <c r="Q567" s="596" t="s">
        <v>1232</v>
      </c>
      <c r="R567" s="469" t="s">
        <v>87</v>
      </c>
      <c r="S567" s="696" t="s">
        <v>1921</v>
      </c>
      <c r="T567" s="860">
        <v>0.186</v>
      </c>
      <c r="U567" s="929" t="s">
        <v>307</v>
      </c>
      <c r="V567" s="360" t="e">
        <f>VLOOKUP(A567,#REF!,10,FALSE)</f>
        <v>#REF!</v>
      </c>
    </row>
    <row r="568" spans="1:22" ht="27" customHeight="1">
      <c r="A568" s="721">
        <v>27123</v>
      </c>
      <c r="B568" s="1001">
        <v>695</v>
      </c>
      <c r="C568" s="774" t="s">
        <v>1159</v>
      </c>
      <c r="D568" s="286" t="s">
        <v>1160</v>
      </c>
      <c r="E568" s="116" t="s">
        <v>1161</v>
      </c>
      <c r="F568" s="116" t="s">
        <v>1755</v>
      </c>
      <c r="G568" s="698"/>
      <c r="H568" s="56" t="s">
        <v>1321</v>
      </c>
      <c r="I568" s="863"/>
      <c r="J568" s="15"/>
      <c r="K568" s="201">
        <v>500</v>
      </c>
      <c r="L568" s="147">
        <v>2004</v>
      </c>
      <c r="M568" s="147" t="s">
        <v>1231</v>
      </c>
      <c r="N568" s="148">
        <v>6</v>
      </c>
      <c r="O568" s="272" t="s">
        <v>1162</v>
      </c>
      <c r="P568" s="311">
        <v>544</v>
      </c>
      <c r="Q568" s="318" t="s">
        <v>1158</v>
      </c>
      <c r="R568" s="322" t="s">
        <v>84</v>
      </c>
      <c r="S568" s="88" t="s">
        <v>1807</v>
      </c>
      <c r="T568" s="301">
        <v>0.8</v>
      </c>
      <c r="U568" s="927" t="s">
        <v>307</v>
      </c>
      <c r="V568" s="360" t="e">
        <f>VLOOKUP(A568,#REF!,10,FALSE)</f>
        <v>#REF!</v>
      </c>
    </row>
    <row r="569" spans="1:22" ht="27" customHeight="1">
      <c r="A569" s="724">
        <v>68996</v>
      </c>
      <c r="B569" s="1002">
        <v>511</v>
      </c>
      <c r="C569" s="731" t="s">
        <v>1163</v>
      </c>
      <c r="D569" s="286" t="s">
        <v>1160</v>
      </c>
      <c r="E569" s="94" t="s">
        <v>1164</v>
      </c>
      <c r="F569" s="94" t="s">
        <v>1756</v>
      </c>
      <c r="G569" s="518" t="s">
        <v>1218</v>
      </c>
      <c r="H569" s="166"/>
      <c r="I569" s="1071"/>
      <c r="J569" s="12"/>
      <c r="K569" s="196">
        <f>ROUND(1275*(1-$G$4),2)</f>
        <v>1236.75</v>
      </c>
      <c r="L569" s="147">
        <v>2010</v>
      </c>
      <c r="M569" s="147" t="s">
        <v>1231</v>
      </c>
      <c r="N569" s="261">
        <v>10</v>
      </c>
      <c r="O569" s="284" t="s">
        <v>1165</v>
      </c>
      <c r="P569" s="283">
        <v>272</v>
      </c>
      <c r="Q569" s="310" t="s">
        <v>1158</v>
      </c>
      <c r="R569" s="321" t="s">
        <v>86</v>
      </c>
      <c r="S569" s="87" t="s">
        <v>1807</v>
      </c>
      <c r="T569" s="288">
        <v>0.42</v>
      </c>
      <c r="U569" s="916" t="s">
        <v>307</v>
      </c>
      <c r="V569" s="360" t="e">
        <f>VLOOKUP(A569,#REF!,10,FALSE)</f>
        <v>#REF!</v>
      </c>
    </row>
    <row r="570" spans="1:22" ht="27" customHeight="1">
      <c r="A570" s="724">
        <v>57237</v>
      </c>
      <c r="B570" s="1002">
        <v>586</v>
      </c>
      <c r="C570" s="731" t="s">
        <v>1166</v>
      </c>
      <c r="D570" s="286" t="s">
        <v>1160</v>
      </c>
      <c r="E570" s="94" t="s">
        <v>1164</v>
      </c>
      <c r="F570" s="94" t="s">
        <v>1757</v>
      </c>
      <c r="G570" s="518" t="s">
        <v>1218</v>
      </c>
      <c r="H570" s="13"/>
      <c r="I570" s="1071"/>
      <c r="J570" s="12"/>
      <c r="K570" s="196">
        <f>ROUND(1575*(1-$G$4),2)</f>
        <v>1527.75</v>
      </c>
      <c r="L570" s="147">
        <v>2010</v>
      </c>
      <c r="M570" s="147" t="s">
        <v>1231</v>
      </c>
      <c r="N570" s="261">
        <v>10</v>
      </c>
      <c r="O570" s="284" t="s">
        <v>1165</v>
      </c>
      <c r="P570" s="283">
        <v>272</v>
      </c>
      <c r="Q570" s="310" t="s">
        <v>1158</v>
      </c>
      <c r="R570" s="321" t="s">
        <v>85</v>
      </c>
      <c r="S570" s="87" t="s">
        <v>1807</v>
      </c>
      <c r="T570" s="288">
        <v>0.42</v>
      </c>
      <c r="U570" s="916" t="s">
        <v>307</v>
      </c>
      <c r="V570" s="360" t="e">
        <f>VLOOKUP(A570,#REF!,10,FALSE)</f>
        <v>#REF!</v>
      </c>
    </row>
    <row r="571" spans="1:22" ht="27" customHeight="1">
      <c r="A571" s="776">
        <v>19771</v>
      </c>
      <c r="B571" s="1024">
        <v>659</v>
      </c>
      <c r="C571" s="738" t="s">
        <v>1509</v>
      </c>
      <c r="D571" s="643" t="s">
        <v>1160</v>
      </c>
      <c r="E571" s="691" t="s">
        <v>1510</v>
      </c>
      <c r="F571" s="691" t="s">
        <v>1758</v>
      </c>
      <c r="G571" s="1452" t="s">
        <v>1218</v>
      </c>
      <c r="H571" s="117"/>
      <c r="I571" s="1073"/>
      <c r="J571" s="25"/>
      <c r="K571" s="197">
        <f>ROUND(3750*(1-$G$4),2)</f>
        <v>3637.5</v>
      </c>
      <c r="L571" s="846">
        <v>2008</v>
      </c>
      <c r="M571" s="846" t="s">
        <v>1231</v>
      </c>
      <c r="N571" s="343">
        <v>3</v>
      </c>
      <c r="O571" s="425" t="s">
        <v>1157</v>
      </c>
      <c r="P571" s="462">
        <v>400</v>
      </c>
      <c r="Q571" s="531" t="s">
        <v>1158</v>
      </c>
      <c r="R571" s="532" t="s">
        <v>88</v>
      </c>
      <c r="S571" s="424" t="s">
        <v>1920</v>
      </c>
      <c r="T571" s="555">
        <v>2.34</v>
      </c>
      <c r="U571" s="958" t="s">
        <v>307</v>
      </c>
      <c r="V571" s="360" t="e">
        <f>VLOOKUP(A571,#REF!,10,FALSE)</f>
        <v>#REF!</v>
      </c>
    </row>
    <row r="572" spans="1:22" ht="27" customHeight="1" thickBot="1">
      <c r="A572" s="725">
        <v>50046</v>
      </c>
      <c r="B572" s="1003">
        <v>409</v>
      </c>
      <c r="C572" s="1649" t="s">
        <v>1168</v>
      </c>
      <c r="D572" s="128" t="s">
        <v>1167</v>
      </c>
      <c r="E572" s="766" t="s">
        <v>1169</v>
      </c>
      <c r="F572" s="766" t="s">
        <v>1759</v>
      </c>
      <c r="G572" s="1653" t="s">
        <v>1218</v>
      </c>
      <c r="H572" s="1654"/>
      <c r="I572" s="1092"/>
      <c r="J572" s="363"/>
      <c r="K572" s="210">
        <f>ROUND(450*(1-$G$4),2)</f>
        <v>436.5</v>
      </c>
      <c r="L572" s="846">
        <v>2011</v>
      </c>
      <c r="M572" s="846" t="s">
        <v>1231</v>
      </c>
      <c r="N572" s="259">
        <v>4</v>
      </c>
      <c r="O572" s="645" t="s">
        <v>1234</v>
      </c>
      <c r="P572" s="393">
        <v>488</v>
      </c>
      <c r="Q572" s="440" t="s">
        <v>1232</v>
      </c>
      <c r="R572" s="325" t="s">
        <v>83</v>
      </c>
      <c r="S572" s="670" t="s">
        <v>1807</v>
      </c>
      <c r="T572" s="455">
        <v>1.054</v>
      </c>
      <c r="U572" s="928" t="s">
        <v>307</v>
      </c>
      <c r="V572" s="360" t="e">
        <f>VLOOKUP(A572,#REF!,10,FALSE)</f>
        <v>#REF!</v>
      </c>
    </row>
    <row r="573" spans="1:22" ht="27" customHeight="1" thickBot="1">
      <c r="A573" s="725">
        <v>23497</v>
      </c>
      <c r="B573" s="1003"/>
      <c r="C573" s="1666" t="s">
        <v>890</v>
      </c>
      <c r="D573" s="248" t="s">
        <v>888</v>
      </c>
      <c r="E573" s="535" t="s">
        <v>1494</v>
      </c>
      <c r="F573" s="535" t="s">
        <v>889</v>
      </c>
      <c r="G573" s="1601"/>
      <c r="H573" s="1601"/>
      <c r="I573" s="1601"/>
      <c r="J573" s="1601"/>
      <c r="K573" s="213">
        <f>ROUND(550*(1-$G$4),2)</f>
        <v>533.5</v>
      </c>
      <c r="L573" s="847">
        <v>2011</v>
      </c>
      <c r="M573" s="847" t="s">
        <v>1231</v>
      </c>
      <c r="N573" s="332">
        <v>6</v>
      </c>
      <c r="O573" s="536" t="s">
        <v>1234</v>
      </c>
      <c r="P573" s="847">
        <v>608</v>
      </c>
      <c r="Q573" s="847" t="s">
        <v>1232</v>
      </c>
      <c r="R573" s="332" t="s">
        <v>891</v>
      </c>
      <c r="S573" s="1667" t="s">
        <v>1807</v>
      </c>
      <c r="T573" s="455">
        <v>0.965</v>
      </c>
      <c r="U573" s="928" t="s">
        <v>307</v>
      </c>
      <c r="V573" s="360"/>
    </row>
    <row r="574" spans="1:22" ht="21" customHeight="1" thickBot="1">
      <c r="A574" s="1103" t="s">
        <v>1099</v>
      </c>
      <c r="B574" s="1044"/>
      <c r="C574" s="1658"/>
      <c r="D574" s="1659"/>
      <c r="E574" s="1659"/>
      <c r="F574" s="1659"/>
      <c r="G574" s="1655"/>
      <c r="H574" s="1656" t="s">
        <v>1229</v>
      </c>
      <c r="I574" s="1656"/>
      <c r="J574" s="1657"/>
      <c r="K574" s="1660"/>
      <c r="L574" s="1661"/>
      <c r="M574" s="1662"/>
      <c r="N574" s="1661"/>
      <c r="O574" s="1663"/>
      <c r="P574" s="1663"/>
      <c r="Q574" s="1664"/>
      <c r="R574" s="1665"/>
      <c r="S574" s="294"/>
      <c r="T574" s="306"/>
      <c r="U574" s="959"/>
      <c r="V574" s="360" t="e">
        <f>VLOOKUP(A574,#REF!,10,FALSE)</f>
        <v>#REF!</v>
      </c>
    </row>
    <row r="575" spans="1:22" ht="27" customHeight="1">
      <c r="A575" s="767">
        <v>70069</v>
      </c>
      <c r="B575" s="1018">
        <v>627</v>
      </c>
      <c r="C575" s="688" t="s">
        <v>1101</v>
      </c>
      <c r="D575" s="78" t="s">
        <v>1102</v>
      </c>
      <c r="E575" s="492" t="s">
        <v>1103</v>
      </c>
      <c r="F575" s="492" t="s">
        <v>1725</v>
      </c>
      <c r="G575" s="516" t="s">
        <v>1218</v>
      </c>
      <c r="H575" s="55" t="s">
        <v>1321</v>
      </c>
      <c r="I575" s="1069" t="s">
        <v>1230</v>
      </c>
      <c r="J575" s="33"/>
      <c r="K575" s="207">
        <v>25</v>
      </c>
      <c r="L575" s="145">
        <v>2013</v>
      </c>
      <c r="M575" s="145" t="s">
        <v>1231</v>
      </c>
      <c r="N575" s="330">
        <v>50</v>
      </c>
      <c r="O575" s="461" t="s">
        <v>1100</v>
      </c>
      <c r="P575" s="330">
        <v>32</v>
      </c>
      <c r="Q575" s="132" t="s">
        <v>1235</v>
      </c>
      <c r="R575" s="320" t="s">
        <v>189</v>
      </c>
      <c r="S575" s="493" t="s">
        <v>1807</v>
      </c>
      <c r="T575" s="303">
        <v>0.13</v>
      </c>
      <c r="U575" s="932" t="s">
        <v>307</v>
      </c>
      <c r="V575" s="360" t="e">
        <f>VLOOKUP(A575,#REF!,10,FALSE)</f>
        <v>#REF!</v>
      </c>
    </row>
    <row r="576" spans="1:22" ht="27" customHeight="1">
      <c r="A576" s="768">
        <v>70066</v>
      </c>
      <c r="B576" s="1019">
        <v>470</v>
      </c>
      <c r="C576" s="769" t="s">
        <v>1104</v>
      </c>
      <c r="D576" s="79" t="s">
        <v>1102</v>
      </c>
      <c r="E576" s="502" t="s">
        <v>1105</v>
      </c>
      <c r="F576" s="502" t="s">
        <v>1726</v>
      </c>
      <c r="G576" s="503"/>
      <c r="H576" s="56" t="s">
        <v>1321</v>
      </c>
      <c r="I576" s="1071" t="s">
        <v>1230</v>
      </c>
      <c r="J576" s="43"/>
      <c r="K576" s="201">
        <v>25</v>
      </c>
      <c r="L576" s="147">
        <v>2013</v>
      </c>
      <c r="M576" s="147" t="s">
        <v>1231</v>
      </c>
      <c r="N576" s="504">
        <v>50</v>
      </c>
      <c r="O576" s="283" t="s">
        <v>1100</v>
      </c>
      <c r="P576" s="261">
        <v>32</v>
      </c>
      <c r="Q576" s="135" t="s">
        <v>1235</v>
      </c>
      <c r="R576" s="507">
        <v>9785462013201</v>
      </c>
      <c r="S576" s="240" t="s">
        <v>1807</v>
      </c>
      <c r="T576" s="288">
        <v>0.13</v>
      </c>
      <c r="U576" s="916" t="s">
        <v>307</v>
      </c>
      <c r="V576" s="360" t="e">
        <f>VLOOKUP(A576,#REF!,10,FALSE)</f>
        <v>#REF!</v>
      </c>
    </row>
    <row r="577" spans="1:22" ht="27" customHeight="1">
      <c r="A577" s="724">
        <v>70073</v>
      </c>
      <c r="B577" s="1002">
        <v>523</v>
      </c>
      <c r="C577" s="689" t="s">
        <v>1106</v>
      </c>
      <c r="D577" s="79" t="s">
        <v>1102</v>
      </c>
      <c r="E577" s="510" t="s">
        <v>1107</v>
      </c>
      <c r="F577" s="510" t="s">
        <v>1727</v>
      </c>
      <c r="G577" s="511" t="s">
        <v>1218</v>
      </c>
      <c r="H577" s="56" t="s">
        <v>1321</v>
      </c>
      <c r="I577" s="1071" t="s">
        <v>1230</v>
      </c>
      <c r="J577" s="12"/>
      <c r="K577" s="201">
        <v>25</v>
      </c>
      <c r="L577" s="147">
        <v>2013</v>
      </c>
      <c r="M577" s="147" t="s">
        <v>1231</v>
      </c>
      <c r="N577" s="261">
        <v>50</v>
      </c>
      <c r="O577" s="283" t="s">
        <v>1100</v>
      </c>
      <c r="P577" s="261">
        <v>32</v>
      </c>
      <c r="Q577" s="135" t="s">
        <v>1235</v>
      </c>
      <c r="R577" s="321" t="s">
        <v>190</v>
      </c>
      <c r="S577" s="240" t="s">
        <v>1807</v>
      </c>
      <c r="T577" s="288">
        <v>0.13</v>
      </c>
      <c r="U577" s="916" t="s">
        <v>307</v>
      </c>
      <c r="V577" s="360" t="e">
        <f>VLOOKUP(A577,#REF!,10,FALSE)</f>
        <v>#REF!</v>
      </c>
    </row>
    <row r="578" spans="1:22" ht="27" customHeight="1">
      <c r="A578" s="724">
        <v>70070</v>
      </c>
      <c r="B578" s="1002">
        <v>488</v>
      </c>
      <c r="C578" s="689" t="s">
        <v>1108</v>
      </c>
      <c r="D578" s="79" t="s">
        <v>1102</v>
      </c>
      <c r="E578" s="510" t="s">
        <v>1109</v>
      </c>
      <c r="F578" s="510" t="s">
        <v>1728</v>
      </c>
      <c r="G578" s="511" t="s">
        <v>1218</v>
      </c>
      <c r="H578" s="56" t="s">
        <v>1321</v>
      </c>
      <c r="I578" s="1071" t="s">
        <v>1230</v>
      </c>
      <c r="J578" s="12"/>
      <c r="K578" s="201">
        <v>25</v>
      </c>
      <c r="L578" s="147">
        <v>2013</v>
      </c>
      <c r="M578" s="147" t="s">
        <v>1231</v>
      </c>
      <c r="N578" s="261">
        <v>50</v>
      </c>
      <c r="O578" s="283" t="s">
        <v>1100</v>
      </c>
      <c r="P578" s="261">
        <v>32</v>
      </c>
      <c r="Q578" s="135" t="s">
        <v>1235</v>
      </c>
      <c r="R578" s="321" t="s">
        <v>191</v>
      </c>
      <c r="S578" s="240" t="s">
        <v>1807</v>
      </c>
      <c r="T578" s="288">
        <v>0.13</v>
      </c>
      <c r="U578" s="916" t="s">
        <v>307</v>
      </c>
      <c r="V578" s="360" t="e">
        <f>VLOOKUP(A578,#REF!,10,FALSE)</f>
        <v>#REF!</v>
      </c>
    </row>
    <row r="579" spans="1:22" ht="27" customHeight="1">
      <c r="A579" s="724">
        <v>70076</v>
      </c>
      <c r="B579" s="1002">
        <v>489</v>
      </c>
      <c r="C579" s="689" t="s">
        <v>1110</v>
      </c>
      <c r="D579" s="79" t="s">
        <v>1102</v>
      </c>
      <c r="E579" s="510" t="s">
        <v>1111</v>
      </c>
      <c r="F579" s="510" t="s">
        <v>1729</v>
      </c>
      <c r="G579" s="511" t="s">
        <v>1218</v>
      </c>
      <c r="H579" s="56" t="s">
        <v>1321</v>
      </c>
      <c r="I579" s="1071" t="s">
        <v>1230</v>
      </c>
      <c r="J579" s="12"/>
      <c r="K579" s="201">
        <v>25</v>
      </c>
      <c r="L579" s="147">
        <v>2013</v>
      </c>
      <c r="M579" s="147" t="s">
        <v>1231</v>
      </c>
      <c r="N579" s="261">
        <v>50</v>
      </c>
      <c r="O579" s="283" t="s">
        <v>1100</v>
      </c>
      <c r="P579" s="261">
        <v>32</v>
      </c>
      <c r="Q579" s="135" t="s">
        <v>1235</v>
      </c>
      <c r="R579" s="321" t="s">
        <v>192</v>
      </c>
      <c r="S579" s="240" t="s">
        <v>1807</v>
      </c>
      <c r="T579" s="288">
        <v>0.13</v>
      </c>
      <c r="U579" s="916" t="s">
        <v>307</v>
      </c>
      <c r="V579" s="360" t="e">
        <f>VLOOKUP(A579,#REF!,10,FALSE)</f>
        <v>#REF!</v>
      </c>
    </row>
    <row r="580" spans="1:22" ht="27" customHeight="1">
      <c r="A580" s="724">
        <v>70075</v>
      </c>
      <c r="B580" s="1002">
        <v>441</v>
      </c>
      <c r="C580" s="689" t="s">
        <v>1112</v>
      </c>
      <c r="D580" s="79" t="s">
        <v>1102</v>
      </c>
      <c r="E580" s="510" t="s">
        <v>1113</v>
      </c>
      <c r="F580" s="510" t="s">
        <v>1730</v>
      </c>
      <c r="G580" s="511" t="s">
        <v>1218</v>
      </c>
      <c r="H580" s="56" t="s">
        <v>1321</v>
      </c>
      <c r="I580" s="1071" t="s">
        <v>1230</v>
      </c>
      <c r="J580" s="12"/>
      <c r="K580" s="201">
        <v>25</v>
      </c>
      <c r="L580" s="147">
        <v>2013</v>
      </c>
      <c r="M580" s="147" t="s">
        <v>1231</v>
      </c>
      <c r="N580" s="261">
        <v>50</v>
      </c>
      <c r="O580" s="283" t="s">
        <v>1100</v>
      </c>
      <c r="P580" s="261">
        <v>32</v>
      </c>
      <c r="Q580" s="135" t="s">
        <v>1235</v>
      </c>
      <c r="R580" s="321" t="s">
        <v>193</v>
      </c>
      <c r="S580" s="240" t="s">
        <v>1807</v>
      </c>
      <c r="T580" s="288">
        <v>0.13</v>
      </c>
      <c r="U580" s="916" t="s">
        <v>307</v>
      </c>
      <c r="V580" s="360" t="e">
        <f>VLOOKUP(A580,#REF!,10,FALSE)</f>
        <v>#REF!</v>
      </c>
    </row>
    <row r="581" spans="1:22" ht="27" customHeight="1">
      <c r="A581" s="724">
        <v>70074</v>
      </c>
      <c r="B581" s="1002">
        <v>561</v>
      </c>
      <c r="C581" s="689" t="s">
        <v>1114</v>
      </c>
      <c r="D581" s="79" t="s">
        <v>1102</v>
      </c>
      <c r="E581" s="510" t="s">
        <v>1115</v>
      </c>
      <c r="F581" s="510" t="s">
        <v>1731</v>
      </c>
      <c r="G581" s="511" t="s">
        <v>1218</v>
      </c>
      <c r="H581" s="56" t="s">
        <v>1321</v>
      </c>
      <c r="I581" s="1071" t="s">
        <v>1230</v>
      </c>
      <c r="J581" s="12"/>
      <c r="K581" s="201">
        <v>25</v>
      </c>
      <c r="L581" s="147">
        <v>2013</v>
      </c>
      <c r="M581" s="147" t="s">
        <v>1231</v>
      </c>
      <c r="N581" s="261">
        <v>50</v>
      </c>
      <c r="O581" s="283" t="s">
        <v>1100</v>
      </c>
      <c r="P581" s="261">
        <v>32</v>
      </c>
      <c r="Q581" s="135" t="s">
        <v>1235</v>
      </c>
      <c r="R581" s="321" t="s">
        <v>194</v>
      </c>
      <c r="S581" s="240" t="s">
        <v>1807</v>
      </c>
      <c r="T581" s="288">
        <v>0.13</v>
      </c>
      <c r="U581" s="916" t="s">
        <v>307</v>
      </c>
      <c r="V581" s="360" t="e">
        <f>VLOOKUP(A581,#REF!,10,FALSE)</f>
        <v>#REF!</v>
      </c>
    </row>
    <row r="582" spans="1:22" ht="27" customHeight="1">
      <c r="A582" s="724">
        <v>70071</v>
      </c>
      <c r="B582" s="1002">
        <v>517</v>
      </c>
      <c r="C582" s="689" t="s">
        <v>1116</v>
      </c>
      <c r="D582" s="79" t="s">
        <v>1102</v>
      </c>
      <c r="E582" s="510" t="s">
        <v>1117</v>
      </c>
      <c r="F582" s="510" t="s">
        <v>1732</v>
      </c>
      <c r="G582" s="511" t="s">
        <v>1218</v>
      </c>
      <c r="H582" s="56" t="s">
        <v>1321</v>
      </c>
      <c r="I582" s="1071" t="s">
        <v>1230</v>
      </c>
      <c r="J582" s="12"/>
      <c r="K582" s="201">
        <v>25</v>
      </c>
      <c r="L582" s="147">
        <v>2013</v>
      </c>
      <c r="M582" s="147" t="s">
        <v>1231</v>
      </c>
      <c r="N582" s="261">
        <v>50</v>
      </c>
      <c r="O582" s="283" t="s">
        <v>1100</v>
      </c>
      <c r="P582" s="261">
        <v>32</v>
      </c>
      <c r="Q582" s="135" t="s">
        <v>1235</v>
      </c>
      <c r="R582" s="321" t="s">
        <v>195</v>
      </c>
      <c r="S582" s="240" t="s">
        <v>1807</v>
      </c>
      <c r="T582" s="288">
        <v>0.13</v>
      </c>
      <c r="U582" s="916" t="s">
        <v>307</v>
      </c>
      <c r="V582" s="360" t="e">
        <f>VLOOKUP(A582,#REF!,10,FALSE)</f>
        <v>#REF!</v>
      </c>
    </row>
    <row r="583" spans="1:22" ht="27" customHeight="1">
      <c r="A583" s="724">
        <v>70072</v>
      </c>
      <c r="B583" s="1002">
        <v>413</v>
      </c>
      <c r="C583" s="689" t="s">
        <v>1118</v>
      </c>
      <c r="D583" s="79" t="s">
        <v>1102</v>
      </c>
      <c r="E583" s="510" t="s">
        <v>1103</v>
      </c>
      <c r="F583" s="510" t="s">
        <v>1733</v>
      </c>
      <c r="G583" s="511" t="s">
        <v>1218</v>
      </c>
      <c r="H583" s="56" t="s">
        <v>1321</v>
      </c>
      <c r="I583" s="1071" t="s">
        <v>1230</v>
      </c>
      <c r="J583" s="12"/>
      <c r="K583" s="201">
        <v>25</v>
      </c>
      <c r="L583" s="147">
        <v>2013</v>
      </c>
      <c r="M583" s="147" t="s">
        <v>1231</v>
      </c>
      <c r="N583" s="261">
        <v>50</v>
      </c>
      <c r="O583" s="283" t="s">
        <v>1100</v>
      </c>
      <c r="P583" s="261">
        <v>32</v>
      </c>
      <c r="Q583" s="135" t="s">
        <v>1235</v>
      </c>
      <c r="R583" s="321" t="s">
        <v>196</v>
      </c>
      <c r="S583" s="240" t="s">
        <v>1807</v>
      </c>
      <c r="T583" s="288">
        <v>0.13</v>
      </c>
      <c r="U583" s="916" t="s">
        <v>307</v>
      </c>
      <c r="V583" s="360" t="e">
        <f>VLOOKUP(A583,#REF!,10,FALSE)</f>
        <v>#REF!</v>
      </c>
    </row>
    <row r="584" spans="1:22" ht="27" customHeight="1" thickBot="1">
      <c r="A584" s="776">
        <v>70068</v>
      </c>
      <c r="B584" s="1024">
        <v>495</v>
      </c>
      <c r="C584" s="777" t="s">
        <v>1119</v>
      </c>
      <c r="D584" s="128" t="s">
        <v>1102</v>
      </c>
      <c r="E584" s="529" t="s">
        <v>1111</v>
      </c>
      <c r="F584" s="529" t="s">
        <v>1734</v>
      </c>
      <c r="G584" s="530" t="s">
        <v>1218</v>
      </c>
      <c r="H584" s="102" t="s">
        <v>1321</v>
      </c>
      <c r="I584" s="1073" t="s">
        <v>1230</v>
      </c>
      <c r="J584" s="25"/>
      <c r="K584" s="210">
        <v>25</v>
      </c>
      <c r="L584" s="846">
        <v>2013</v>
      </c>
      <c r="M584" s="846" t="s">
        <v>1231</v>
      </c>
      <c r="N584" s="343">
        <v>50</v>
      </c>
      <c r="O584" s="462" t="s">
        <v>1100</v>
      </c>
      <c r="P584" s="343">
        <v>32</v>
      </c>
      <c r="Q584" s="553" t="s">
        <v>1235</v>
      </c>
      <c r="R584" s="532" t="s">
        <v>197</v>
      </c>
      <c r="S584" s="554" t="s">
        <v>1807</v>
      </c>
      <c r="T584" s="555">
        <v>0.13</v>
      </c>
      <c r="U584" s="958" t="s">
        <v>307</v>
      </c>
      <c r="V584" s="360" t="e">
        <f>VLOOKUP(A584,#REF!,10,FALSE)</f>
        <v>#REF!</v>
      </c>
    </row>
    <row r="585" spans="1:22" ht="27" customHeight="1">
      <c r="A585" s="767">
        <v>69873</v>
      </c>
      <c r="B585" s="1018">
        <v>663</v>
      </c>
      <c r="C585" s="728" t="s">
        <v>1120</v>
      </c>
      <c r="D585" s="78" t="s">
        <v>1121</v>
      </c>
      <c r="E585" s="93" t="s">
        <v>1122</v>
      </c>
      <c r="F585" s="93" t="s">
        <v>1735</v>
      </c>
      <c r="G585" s="517" t="s">
        <v>1218</v>
      </c>
      <c r="H585" s="44"/>
      <c r="I585" s="1069"/>
      <c r="J585" s="33"/>
      <c r="K585" s="195">
        <f>ROUND(525*(1-$G$4),2)</f>
        <v>509.25</v>
      </c>
      <c r="L585" s="145">
        <v>2012</v>
      </c>
      <c r="M585" s="145" t="s">
        <v>1231</v>
      </c>
      <c r="N585" s="330">
        <v>8</v>
      </c>
      <c r="O585" s="413" t="s">
        <v>1234</v>
      </c>
      <c r="P585" s="413">
        <v>368</v>
      </c>
      <c r="Q585" s="600" t="s">
        <v>1010</v>
      </c>
      <c r="R585" s="320" t="s">
        <v>168</v>
      </c>
      <c r="S585" s="410" t="s">
        <v>1807</v>
      </c>
      <c r="T585" s="303">
        <v>0.495</v>
      </c>
      <c r="U585" s="932" t="s">
        <v>1132</v>
      </c>
      <c r="V585" s="360" t="e">
        <f>VLOOKUP(A585,#REF!,10,FALSE)</f>
        <v>#REF!</v>
      </c>
    </row>
    <row r="586" spans="1:22" ht="27" customHeight="1">
      <c r="A586" s="721">
        <v>71056</v>
      </c>
      <c r="B586" s="1001">
        <v>655</v>
      </c>
      <c r="C586" s="557" t="s">
        <v>1541</v>
      </c>
      <c r="D586" s="79" t="s">
        <v>1121</v>
      </c>
      <c r="E586" s="158" t="s">
        <v>1542</v>
      </c>
      <c r="F586" s="158" t="s">
        <v>1540</v>
      </c>
      <c r="G586" s="550" t="s">
        <v>1218</v>
      </c>
      <c r="H586" s="101"/>
      <c r="I586" s="863"/>
      <c r="J586" s="85"/>
      <c r="K586" s="196">
        <f>ROUND(412.5*(1-$G$4),2)</f>
        <v>400.13</v>
      </c>
      <c r="L586" s="148">
        <v>2015</v>
      </c>
      <c r="M586" s="147" t="s">
        <v>1231</v>
      </c>
      <c r="N586" s="148">
        <v>8</v>
      </c>
      <c r="O586" s="311" t="s">
        <v>1234</v>
      </c>
      <c r="P586" s="148">
        <v>416</v>
      </c>
      <c r="Q586" s="134" t="s">
        <v>1010</v>
      </c>
      <c r="R586" s="322" t="s">
        <v>169</v>
      </c>
      <c r="S586" s="239" t="s">
        <v>1807</v>
      </c>
      <c r="T586" s="301">
        <v>0.628</v>
      </c>
      <c r="U586" s="927" t="s">
        <v>1132</v>
      </c>
      <c r="V586" s="360" t="e">
        <f>VLOOKUP(A586,#REF!,10,FALSE)</f>
        <v>#REF!</v>
      </c>
    </row>
    <row r="587" spans="1:22" ht="27" customHeight="1">
      <c r="A587" s="724">
        <v>70473</v>
      </c>
      <c r="B587" s="1002">
        <v>770</v>
      </c>
      <c r="C587" s="731" t="s">
        <v>1123</v>
      </c>
      <c r="D587" s="79" t="s">
        <v>1121</v>
      </c>
      <c r="E587" s="94" t="s">
        <v>1124</v>
      </c>
      <c r="F587" s="94" t="s">
        <v>1736</v>
      </c>
      <c r="G587" s="518" t="s">
        <v>1218</v>
      </c>
      <c r="H587" s="13"/>
      <c r="I587" s="1071"/>
      <c r="J587" s="12"/>
      <c r="K587" s="196">
        <f>ROUND(525*(1-$G$4),2)</f>
        <v>509.25</v>
      </c>
      <c r="L587" s="147">
        <v>2013</v>
      </c>
      <c r="M587" s="147" t="s">
        <v>1231</v>
      </c>
      <c r="N587" s="261">
        <v>13</v>
      </c>
      <c r="O587" s="284" t="s">
        <v>1234</v>
      </c>
      <c r="P587" s="284">
        <v>208</v>
      </c>
      <c r="Q587" s="310" t="s">
        <v>1010</v>
      </c>
      <c r="R587" s="321" t="s">
        <v>170</v>
      </c>
      <c r="S587" s="87" t="s">
        <v>1807</v>
      </c>
      <c r="T587" s="288">
        <v>0.296</v>
      </c>
      <c r="U587" s="916" t="s">
        <v>1132</v>
      </c>
      <c r="V587" s="360" t="e">
        <f>VLOOKUP(A587,#REF!,10,FALSE)</f>
        <v>#REF!</v>
      </c>
    </row>
    <row r="588" spans="1:22" ht="27" customHeight="1">
      <c r="A588" s="724">
        <v>70510</v>
      </c>
      <c r="B588" s="1002">
        <v>721</v>
      </c>
      <c r="C588" s="689" t="s">
        <v>1125</v>
      </c>
      <c r="D588" s="79" t="s">
        <v>1121</v>
      </c>
      <c r="E588" s="510" t="s">
        <v>1126</v>
      </c>
      <c r="F588" s="510" t="s">
        <v>1737</v>
      </c>
      <c r="G588" s="511" t="s">
        <v>1218</v>
      </c>
      <c r="H588" s="20"/>
      <c r="I588" s="1071"/>
      <c r="J588" s="690"/>
      <c r="K588" s="196">
        <f>ROUND(525*(1-$G$4),2)</f>
        <v>509.25</v>
      </c>
      <c r="L588" s="147">
        <v>2014</v>
      </c>
      <c r="M588" s="147" t="s">
        <v>1231</v>
      </c>
      <c r="N588" s="261">
        <v>10</v>
      </c>
      <c r="O588" s="284" t="s">
        <v>1234</v>
      </c>
      <c r="P588" s="284">
        <v>304</v>
      </c>
      <c r="Q588" s="310" t="s">
        <v>1010</v>
      </c>
      <c r="R588" s="321" t="s">
        <v>171</v>
      </c>
      <c r="S588" s="87" t="s">
        <v>1807</v>
      </c>
      <c r="T588" s="288">
        <v>0.295</v>
      </c>
      <c r="U588" s="916" t="s">
        <v>1132</v>
      </c>
      <c r="V588" s="360" t="e">
        <f>VLOOKUP(A588,#REF!,10,FALSE)</f>
        <v>#REF!</v>
      </c>
    </row>
    <row r="589" spans="1:22" ht="27" customHeight="1">
      <c r="A589" s="724">
        <v>70585</v>
      </c>
      <c r="B589" s="1002">
        <v>588</v>
      </c>
      <c r="C589" s="689" t="s">
        <v>1127</v>
      </c>
      <c r="D589" s="79" t="s">
        <v>1121</v>
      </c>
      <c r="E589" s="510" t="s">
        <v>1128</v>
      </c>
      <c r="F589" s="510" t="s">
        <v>1738</v>
      </c>
      <c r="G589" s="511" t="s">
        <v>1218</v>
      </c>
      <c r="H589" s="169"/>
      <c r="I589" s="1071"/>
      <c r="J589" s="690"/>
      <c r="K589" s="196">
        <f>ROUND(637.5*(1-$G$4),2)</f>
        <v>618.38</v>
      </c>
      <c r="L589" s="147">
        <v>2014</v>
      </c>
      <c r="M589" s="147" t="s">
        <v>1231</v>
      </c>
      <c r="N589" s="261">
        <v>7</v>
      </c>
      <c r="O589" s="284" t="s">
        <v>1234</v>
      </c>
      <c r="P589" s="284">
        <v>416</v>
      </c>
      <c r="Q589" s="310" t="s">
        <v>1010</v>
      </c>
      <c r="R589" s="321" t="s">
        <v>172</v>
      </c>
      <c r="S589" s="87" t="s">
        <v>1807</v>
      </c>
      <c r="T589" s="288">
        <v>0.535</v>
      </c>
      <c r="U589" s="916" t="s">
        <v>1132</v>
      </c>
      <c r="V589" s="360" t="e">
        <f>VLOOKUP(A589,#REF!,10,FALSE)</f>
        <v>#REF!</v>
      </c>
    </row>
    <row r="590" spans="1:22" ht="27" customHeight="1">
      <c r="A590" s="724">
        <v>70093</v>
      </c>
      <c r="B590" s="1002">
        <v>604</v>
      </c>
      <c r="C590" s="731" t="s">
        <v>1129</v>
      </c>
      <c r="D590" s="79" t="s">
        <v>1121</v>
      </c>
      <c r="E590" s="94" t="s">
        <v>1130</v>
      </c>
      <c r="F590" s="94" t="s">
        <v>1739</v>
      </c>
      <c r="G590" s="518" t="s">
        <v>1218</v>
      </c>
      <c r="H590" s="13"/>
      <c r="I590" s="1071"/>
      <c r="J590" s="12"/>
      <c r="K590" s="196">
        <f>ROUND(525*(1-$G$4),2)</f>
        <v>509.25</v>
      </c>
      <c r="L590" s="147">
        <v>2013</v>
      </c>
      <c r="M590" s="147" t="s">
        <v>1231</v>
      </c>
      <c r="N590" s="261">
        <v>8</v>
      </c>
      <c r="O590" s="284" t="s">
        <v>1234</v>
      </c>
      <c r="P590" s="284">
        <v>368</v>
      </c>
      <c r="Q590" s="310" t="s">
        <v>1010</v>
      </c>
      <c r="R590" s="321" t="s">
        <v>173</v>
      </c>
      <c r="S590" s="87" t="s">
        <v>1807</v>
      </c>
      <c r="T590" s="288">
        <v>0.516</v>
      </c>
      <c r="U590" s="916" t="s">
        <v>1132</v>
      </c>
      <c r="V590" s="360" t="e">
        <f>VLOOKUP(A590,#REF!,10,FALSE)</f>
        <v>#REF!</v>
      </c>
    </row>
    <row r="591" spans="1:22" ht="27" customHeight="1" thickBot="1">
      <c r="A591" s="776">
        <v>70095</v>
      </c>
      <c r="B591" s="1024">
        <v>707</v>
      </c>
      <c r="C591" s="738" t="s">
        <v>1131</v>
      </c>
      <c r="D591" s="128" t="s">
        <v>1121</v>
      </c>
      <c r="E591" s="691" t="s">
        <v>1122</v>
      </c>
      <c r="F591" s="691" t="s">
        <v>1740</v>
      </c>
      <c r="G591" s="692" t="s">
        <v>1218</v>
      </c>
      <c r="H591" s="117"/>
      <c r="I591" s="1073"/>
      <c r="J591" s="25"/>
      <c r="K591" s="197">
        <f>ROUND(525*(1-$G$4),2)</f>
        <v>509.25</v>
      </c>
      <c r="L591" s="846">
        <v>2012</v>
      </c>
      <c r="M591" s="846" t="s">
        <v>1231</v>
      </c>
      <c r="N591" s="343">
        <v>10</v>
      </c>
      <c r="O591" s="425" t="s">
        <v>1234</v>
      </c>
      <c r="P591" s="425">
        <v>272</v>
      </c>
      <c r="Q591" s="531" t="s">
        <v>1010</v>
      </c>
      <c r="R591" s="532" t="s">
        <v>174</v>
      </c>
      <c r="S591" s="424" t="s">
        <v>1807</v>
      </c>
      <c r="T591" s="555">
        <v>0.401</v>
      </c>
      <c r="U591" s="958" t="s">
        <v>1132</v>
      </c>
      <c r="V591" s="360" t="e">
        <f>VLOOKUP(A591,#REF!,10,FALSE)</f>
        <v>#REF!</v>
      </c>
    </row>
    <row r="592" spans="1:22" ht="27" customHeight="1">
      <c r="A592" s="767">
        <v>70235</v>
      </c>
      <c r="B592" s="1018">
        <v>351</v>
      </c>
      <c r="C592" s="728" t="s">
        <v>1133</v>
      </c>
      <c r="D592" s="78" t="s">
        <v>1132</v>
      </c>
      <c r="E592" s="93" t="s">
        <v>1134</v>
      </c>
      <c r="F592" s="93" t="s">
        <v>1741</v>
      </c>
      <c r="G592" s="517" t="s">
        <v>1218</v>
      </c>
      <c r="H592" s="32"/>
      <c r="I592" s="1069" t="s">
        <v>1230</v>
      </c>
      <c r="J592" s="33"/>
      <c r="K592" s="195">
        <f>ROUND(187.5*(1-$G$4),2)</f>
        <v>181.88</v>
      </c>
      <c r="L592" s="145">
        <v>2013</v>
      </c>
      <c r="M592" s="145" t="s">
        <v>1231</v>
      </c>
      <c r="N592" s="330">
        <v>26</v>
      </c>
      <c r="O592" s="413" t="s">
        <v>1469</v>
      </c>
      <c r="P592" s="461">
        <v>128</v>
      </c>
      <c r="Q592" s="600" t="s">
        <v>1232</v>
      </c>
      <c r="R592" s="320" t="s">
        <v>175</v>
      </c>
      <c r="S592" s="410" t="s">
        <v>1807</v>
      </c>
      <c r="T592" s="303">
        <v>0.202</v>
      </c>
      <c r="U592" s="932" t="s">
        <v>1132</v>
      </c>
      <c r="V592" s="360" t="e">
        <f>VLOOKUP(A592,#REF!,10,FALSE)</f>
        <v>#REF!</v>
      </c>
    </row>
    <row r="593" spans="1:22" ht="27" customHeight="1">
      <c r="A593" s="724">
        <v>70326</v>
      </c>
      <c r="B593" s="1002">
        <v>349</v>
      </c>
      <c r="C593" s="731" t="s">
        <v>1135</v>
      </c>
      <c r="D593" s="79" t="s">
        <v>1132</v>
      </c>
      <c r="E593" s="510" t="s">
        <v>1136</v>
      </c>
      <c r="F593" s="510" t="s">
        <v>1742</v>
      </c>
      <c r="G593" s="511" t="s">
        <v>1218</v>
      </c>
      <c r="H593" s="19"/>
      <c r="I593" s="1071" t="s">
        <v>1230</v>
      </c>
      <c r="J593" s="12"/>
      <c r="K593" s="196">
        <f>ROUND(243.8*(1-$G$4),2)</f>
        <v>236.49</v>
      </c>
      <c r="L593" s="147">
        <v>2013</v>
      </c>
      <c r="M593" s="147" t="s">
        <v>1231</v>
      </c>
      <c r="N593" s="261">
        <v>16</v>
      </c>
      <c r="O593" s="284" t="s">
        <v>1469</v>
      </c>
      <c r="P593" s="283">
        <v>288</v>
      </c>
      <c r="Q593" s="310" t="s">
        <v>1232</v>
      </c>
      <c r="R593" s="321" t="s">
        <v>176</v>
      </c>
      <c r="S593" s="87" t="s">
        <v>1807</v>
      </c>
      <c r="T593" s="288">
        <v>0.4</v>
      </c>
      <c r="U593" s="916" t="s">
        <v>1132</v>
      </c>
      <c r="V593" s="360" t="e">
        <f>VLOOKUP(A593,#REF!,10,FALSE)</f>
        <v>#REF!</v>
      </c>
    </row>
    <row r="594" spans="1:22" ht="27" customHeight="1">
      <c r="A594" s="724">
        <v>71877</v>
      </c>
      <c r="B594" s="1002">
        <v>144</v>
      </c>
      <c r="C594" s="731" t="s">
        <v>942</v>
      </c>
      <c r="D594" s="79" t="s">
        <v>1132</v>
      </c>
      <c r="E594" s="510" t="s">
        <v>343</v>
      </c>
      <c r="F594" s="510" t="s">
        <v>1783</v>
      </c>
      <c r="G594" s="511"/>
      <c r="H594" s="19"/>
      <c r="I594" s="1071" t="s">
        <v>1230</v>
      </c>
      <c r="J594" s="12"/>
      <c r="K594" s="196">
        <f>ROUND(262.5*(1-$G$4),2)</f>
        <v>254.63</v>
      </c>
      <c r="L594" s="147">
        <v>2017</v>
      </c>
      <c r="M594" s="147" t="s">
        <v>1231</v>
      </c>
      <c r="N594" s="261">
        <v>18</v>
      </c>
      <c r="O594" s="284" t="s">
        <v>1469</v>
      </c>
      <c r="P594" s="283">
        <v>272</v>
      </c>
      <c r="Q594" s="310" t="s">
        <v>1232</v>
      </c>
      <c r="R594" s="321">
        <v>9785780512189</v>
      </c>
      <c r="S594" s="87" t="s">
        <v>1920</v>
      </c>
      <c r="T594" s="288">
        <v>0.302</v>
      </c>
      <c r="U594" s="916" t="s">
        <v>1132</v>
      </c>
      <c r="V594" s="360" t="e">
        <f>VLOOKUP(A594,#REF!,10,FALSE)</f>
        <v>#REF!</v>
      </c>
    </row>
    <row r="595" spans="1:22" ht="27" customHeight="1">
      <c r="A595" s="724">
        <v>70063</v>
      </c>
      <c r="B595" s="1002">
        <v>705</v>
      </c>
      <c r="C595" s="731" t="s">
        <v>1137</v>
      </c>
      <c r="D595" s="79" t="s">
        <v>1132</v>
      </c>
      <c r="E595" s="510" t="s">
        <v>1138</v>
      </c>
      <c r="F595" s="94" t="s">
        <v>1743</v>
      </c>
      <c r="G595" s="518" t="s">
        <v>1218</v>
      </c>
      <c r="H595" s="19"/>
      <c r="I595" s="1071"/>
      <c r="J595" s="12"/>
      <c r="K595" s="196">
        <f>ROUND(247.5*(1-$G$4),2)</f>
        <v>240.08</v>
      </c>
      <c r="L595" s="147">
        <v>2012</v>
      </c>
      <c r="M595" s="147" t="s">
        <v>1231</v>
      </c>
      <c r="N595" s="261">
        <v>12</v>
      </c>
      <c r="O595" s="284" t="s">
        <v>1469</v>
      </c>
      <c r="P595" s="261">
        <v>368</v>
      </c>
      <c r="Q595" s="310" t="s">
        <v>1232</v>
      </c>
      <c r="R595" s="321" t="s">
        <v>177</v>
      </c>
      <c r="S595" s="87" t="s">
        <v>1807</v>
      </c>
      <c r="T595" s="288">
        <v>0.323</v>
      </c>
      <c r="U595" s="916" t="s">
        <v>1132</v>
      </c>
      <c r="V595" s="360" t="e">
        <f>VLOOKUP(A595,#REF!,10,FALSE)</f>
        <v>#REF!</v>
      </c>
    </row>
    <row r="596" spans="1:22" ht="27" customHeight="1" thickBot="1">
      <c r="A596" s="771">
        <v>70123</v>
      </c>
      <c r="B596" s="1021">
        <v>320</v>
      </c>
      <c r="C596" s="821" t="s">
        <v>1139</v>
      </c>
      <c r="D596" s="60" t="s">
        <v>1132</v>
      </c>
      <c r="E596" s="576" t="s">
        <v>1140</v>
      </c>
      <c r="F596" s="576" t="s">
        <v>1744</v>
      </c>
      <c r="G596" s="577" t="s">
        <v>1218</v>
      </c>
      <c r="H596" s="119"/>
      <c r="I596" s="1081"/>
      <c r="J596" s="24"/>
      <c r="K596" s="202">
        <f>ROUND(206.2*(1-$G$4),2)</f>
        <v>200.01</v>
      </c>
      <c r="L596" s="855">
        <v>2013</v>
      </c>
      <c r="M596" s="855" t="s">
        <v>1231</v>
      </c>
      <c r="N596" s="149">
        <v>14</v>
      </c>
      <c r="O596" s="578" t="s">
        <v>1469</v>
      </c>
      <c r="P596" s="244">
        <v>288</v>
      </c>
      <c r="Q596" s="441" t="s">
        <v>1232</v>
      </c>
      <c r="R596" s="324" t="s">
        <v>178</v>
      </c>
      <c r="S596" s="579" t="s">
        <v>1807</v>
      </c>
      <c r="T596" s="455">
        <v>0.311</v>
      </c>
      <c r="U596" s="928" t="s">
        <v>1132</v>
      </c>
      <c r="V596" s="360" t="e">
        <f>VLOOKUP(A596,#REF!,10,FALSE)</f>
        <v>#REF!</v>
      </c>
    </row>
    <row r="597" spans="1:22" ht="27" customHeight="1">
      <c r="A597" s="768">
        <v>69409</v>
      </c>
      <c r="B597" s="1019">
        <v>636</v>
      </c>
      <c r="C597" s="735" t="s">
        <v>1141</v>
      </c>
      <c r="D597" s="164" t="s">
        <v>1142</v>
      </c>
      <c r="E597" s="674" t="s">
        <v>1143</v>
      </c>
      <c r="F597" s="674" t="s">
        <v>1745</v>
      </c>
      <c r="G597" s="675" t="s">
        <v>1218</v>
      </c>
      <c r="H597" s="118" t="s">
        <v>1321</v>
      </c>
      <c r="I597" s="1070"/>
      <c r="J597" s="43"/>
      <c r="K597" s="198">
        <v>75</v>
      </c>
      <c r="L597" s="844">
        <v>2012</v>
      </c>
      <c r="M597" s="844" t="s">
        <v>1231</v>
      </c>
      <c r="N597" s="504">
        <v>8</v>
      </c>
      <c r="O597" s="422" t="s">
        <v>1469</v>
      </c>
      <c r="P597" s="505">
        <v>208</v>
      </c>
      <c r="Q597" s="676" t="s">
        <v>1010</v>
      </c>
      <c r="R597" s="507" t="s">
        <v>179</v>
      </c>
      <c r="S597" s="418" t="s">
        <v>1807</v>
      </c>
      <c r="T597" s="509">
        <v>0.201</v>
      </c>
      <c r="U597" s="956" t="s">
        <v>1132</v>
      </c>
      <c r="V597" s="360" t="e">
        <f>VLOOKUP(A597,#REF!,10,FALSE)</f>
        <v>#REF!</v>
      </c>
    </row>
    <row r="598" spans="1:22" ht="27" customHeight="1">
      <c r="A598" s="724">
        <v>69789</v>
      </c>
      <c r="B598" s="1002">
        <v>443</v>
      </c>
      <c r="C598" s="731" t="s">
        <v>1144</v>
      </c>
      <c r="D598" s="79" t="s">
        <v>1142</v>
      </c>
      <c r="E598" s="94" t="s">
        <v>1145</v>
      </c>
      <c r="F598" s="94" t="s">
        <v>1746</v>
      </c>
      <c r="G598" s="518" t="s">
        <v>1218</v>
      </c>
      <c r="H598" s="56" t="s">
        <v>1321</v>
      </c>
      <c r="I598" s="1071"/>
      <c r="J598" s="12"/>
      <c r="K598" s="196">
        <v>75</v>
      </c>
      <c r="L598" s="147" t="s">
        <v>1146</v>
      </c>
      <c r="M598" s="147" t="s">
        <v>1231</v>
      </c>
      <c r="N598" s="261">
        <v>14</v>
      </c>
      <c r="O598" s="284" t="s">
        <v>1469</v>
      </c>
      <c r="P598" s="284">
        <v>96</v>
      </c>
      <c r="Q598" s="310" t="s">
        <v>1010</v>
      </c>
      <c r="R598" s="321" t="s">
        <v>180</v>
      </c>
      <c r="S598" s="87" t="s">
        <v>1807</v>
      </c>
      <c r="T598" s="288">
        <v>0.158</v>
      </c>
      <c r="U598" s="916" t="s">
        <v>1132</v>
      </c>
      <c r="V598" s="360" t="e">
        <f>VLOOKUP(A598,#REF!,10,FALSE)</f>
        <v>#REF!</v>
      </c>
    </row>
    <row r="599" spans="1:22" ht="27" customHeight="1">
      <c r="A599" s="724">
        <v>69437</v>
      </c>
      <c r="B599" s="1002">
        <v>550</v>
      </c>
      <c r="C599" s="731" t="s">
        <v>1147</v>
      </c>
      <c r="D599" s="79" t="s">
        <v>1142</v>
      </c>
      <c r="E599" s="94" t="s">
        <v>1148</v>
      </c>
      <c r="F599" s="94" t="s">
        <v>1747</v>
      </c>
      <c r="G599" s="518" t="s">
        <v>1218</v>
      </c>
      <c r="H599" s="56" t="s">
        <v>1321</v>
      </c>
      <c r="I599" s="1071"/>
      <c r="J599" s="12"/>
      <c r="K599" s="196">
        <v>75</v>
      </c>
      <c r="L599" s="147">
        <v>2012</v>
      </c>
      <c r="M599" s="147" t="s">
        <v>1231</v>
      </c>
      <c r="N599" s="261">
        <v>8</v>
      </c>
      <c r="O599" s="284" t="s">
        <v>1469</v>
      </c>
      <c r="P599" s="283">
        <v>272</v>
      </c>
      <c r="Q599" s="310" t="s">
        <v>1010</v>
      </c>
      <c r="R599" s="321" t="s">
        <v>181</v>
      </c>
      <c r="S599" s="87" t="s">
        <v>1807</v>
      </c>
      <c r="T599" s="288">
        <v>0.25</v>
      </c>
      <c r="U599" s="916" t="s">
        <v>1132</v>
      </c>
      <c r="V599" s="360" t="e">
        <f>VLOOKUP(A599,#REF!,10,FALSE)</f>
        <v>#REF!</v>
      </c>
    </row>
    <row r="600" spans="1:22" ht="27" customHeight="1">
      <c r="A600" s="724">
        <v>69407</v>
      </c>
      <c r="B600" s="1002">
        <v>343</v>
      </c>
      <c r="C600" s="731" t="s">
        <v>1149</v>
      </c>
      <c r="D600" s="79" t="s">
        <v>1142</v>
      </c>
      <c r="E600" s="94" t="s">
        <v>1143</v>
      </c>
      <c r="F600" s="94" t="s">
        <v>1748</v>
      </c>
      <c r="G600" s="518" t="s">
        <v>1218</v>
      </c>
      <c r="H600" s="56" t="s">
        <v>1321</v>
      </c>
      <c r="I600" s="1071"/>
      <c r="J600" s="12"/>
      <c r="K600" s="196">
        <v>75</v>
      </c>
      <c r="L600" s="147">
        <v>2012</v>
      </c>
      <c r="M600" s="147" t="s">
        <v>1231</v>
      </c>
      <c r="N600" s="261">
        <v>8</v>
      </c>
      <c r="O600" s="284" t="s">
        <v>1469</v>
      </c>
      <c r="P600" s="283">
        <v>288</v>
      </c>
      <c r="Q600" s="310" t="s">
        <v>1010</v>
      </c>
      <c r="R600" s="321" t="s">
        <v>182</v>
      </c>
      <c r="S600" s="87" t="s">
        <v>1807</v>
      </c>
      <c r="T600" s="288">
        <v>0.263</v>
      </c>
      <c r="U600" s="916" t="s">
        <v>1132</v>
      </c>
      <c r="V600" s="360" t="e">
        <f>VLOOKUP(A600,#REF!,10,FALSE)</f>
        <v>#REF!</v>
      </c>
    </row>
    <row r="601" spans="1:22" ht="27" customHeight="1">
      <c r="A601" s="724">
        <v>69414</v>
      </c>
      <c r="B601" s="1002">
        <v>339</v>
      </c>
      <c r="C601" s="731" t="s">
        <v>1150</v>
      </c>
      <c r="D601" s="79" t="s">
        <v>1142</v>
      </c>
      <c r="E601" s="94" t="s">
        <v>1143</v>
      </c>
      <c r="F601" s="94" t="s">
        <v>1749</v>
      </c>
      <c r="G601" s="518" t="s">
        <v>1218</v>
      </c>
      <c r="H601" s="56" t="s">
        <v>1321</v>
      </c>
      <c r="I601" s="1071"/>
      <c r="J601" s="12"/>
      <c r="K601" s="196">
        <v>75</v>
      </c>
      <c r="L601" s="147">
        <v>2012</v>
      </c>
      <c r="M601" s="147" t="s">
        <v>1231</v>
      </c>
      <c r="N601" s="261">
        <v>8</v>
      </c>
      <c r="O601" s="284" t="s">
        <v>1469</v>
      </c>
      <c r="P601" s="283">
        <v>272</v>
      </c>
      <c r="Q601" s="310" t="s">
        <v>1010</v>
      </c>
      <c r="R601" s="321" t="s">
        <v>183</v>
      </c>
      <c r="S601" s="87" t="s">
        <v>1807</v>
      </c>
      <c r="T601" s="288">
        <v>0.248</v>
      </c>
      <c r="U601" s="916" t="s">
        <v>1132</v>
      </c>
      <c r="V601" s="360" t="e">
        <f>VLOOKUP(A601,#REF!,10,FALSE)</f>
        <v>#REF!</v>
      </c>
    </row>
    <row r="602" spans="1:22" ht="27" customHeight="1">
      <c r="A602" s="724">
        <v>69406</v>
      </c>
      <c r="B602" s="1002">
        <v>342</v>
      </c>
      <c r="C602" s="731" t="s">
        <v>1151</v>
      </c>
      <c r="D602" s="79" t="s">
        <v>1142</v>
      </c>
      <c r="E602" s="94" t="s">
        <v>1143</v>
      </c>
      <c r="F602" s="94" t="s">
        <v>1750</v>
      </c>
      <c r="G602" s="518" t="s">
        <v>1218</v>
      </c>
      <c r="H602" s="56" t="s">
        <v>1321</v>
      </c>
      <c r="I602" s="1071"/>
      <c r="J602" s="12"/>
      <c r="K602" s="196">
        <v>75</v>
      </c>
      <c r="L602" s="147">
        <v>2012</v>
      </c>
      <c r="M602" s="147" t="s">
        <v>1231</v>
      </c>
      <c r="N602" s="261">
        <v>8</v>
      </c>
      <c r="O602" s="284" t="s">
        <v>1469</v>
      </c>
      <c r="P602" s="283">
        <v>224</v>
      </c>
      <c r="Q602" s="310" t="s">
        <v>1010</v>
      </c>
      <c r="R602" s="321" t="s">
        <v>184</v>
      </c>
      <c r="S602" s="87" t="s">
        <v>1807</v>
      </c>
      <c r="T602" s="288">
        <v>0.213</v>
      </c>
      <c r="U602" s="916" t="s">
        <v>1132</v>
      </c>
      <c r="V602" s="360" t="e">
        <f>VLOOKUP(A602,#REF!,10,FALSE)</f>
        <v>#REF!</v>
      </c>
    </row>
    <row r="603" spans="1:22" ht="27" customHeight="1">
      <c r="A603" s="724">
        <v>69436</v>
      </c>
      <c r="B603" s="1002">
        <v>537</v>
      </c>
      <c r="C603" s="731" t="s">
        <v>1152</v>
      </c>
      <c r="D603" s="79" t="s">
        <v>1142</v>
      </c>
      <c r="E603" s="94" t="s">
        <v>1148</v>
      </c>
      <c r="F603" s="94" t="s">
        <v>1751</v>
      </c>
      <c r="G603" s="518" t="s">
        <v>1218</v>
      </c>
      <c r="H603" s="56" t="s">
        <v>1321</v>
      </c>
      <c r="I603" s="1071"/>
      <c r="J603" s="12"/>
      <c r="K603" s="196">
        <v>75</v>
      </c>
      <c r="L603" s="147">
        <v>2012</v>
      </c>
      <c r="M603" s="147" t="s">
        <v>1231</v>
      </c>
      <c r="N603" s="261">
        <v>7</v>
      </c>
      <c r="O603" s="284" t="s">
        <v>1469</v>
      </c>
      <c r="P603" s="283">
        <v>320</v>
      </c>
      <c r="Q603" s="310" t="s">
        <v>1010</v>
      </c>
      <c r="R603" s="321" t="s">
        <v>185</v>
      </c>
      <c r="S603" s="87" t="s">
        <v>1807</v>
      </c>
      <c r="T603" s="288">
        <v>0.292</v>
      </c>
      <c r="U603" s="916" t="s">
        <v>1132</v>
      </c>
      <c r="V603" s="360" t="e">
        <f>VLOOKUP(A603,#REF!,10,FALSE)</f>
        <v>#REF!</v>
      </c>
    </row>
    <row r="604" spans="1:22" ht="27" customHeight="1">
      <c r="A604" s="724">
        <v>69408</v>
      </c>
      <c r="B604" s="1002">
        <v>645</v>
      </c>
      <c r="C604" s="731" t="s">
        <v>1153</v>
      </c>
      <c r="D604" s="79" t="s">
        <v>1142</v>
      </c>
      <c r="E604" s="94" t="s">
        <v>1143</v>
      </c>
      <c r="F604" s="94" t="s">
        <v>1752</v>
      </c>
      <c r="G604" s="518" t="s">
        <v>1218</v>
      </c>
      <c r="H604" s="56" t="s">
        <v>1321</v>
      </c>
      <c r="I604" s="1071"/>
      <c r="J604" s="12"/>
      <c r="K604" s="196">
        <v>75</v>
      </c>
      <c r="L604" s="147">
        <v>2012</v>
      </c>
      <c r="M604" s="147" t="s">
        <v>1231</v>
      </c>
      <c r="N604" s="261">
        <v>8</v>
      </c>
      <c r="O604" s="284" t="s">
        <v>1469</v>
      </c>
      <c r="P604" s="283">
        <v>240</v>
      </c>
      <c r="Q604" s="310" t="s">
        <v>1010</v>
      </c>
      <c r="R604" s="321" t="s">
        <v>186</v>
      </c>
      <c r="S604" s="87" t="s">
        <v>1807</v>
      </c>
      <c r="T604" s="288">
        <v>0.225</v>
      </c>
      <c r="U604" s="916" t="s">
        <v>1132</v>
      </c>
      <c r="V604" s="360" t="e">
        <f>VLOOKUP(A604,#REF!,10,FALSE)</f>
        <v>#REF!</v>
      </c>
    </row>
    <row r="605" spans="1:22" ht="27" customHeight="1">
      <c r="A605" s="724">
        <v>69417</v>
      </c>
      <c r="B605" s="1002">
        <v>325</v>
      </c>
      <c r="C605" s="731" t="s">
        <v>1154</v>
      </c>
      <c r="D605" s="79" t="s">
        <v>1142</v>
      </c>
      <c r="E605" s="94" t="s">
        <v>1148</v>
      </c>
      <c r="F605" s="94" t="s">
        <v>1753</v>
      </c>
      <c r="G605" s="518" t="s">
        <v>1218</v>
      </c>
      <c r="H605" s="56" t="s">
        <v>1321</v>
      </c>
      <c r="I605" s="1071"/>
      <c r="J605" s="12"/>
      <c r="K605" s="196">
        <v>75</v>
      </c>
      <c r="L605" s="147">
        <v>2012</v>
      </c>
      <c r="M605" s="147" t="s">
        <v>1231</v>
      </c>
      <c r="N605" s="261">
        <v>10</v>
      </c>
      <c r="O605" s="284" t="s">
        <v>1469</v>
      </c>
      <c r="P605" s="283">
        <v>192</v>
      </c>
      <c r="Q605" s="310" t="s">
        <v>1010</v>
      </c>
      <c r="R605" s="321" t="s">
        <v>187</v>
      </c>
      <c r="S605" s="87" t="s">
        <v>1807</v>
      </c>
      <c r="T605" s="288">
        <v>0.19</v>
      </c>
      <c r="U605" s="916" t="s">
        <v>1132</v>
      </c>
      <c r="V605" s="360" t="e">
        <f>VLOOKUP(A605,#REF!,10,FALSE)</f>
        <v>#REF!</v>
      </c>
    </row>
    <row r="606" spans="1:22" ht="27" customHeight="1" thickBot="1">
      <c r="A606" s="771">
        <v>69816</v>
      </c>
      <c r="B606" s="1021">
        <v>340</v>
      </c>
      <c r="C606" s="821" t="s">
        <v>1155</v>
      </c>
      <c r="D606" s="60" t="s">
        <v>1142</v>
      </c>
      <c r="E606" s="633" t="s">
        <v>1143</v>
      </c>
      <c r="F606" s="633" t="s">
        <v>1754</v>
      </c>
      <c r="G606" s="634" t="s">
        <v>1218</v>
      </c>
      <c r="H606" s="57" t="s">
        <v>1321</v>
      </c>
      <c r="I606" s="1072"/>
      <c r="J606" s="22"/>
      <c r="K606" s="200">
        <v>75</v>
      </c>
      <c r="L606" s="855">
        <v>2012</v>
      </c>
      <c r="M606" s="855" t="s">
        <v>1231</v>
      </c>
      <c r="N606" s="338">
        <v>8</v>
      </c>
      <c r="O606" s="289" t="s">
        <v>1469</v>
      </c>
      <c r="P606" s="454">
        <v>288</v>
      </c>
      <c r="Q606" s="601" t="s">
        <v>1010</v>
      </c>
      <c r="R606" s="513" t="s">
        <v>188</v>
      </c>
      <c r="S606" s="429" t="s">
        <v>1807</v>
      </c>
      <c r="T606" s="515">
        <v>0.288</v>
      </c>
      <c r="U606" s="918" t="s">
        <v>1132</v>
      </c>
      <c r="V606" s="360" t="e">
        <f>VLOOKUP(A606,#REF!,10,FALSE)</f>
        <v>#REF!</v>
      </c>
    </row>
    <row r="607" spans="1:22" ht="27" customHeight="1" thickBot="1">
      <c r="A607" s="1103" t="s">
        <v>1170</v>
      </c>
      <c r="B607" s="1044"/>
      <c r="C607" s="824"/>
      <c r="D607" s="72"/>
      <c r="E607" s="72"/>
      <c r="F607" s="72"/>
      <c r="G607" s="699"/>
      <c r="H607" s="73" t="s">
        <v>1229</v>
      </c>
      <c r="I607" s="73"/>
      <c r="J607" s="74"/>
      <c r="K607" s="212"/>
      <c r="L607" s="75"/>
      <c r="M607" s="867"/>
      <c r="N607" s="75"/>
      <c r="O607" s="76"/>
      <c r="P607" s="77"/>
      <c r="Q607" s="76"/>
      <c r="R607" s="75"/>
      <c r="S607" s="296"/>
      <c r="T607" s="306"/>
      <c r="U607" s="959"/>
      <c r="V607" s="360" t="e">
        <f>VLOOKUP(A607,#REF!,10,FALSE)</f>
        <v>#REF!</v>
      </c>
    </row>
    <row r="608" spans="1:22" ht="27" customHeight="1">
      <c r="A608" s="747">
        <v>69387</v>
      </c>
      <c r="B608" s="1011">
        <v>479</v>
      </c>
      <c r="C608" s="813" t="s">
        <v>1172</v>
      </c>
      <c r="D608" s="162" t="s">
        <v>1982</v>
      </c>
      <c r="E608" s="159" t="s">
        <v>1173</v>
      </c>
      <c r="F608" s="159" t="s">
        <v>1760</v>
      </c>
      <c r="G608" s="606" t="s">
        <v>1218</v>
      </c>
      <c r="H608" s="55" t="s">
        <v>1321</v>
      </c>
      <c r="I608" s="1080"/>
      <c r="J608" s="45"/>
      <c r="K608" s="207">
        <v>45</v>
      </c>
      <c r="L608" s="844">
        <v>2012</v>
      </c>
      <c r="M608" s="844" t="s">
        <v>1231</v>
      </c>
      <c r="N608" s="146">
        <v>12</v>
      </c>
      <c r="O608" s="607" t="s">
        <v>1255</v>
      </c>
      <c r="P608" s="316">
        <v>96</v>
      </c>
      <c r="Q608" s="308" t="s">
        <v>1235</v>
      </c>
      <c r="R608" s="323" t="s">
        <v>72</v>
      </c>
      <c r="S608" s="295" t="s">
        <v>1807</v>
      </c>
      <c r="T608" s="299">
        <v>0.546</v>
      </c>
      <c r="U608" s="926" t="s">
        <v>307</v>
      </c>
      <c r="V608" s="360" t="e">
        <f>VLOOKUP(A608,#REF!,10,FALSE)</f>
        <v>#REF!</v>
      </c>
    </row>
    <row r="609" spans="1:22" ht="27" customHeight="1">
      <c r="A609" s="721">
        <v>69330</v>
      </c>
      <c r="B609" s="1001">
        <v>363</v>
      </c>
      <c r="C609" s="774" t="s">
        <v>1174</v>
      </c>
      <c r="D609" s="286" t="s">
        <v>1982</v>
      </c>
      <c r="E609" s="116" t="s">
        <v>1175</v>
      </c>
      <c r="F609" s="116" t="s">
        <v>1761</v>
      </c>
      <c r="G609" s="519" t="s">
        <v>1218</v>
      </c>
      <c r="H609" s="18" t="s">
        <v>1321</v>
      </c>
      <c r="I609" s="863"/>
      <c r="J609" s="15"/>
      <c r="K609" s="201">
        <v>45</v>
      </c>
      <c r="L609" s="147">
        <v>2012</v>
      </c>
      <c r="M609" s="147" t="s">
        <v>1231</v>
      </c>
      <c r="N609" s="148">
        <v>12</v>
      </c>
      <c r="O609" s="272" t="s">
        <v>1255</v>
      </c>
      <c r="P609" s="311">
        <v>96</v>
      </c>
      <c r="Q609" s="318" t="s">
        <v>1235</v>
      </c>
      <c r="R609" s="322" t="s">
        <v>73</v>
      </c>
      <c r="S609" s="88" t="s">
        <v>1807</v>
      </c>
      <c r="T609" s="301">
        <v>0.538</v>
      </c>
      <c r="U609" s="927" t="s">
        <v>307</v>
      </c>
      <c r="V609" s="360" t="e">
        <f>VLOOKUP(A609,#REF!,10,FALSE)</f>
        <v>#REF!</v>
      </c>
    </row>
    <row r="610" spans="1:22" ht="27" customHeight="1" thickBot="1">
      <c r="A610" s="725">
        <v>69326</v>
      </c>
      <c r="B610" s="1003">
        <v>277</v>
      </c>
      <c r="C610" s="795" t="s">
        <v>1176</v>
      </c>
      <c r="D610" s="566" t="s">
        <v>1982</v>
      </c>
      <c r="E610" s="576" t="s">
        <v>1177</v>
      </c>
      <c r="F610" s="576" t="s">
        <v>1762</v>
      </c>
      <c r="G610" s="577" t="s">
        <v>1218</v>
      </c>
      <c r="H610" s="23" t="s">
        <v>1321</v>
      </c>
      <c r="I610" s="1081"/>
      <c r="J610" s="24"/>
      <c r="K610" s="202">
        <v>45</v>
      </c>
      <c r="L610" s="855">
        <v>2012</v>
      </c>
      <c r="M610" s="855" t="s">
        <v>1231</v>
      </c>
      <c r="N610" s="149">
        <v>12</v>
      </c>
      <c r="O610" s="578" t="s">
        <v>1255</v>
      </c>
      <c r="P610" s="244">
        <v>96</v>
      </c>
      <c r="Q610" s="441" t="s">
        <v>1235</v>
      </c>
      <c r="R610" s="324" t="s">
        <v>74</v>
      </c>
      <c r="S610" s="579" t="s">
        <v>1807</v>
      </c>
      <c r="T610" s="455">
        <v>0.546</v>
      </c>
      <c r="U610" s="928" t="s">
        <v>307</v>
      </c>
      <c r="V610" s="360" t="e">
        <f>VLOOKUP(A610,#REF!,10,FALSE)</f>
        <v>#REF!</v>
      </c>
    </row>
    <row r="611" spans="1:22" ht="27" customHeight="1">
      <c r="A611" s="721">
        <v>68914</v>
      </c>
      <c r="B611" s="1001">
        <v>570</v>
      </c>
      <c r="C611" s="774" t="s">
        <v>1180</v>
      </c>
      <c r="D611" s="286" t="s">
        <v>1178</v>
      </c>
      <c r="E611" s="116" t="s">
        <v>1179</v>
      </c>
      <c r="F611" s="116" t="s">
        <v>1763</v>
      </c>
      <c r="G611" s="519" t="s">
        <v>1218</v>
      </c>
      <c r="H611" s="18" t="s">
        <v>1321</v>
      </c>
      <c r="I611" s="863"/>
      <c r="J611" s="15"/>
      <c r="K611" s="201">
        <v>39</v>
      </c>
      <c r="L611" s="147">
        <v>2010</v>
      </c>
      <c r="M611" s="147" t="s">
        <v>1231</v>
      </c>
      <c r="N611" s="148">
        <v>50</v>
      </c>
      <c r="O611" s="272" t="s">
        <v>1375</v>
      </c>
      <c r="P611" s="311">
        <v>32</v>
      </c>
      <c r="Q611" s="318" t="s">
        <v>1235</v>
      </c>
      <c r="R611" s="322" t="s">
        <v>69</v>
      </c>
      <c r="S611" s="88" t="s">
        <v>1921</v>
      </c>
      <c r="T611" s="301">
        <v>0.115</v>
      </c>
      <c r="U611" s="927" t="s">
        <v>307</v>
      </c>
      <c r="V611" s="360" t="e">
        <f>VLOOKUP(A611,#REF!,10,FALSE)</f>
        <v>#REF!</v>
      </c>
    </row>
    <row r="612" spans="1:22" ht="27" customHeight="1">
      <c r="A612" s="721">
        <v>68916</v>
      </c>
      <c r="B612" s="1001">
        <v>466</v>
      </c>
      <c r="C612" s="774" t="s">
        <v>1181</v>
      </c>
      <c r="D612" s="286" t="s">
        <v>1178</v>
      </c>
      <c r="E612" s="116" t="s">
        <v>1179</v>
      </c>
      <c r="F612" s="116" t="s">
        <v>1764</v>
      </c>
      <c r="G612" s="519" t="s">
        <v>1218</v>
      </c>
      <c r="H612" s="18" t="s">
        <v>1321</v>
      </c>
      <c r="I612" s="863"/>
      <c r="J612" s="15"/>
      <c r="K612" s="201">
        <v>39</v>
      </c>
      <c r="L612" s="147">
        <v>2010</v>
      </c>
      <c r="M612" s="147" t="s">
        <v>1231</v>
      </c>
      <c r="N612" s="148">
        <v>50</v>
      </c>
      <c r="O612" s="272" t="s">
        <v>1375</v>
      </c>
      <c r="P612" s="311">
        <v>32</v>
      </c>
      <c r="Q612" s="318" t="s">
        <v>1235</v>
      </c>
      <c r="R612" s="322" t="s">
        <v>70</v>
      </c>
      <c r="S612" s="88" t="s">
        <v>1921</v>
      </c>
      <c r="T612" s="301">
        <v>0.115</v>
      </c>
      <c r="U612" s="927" t="s">
        <v>307</v>
      </c>
      <c r="V612" s="360" t="e">
        <f>VLOOKUP(A612,#REF!,10,FALSE)</f>
        <v>#REF!</v>
      </c>
    </row>
    <row r="613" spans="1:22" ht="27" customHeight="1" thickBot="1">
      <c r="A613" s="721">
        <v>68912</v>
      </c>
      <c r="B613" s="1001">
        <v>602</v>
      </c>
      <c r="C613" s="774" t="s">
        <v>1182</v>
      </c>
      <c r="D613" s="286" t="s">
        <v>1178</v>
      </c>
      <c r="E613" s="116" t="s">
        <v>1179</v>
      </c>
      <c r="F613" s="116" t="s">
        <v>1765</v>
      </c>
      <c r="G613" s="519" t="s">
        <v>1218</v>
      </c>
      <c r="H613" s="18" t="s">
        <v>1321</v>
      </c>
      <c r="I613" s="863"/>
      <c r="J613" s="15"/>
      <c r="K613" s="201">
        <v>39</v>
      </c>
      <c r="L613" s="147">
        <v>2010</v>
      </c>
      <c r="M613" s="147" t="s">
        <v>1231</v>
      </c>
      <c r="N613" s="148">
        <v>50</v>
      </c>
      <c r="O613" s="272" t="s">
        <v>1375</v>
      </c>
      <c r="P613" s="311">
        <v>32</v>
      </c>
      <c r="Q613" s="318" t="s">
        <v>1235</v>
      </c>
      <c r="R613" s="322" t="s">
        <v>71</v>
      </c>
      <c r="S613" s="88" t="s">
        <v>1921</v>
      </c>
      <c r="T613" s="301">
        <v>0.115</v>
      </c>
      <c r="U613" s="927" t="s">
        <v>307</v>
      </c>
      <c r="V613" s="360" t="e">
        <f>VLOOKUP(A613,#REF!,10,FALSE)</f>
        <v>#REF!</v>
      </c>
    </row>
    <row r="614" spans="1:22" ht="18.75" customHeight="1" thickBot="1">
      <c r="A614" s="1103" t="s">
        <v>1183</v>
      </c>
      <c r="B614" s="1044"/>
      <c r="C614" s="824"/>
      <c r="D614" s="72"/>
      <c r="E614" s="72"/>
      <c r="F614" s="72"/>
      <c r="G614" s="699"/>
      <c r="H614" s="73" t="s">
        <v>1229</v>
      </c>
      <c r="I614" s="73"/>
      <c r="J614" s="74"/>
      <c r="K614" s="212"/>
      <c r="L614" s="75"/>
      <c r="M614" s="867"/>
      <c r="N614" s="75"/>
      <c r="O614" s="76"/>
      <c r="P614" s="76"/>
      <c r="Q614" s="76"/>
      <c r="R614" s="75"/>
      <c r="S614" s="296"/>
      <c r="T614" s="306"/>
      <c r="U614" s="959"/>
      <c r="V614" s="360" t="e">
        <f>VLOOKUP(A614,#REF!,10,FALSE)</f>
        <v>#REF!</v>
      </c>
    </row>
    <row r="615" spans="1:22" ht="29.25" customHeight="1" thickBot="1">
      <c r="A615" s="778">
        <v>70509</v>
      </c>
      <c r="B615" s="1025">
        <v>699</v>
      </c>
      <c r="C615" s="533" t="s">
        <v>1492</v>
      </c>
      <c r="D615" s="534" t="s">
        <v>1491</v>
      </c>
      <c r="E615" s="535" t="s">
        <v>1494</v>
      </c>
      <c r="F615" s="535" t="s">
        <v>1493</v>
      </c>
      <c r="G615" s="700" t="s">
        <v>1218</v>
      </c>
      <c r="H615" s="81"/>
      <c r="I615" s="1074"/>
      <c r="J615" s="82"/>
      <c r="K615" s="213">
        <f>ROUND(112.5*(1-$G$4),2)</f>
        <v>109.13</v>
      </c>
      <c r="L615" s="847">
        <v>2014</v>
      </c>
      <c r="M615" s="861">
        <v>0.1</v>
      </c>
      <c r="N615" s="332">
        <v>12</v>
      </c>
      <c r="O615" s="536" t="s">
        <v>1495</v>
      </c>
      <c r="P615" s="537">
        <v>304</v>
      </c>
      <c r="Q615" s="137" t="s">
        <v>1235</v>
      </c>
      <c r="R615" s="326" t="s">
        <v>80</v>
      </c>
      <c r="S615" s="701" t="s">
        <v>1807</v>
      </c>
      <c r="T615" s="307">
        <v>0.212</v>
      </c>
      <c r="U615" s="939" t="s">
        <v>307</v>
      </c>
      <c r="V615" s="360" t="e">
        <f>VLOOKUP(A615,#REF!,10,FALSE)</f>
        <v>#REF!</v>
      </c>
    </row>
    <row r="616" spans="1:22" ht="27" customHeight="1" thickBot="1">
      <c r="A616" s="778">
        <v>69110</v>
      </c>
      <c r="B616" s="1025">
        <v>440</v>
      </c>
      <c r="C616" s="533" t="s">
        <v>1184</v>
      </c>
      <c r="D616" s="534" t="s">
        <v>1185</v>
      </c>
      <c r="E616" s="535" t="s">
        <v>1186</v>
      </c>
      <c r="F616" s="535" t="s">
        <v>1766</v>
      </c>
      <c r="G616" s="702" t="s">
        <v>1218</v>
      </c>
      <c r="H616" s="81" t="s">
        <v>1229</v>
      </c>
      <c r="I616" s="1074"/>
      <c r="J616" s="82"/>
      <c r="K616" s="213">
        <f>ROUND(101.2*(1-$G$4),2)</f>
        <v>98.16</v>
      </c>
      <c r="L616" s="847">
        <v>2011</v>
      </c>
      <c r="M616" s="847" t="s">
        <v>1231</v>
      </c>
      <c r="N616" s="332">
        <v>12</v>
      </c>
      <c r="O616" s="536" t="s">
        <v>1469</v>
      </c>
      <c r="P616" s="537">
        <v>256</v>
      </c>
      <c r="Q616" s="137" t="s">
        <v>1232</v>
      </c>
      <c r="R616" s="326" t="s">
        <v>75</v>
      </c>
      <c r="S616" s="701" t="s">
        <v>1807</v>
      </c>
      <c r="T616" s="307">
        <v>0.233</v>
      </c>
      <c r="U616" s="939" t="s">
        <v>307</v>
      </c>
      <c r="V616" s="360" t="e">
        <f>VLOOKUP(A616,#REF!,10,FALSE)</f>
        <v>#REF!</v>
      </c>
    </row>
    <row r="617" spans="1:22" ht="27" customHeight="1" thickBot="1">
      <c r="A617" s="778">
        <v>69123</v>
      </c>
      <c r="B617" s="1025"/>
      <c r="C617" s="533" t="s">
        <v>685</v>
      </c>
      <c r="D617" s="534" t="s">
        <v>1198</v>
      </c>
      <c r="E617" s="535" t="s">
        <v>1376</v>
      </c>
      <c r="F617" s="535" t="s">
        <v>687</v>
      </c>
      <c r="G617" s="702"/>
      <c r="H617" s="58" t="s">
        <v>1321</v>
      </c>
      <c r="I617" s="1074"/>
      <c r="J617" s="82"/>
      <c r="K617" s="213">
        <v>25</v>
      </c>
      <c r="L617" s="847">
        <v>2011</v>
      </c>
      <c r="M617" s="847" t="s">
        <v>1231</v>
      </c>
      <c r="N617" s="332">
        <v>12</v>
      </c>
      <c r="O617" s="536" t="s">
        <v>1469</v>
      </c>
      <c r="P617" s="537">
        <v>304</v>
      </c>
      <c r="Q617" s="137" t="s">
        <v>1235</v>
      </c>
      <c r="R617" s="326" t="s">
        <v>686</v>
      </c>
      <c r="S617" s="701" t="s">
        <v>1807</v>
      </c>
      <c r="T617" s="307">
        <v>0.201</v>
      </c>
      <c r="U617" s="939" t="s">
        <v>307</v>
      </c>
      <c r="V617" s="360"/>
    </row>
    <row r="618" spans="1:22" ht="27" customHeight="1" thickBot="1">
      <c r="A618" s="825">
        <v>69111</v>
      </c>
      <c r="B618" s="1037">
        <v>491</v>
      </c>
      <c r="C618" s="826" t="s">
        <v>1188</v>
      </c>
      <c r="D618" s="635" t="s">
        <v>1187</v>
      </c>
      <c r="E618" s="703" t="s">
        <v>1189</v>
      </c>
      <c r="F618" s="827" t="s">
        <v>1767</v>
      </c>
      <c r="G618" s="704" t="s">
        <v>1218</v>
      </c>
      <c r="H618" s="58" t="s">
        <v>1321</v>
      </c>
      <c r="I618" s="1088"/>
      <c r="J618" s="165"/>
      <c r="K618" s="199">
        <v>15</v>
      </c>
      <c r="L618" s="705">
        <v>2011</v>
      </c>
      <c r="M618" s="705" t="s">
        <v>1231</v>
      </c>
      <c r="N618" s="705">
        <v>8</v>
      </c>
      <c r="O618" s="706" t="s">
        <v>1469</v>
      </c>
      <c r="P618" s="707">
        <v>256</v>
      </c>
      <c r="Q618" s="708" t="s">
        <v>1235</v>
      </c>
      <c r="R618" s="709" t="s">
        <v>2131</v>
      </c>
      <c r="S618" s="710" t="s">
        <v>1807</v>
      </c>
      <c r="T618" s="711">
        <v>0.178</v>
      </c>
      <c r="U618" s="939" t="s">
        <v>307</v>
      </c>
      <c r="V618" s="360" t="e">
        <f>VLOOKUP(A618,#REF!,10,FALSE)</f>
        <v>#REF!</v>
      </c>
    </row>
    <row r="619" spans="1:22" ht="27" customHeight="1">
      <c r="A619" s="747">
        <v>69903</v>
      </c>
      <c r="B619" s="1011">
        <v>129</v>
      </c>
      <c r="C619" s="1407" t="s">
        <v>1190</v>
      </c>
      <c r="D619" s="162" t="s">
        <v>1191</v>
      </c>
      <c r="E619" s="1408" t="s">
        <v>1192</v>
      </c>
      <c r="F619" s="159" t="s">
        <v>1768</v>
      </c>
      <c r="G619" s="1409" t="s">
        <v>1218</v>
      </c>
      <c r="H619" s="1410"/>
      <c r="I619" s="1411"/>
      <c r="J619" s="1412"/>
      <c r="K619" s="207">
        <f>ROUND(41.2*(1-$G$4),2)</f>
        <v>39.96</v>
      </c>
      <c r="L619" s="146">
        <v>2012</v>
      </c>
      <c r="M619" s="146" t="s">
        <v>1231</v>
      </c>
      <c r="N619" s="146">
        <v>60</v>
      </c>
      <c r="O619" s="607" t="s">
        <v>1249</v>
      </c>
      <c r="P619" s="316">
        <v>32</v>
      </c>
      <c r="Q619" s="308" t="s">
        <v>1235</v>
      </c>
      <c r="R619" s="323" t="s">
        <v>2088</v>
      </c>
      <c r="S619" s="295" t="s">
        <v>1807</v>
      </c>
      <c r="T619" s="299">
        <v>0.079</v>
      </c>
      <c r="U619" s="926" t="s">
        <v>307</v>
      </c>
      <c r="V619" s="360" t="e">
        <f>VLOOKUP(A619,#REF!,10,FALSE)</f>
        <v>#REF!</v>
      </c>
    </row>
    <row r="620" spans="1:22" ht="27" customHeight="1">
      <c r="A620" s="721">
        <v>69904</v>
      </c>
      <c r="B620" s="1001">
        <v>522</v>
      </c>
      <c r="C620" s="828" t="s">
        <v>1193</v>
      </c>
      <c r="D620" s="286" t="s">
        <v>1191</v>
      </c>
      <c r="E620" s="712" t="s">
        <v>1192</v>
      </c>
      <c r="F620" s="116" t="s">
        <v>1769</v>
      </c>
      <c r="G620" s="713" t="s">
        <v>1218</v>
      </c>
      <c r="H620" s="18" t="s">
        <v>1321</v>
      </c>
      <c r="I620" s="1096"/>
      <c r="J620" s="30"/>
      <c r="K620" s="201">
        <f>ROUND(41.2*(1-$G$4),2)</f>
        <v>39.96</v>
      </c>
      <c r="L620" s="148">
        <v>2012</v>
      </c>
      <c r="M620" s="148" t="s">
        <v>1231</v>
      </c>
      <c r="N620" s="148">
        <v>60</v>
      </c>
      <c r="O620" s="272" t="s">
        <v>1249</v>
      </c>
      <c r="P620" s="311">
        <v>32</v>
      </c>
      <c r="Q620" s="318" t="s">
        <v>1235</v>
      </c>
      <c r="R620" s="322" t="s">
        <v>2090</v>
      </c>
      <c r="S620" s="88" t="s">
        <v>1807</v>
      </c>
      <c r="T620" s="301">
        <v>0.079</v>
      </c>
      <c r="U620" s="927" t="s">
        <v>307</v>
      </c>
      <c r="V620" s="360" t="e">
        <f>VLOOKUP(A620,#REF!,10,FALSE)</f>
        <v>#REF!</v>
      </c>
    </row>
    <row r="621" spans="1:22" ht="27" customHeight="1">
      <c r="A621" s="724">
        <v>69907</v>
      </c>
      <c r="B621" s="1002">
        <v>158</v>
      </c>
      <c r="C621" s="797" t="s">
        <v>1194</v>
      </c>
      <c r="D621" s="286" t="s">
        <v>1191</v>
      </c>
      <c r="E621" s="589" t="s">
        <v>1195</v>
      </c>
      <c r="F621" s="94" t="s">
        <v>1770</v>
      </c>
      <c r="G621" s="592" t="s">
        <v>1218</v>
      </c>
      <c r="H621" s="1451"/>
      <c r="I621" s="1085"/>
      <c r="J621" s="28"/>
      <c r="K621" s="196">
        <f>ROUND(41.2*(1-$G$4),2)</f>
        <v>39.96</v>
      </c>
      <c r="L621" s="261">
        <v>2012</v>
      </c>
      <c r="M621" s="261" t="s">
        <v>1231</v>
      </c>
      <c r="N621" s="261">
        <v>40</v>
      </c>
      <c r="O621" s="284" t="s">
        <v>1249</v>
      </c>
      <c r="P621" s="283">
        <v>32</v>
      </c>
      <c r="Q621" s="318" t="s">
        <v>1235</v>
      </c>
      <c r="R621" s="322" t="s">
        <v>2091</v>
      </c>
      <c r="S621" s="87" t="s">
        <v>1807</v>
      </c>
      <c r="T621" s="301">
        <v>0.079</v>
      </c>
      <c r="U621" s="927" t="s">
        <v>307</v>
      </c>
      <c r="V621" s="360" t="e">
        <f>VLOOKUP(A621,#REF!,10,FALSE)</f>
        <v>#REF!</v>
      </c>
    </row>
    <row r="622" spans="1:22" ht="27" customHeight="1">
      <c r="A622" s="724">
        <v>69909</v>
      </c>
      <c r="B622" s="1002">
        <v>723</v>
      </c>
      <c r="C622" s="797" t="s">
        <v>1196</v>
      </c>
      <c r="D622" s="286" t="s">
        <v>1191</v>
      </c>
      <c r="E622" s="589" t="s">
        <v>1195</v>
      </c>
      <c r="F622" s="94" t="s">
        <v>1771</v>
      </c>
      <c r="G622" s="592" t="s">
        <v>1218</v>
      </c>
      <c r="H622" s="29" t="s">
        <v>1229</v>
      </c>
      <c r="I622" s="1085"/>
      <c r="J622" s="28"/>
      <c r="K622" s="196">
        <f>ROUND(41.2*(1-$G$4),2)</f>
        <v>39.96</v>
      </c>
      <c r="L622" s="261">
        <v>2012</v>
      </c>
      <c r="M622" s="261" t="s">
        <v>1231</v>
      </c>
      <c r="N622" s="261">
        <v>60</v>
      </c>
      <c r="O622" s="284" t="s">
        <v>1249</v>
      </c>
      <c r="P622" s="283">
        <v>32</v>
      </c>
      <c r="Q622" s="318" t="s">
        <v>1235</v>
      </c>
      <c r="R622" s="322" t="s">
        <v>2092</v>
      </c>
      <c r="S622" s="87" t="s">
        <v>1807</v>
      </c>
      <c r="T622" s="301">
        <v>0.079</v>
      </c>
      <c r="U622" s="927" t="s">
        <v>307</v>
      </c>
      <c r="V622" s="360" t="e">
        <f>VLOOKUP(A622,#REF!,10,FALSE)</f>
        <v>#REF!</v>
      </c>
    </row>
    <row r="623" spans="1:22" ht="27" customHeight="1" thickBot="1">
      <c r="A623" s="776">
        <v>69908</v>
      </c>
      <c r="B623" s="1024">
        <v>516</v>
      </c>
      <c r="C623" s="738" t="s">
        <v>1197</v>
      </c>
      <c r="D623" s="643" t="s">
        <v>1191</v>
      </c>
      <c r="E623" s="691" t="s">
        <v>1195</v>
      </c>
      <c r="F623" s="691" t="s">
        <v>1772</v>
      </c>
      <c r="G623" s="692" t="s">
        <v>1218</v>
      </c>
      <c r="H623" s="31" t="s">
        <v>1229</v>
      </c>
      <c r="I623" s="1073"/>
      <c r="J623" s="25"/>
      <c r="K623" s="197">
        <f>ROUND(41.2*(1-$G$4),2)</f>
        <v>39.96</v>
      </c>
      <c r="L623" s="846">
        <v>2012</v>
      </c>
      <c r="M623" s="846" t="s">
        <v>1231</v>
      </c>
      <c r="N623" s="343">
        <v>60</v>
      </c>
      <c r="O623" s="425" t="s">
        <v>1249</v>
      </c>
      <c r="P623" s="462">
        <v>32</v>
      </c>
      <c r="Q623" s="440" t="s">
        <v>1235</v>
      </c>
      <c r="R623" s="325" t="s">
        <v>2093</v>
      </c>
      <c r="S623" s="424" t="s">
        <v>1807</v>
      </c>
      <c r="T623" s="302">
        <v>0.079</v>
      </c>
      <c r="U623" s="931" t="s">
        <v>307</v>
      </c>
      <c r="V623" s="360" t="e">
        <f>VLOOKUP(A623,#REF!,10,FALSE)</f>
        <v>#REF!</v>
      </c>
    </row>
    <row r="624" spans="1:22" ht="27" customHeight="1" thickBot="1">
      <c r="A624" s="780">
        <v>70240</v>
      </c>
      <c r="B624" s="1598"/>
      <c r="C624" s="1599" t="s">
        <v>883</v>
      </c>
      <c r="D624" s="1600" t="s">
        <v>1187</v>
      </c>
      <c r="E624" s="534" t="s">
        <v>1376</v>
      </c>
      <c r="F624" s="1309" t="s">
        <v>882</v>
      </c>
      <c r="G624" s="1601"/>
      <c r="H624" s="1601"/>
      <c r="I624" s="1601"/>
      <c r="J624" s="1601"/>
      <c r="K624" s="1309">
        <v>135</v>
      </c>
      <c r="L624" s="333">
        <v>2013</v>
      </c>
      <c r="M624" s="333" t="s">
        <v>1231</v>
      </c>
      <c r="N624" s="333">
        <v>7</v>
      </c>
      <c r="O624" s="426" t="s">
        <v>1469</v>
      </c>
      <c r="P624" s="543">
        <v>288</v>
      </c>
      <c r="Q624" s="847" t="s">
        <v>1235</v>
      </c>
      <c r="R624" s="847" t="s">
        <v>884</v>
      </c>
      <c r="S624" s="1602" t="s">
        <v>1807</v>
      </c>
      <c r="T624" s="1603">
        <v>0.24</v>
      </c>
      <c r="U624" s="939" t="s">
        <v>307</v>
      </c>
      <c r="V624" s="360"/>
    </row>
    <row r="625" spans="1:22" ht="27" customHeight="1" thickBot="1">
      <c r="A625" s="811">
        <v>69194</v>
      </c>
      <c r="B625" s="1028">
        <v>689</v>
      </c>
      <c r="C625" s="812" t="s">
        <v>1199</v>
      </c>
      <c r="D625" s="635" t="s">
        <v>1198</v>
      </c>
      <c r="E625" s="636" t="s">
        <v>1200</v>
      </c>
      <c r="F625" s="636" t="s">
        <v>1773</v>
      </c>
      <c r="G625" s="1406" t="s">
        <v>1218</v>
      </c>
      <c r="H625" s="58" t="s">
        <v>1321</v>
      </c>
      <c r="I625" s="1091"/>
      <c r="J625" s="59"/>
      <c r="K625" s="285">
        <v>15</v>
      </c>
      <c r="L625" s="857">
        <v>2011</v>
      </c>
      <c r="M625" s="857" t="s">
        <v>1231</v>
      </c>
      <c r="N625" s="266">
        <v>10</v>
      </c>
      <c r="O625" s="274" t="s">
        <v>1469</v>
      </c>
      <c r="P625" s="637">
        <v>336</v>
      </c>
      <c r="Q625" s="638" t="s">
        <v>1235</v>
      </c>
      <c r="R625" s="480" t="s">
        <v>79</v>
      </c>
      <c r="S625" s="639" t="s">
        <v>1807</v>
      </c>
      <c r="T625" s="640">
        <v>0.224</v>
      </c>
      <c r="U625" s="951" t="s">
        <v>307</v>
      </c>
      <c r="V625" s="360" t="e">
        <f>VLOOKUP(A625,#REF!,10,FALSE)</f>
        <v>#REF!</v>
      </c>
    </row>
    <row r="626" spans="1:22" ht="27" customHeight="1">
      <c r="A626" s="747">
        <v>69304</v>
      </c>
      <c r="B626" s="1011">
        <v>531</v>
      </c>
      <c r="C626" s="813" t="s">
        <v>1201</v>
      </c>
      <c r="D626" s="162" t="s">
        <v>1202</v>
      </c>
      <c r="E626" s="159" t="s">
        <v>1203</v>
      </c>
      <c r="F626" s="159" t="s">
        <v>1774</v>
      </c>
      <c r="G626" s="606" t="s">
        <v>1218</v>
      </c>
      <c r="H626" s="46" t="s">
        <v>1229</v>
      </c>
      <c r="I626" s="1080"/>
      <c r="J626" s="45"/>
      <c r="K626" s="207">
        <f>ROUND(37.5*(1-$G$4),2)</f>
        <v>36.38</v>
      </c>
      <c r="L626" s="145">
        <v>2011</v>
      </c>
      <c r="M626" s="145" t="s">
        <v>1231</v>
      </c>
      <c r="N626" s="146">
        <v>40</v>
      </c>
      <c r="O626" s="607" t="s">
        <v>1249</v>
      </c>
      <c r="P626" s="316">
        <v>32</v>
      </c>
      <c r="Q626" s="308" t="s">
        <v>1235</v>
      </c>
      <c r="R626" s="323" t="s">
        <v>76</v>
      </c>
      <c r="S626" s="295" t="s">
        <v>1807</v>
      </c>
      <c r="T626" s="299">
        <v>0.077</v>
      </c>
      <c r="U626" s="926" t="s">
        <v>307</v>
      </c>
      <c r="V626" s="360" t="e">
        <f>VLOOKUP(A626,#REF!,10,FALSE)</f>
        <v>#REF!</v>
      </c>
    </row>
    <row r="627" spans="1:22" ht="27" customHeight="1" thickBot="1">
      <c r="A627" s="716">
        <v>70272</v>
      </c>
      <c r="B627" s="999">
        <v>427</v>
      </c>
      <c r="C627" s="717" t="s">
        <v>1204</v>
      </c>
      <c r="D627" s="643" t="s">
        <v>1202</v>
      </c>
      <c r="E627" s="529" t="s">
        <v>1205</v>
      </c>
      <c r="F627" s="691" t="s">
        <v>1775</v>
      </c>
      <c r="G627" s="692" t="s">
        <v>1218</v>
      </c>
      <c r="H627" s="31"/>
      <c r="I627" s="1073" t="s">
        <v>1230</v>
      </c>
      <c r="J627" s="25"/>
      <c r="K627" s="197">
        <f>ROUND(41.2*(1-$G$4),2)</f>
        <v>39.96</v>
      </c>
      <c r="L627" s="846">
        <v>2013</v>
      </c>
      <c r="M627" s="846" t="s">
        <v>1231</v>
      </c>
      <c r="N627" s="343">
        <v>40</v>
      </c>
      <c r="O627" s="425" t="s">
        <v>1249</v>
      </c>
      <c r="P627" s="462">
        <v>32</v>
      </c>
      <c r="Q627" s="531" t="s">
        <v>1235</v>
      </c>
      <c r="R627" s="532" t="s">
        <v>77</v>
      </c>
      <c r="S627" s="424" t="s">
        <v>1807</v>
      </c>
      <c r="T627" s="555">
        <v>0.077</v>
      </c>
      <c r="U627" s="958" t="s">
        <v>307</v>
      </c>
      <c r="V627" s="360" t="e">
        <f>VLOOKUP(A627,#REF!,10,FALSE)</f>
        <v>#REF!</v>
      </c>
    </row>
    <row r="628" spans="1:22" ht="27.75" customHeight="1" thickBot="1">
      <c r="A628" s="778">
        <v>70618</v>
      </c>
      <c r="B628" s="1025">
        <v>353</v>
      </c>
      <c r="C628" s="779" t="s">
        <v>268</v>
      </c>
      <c r="D628" s="534" t="s">
        <v>78</v>
      </c>
      <c r="E628" s="630" t="s">
        <v>382</v>
      </c>
      <c r="F628" s="630" t="s">
        <v>335</v>
      </c>
      <c r="G628" s="1400" t="s">
        <v>1218</v>
      </c>
      <c r="H628" s="1401" t="s">
        <v>1320</v>
      </c>
      <c r="I628" s="1074"/>
      <c r="J628" s="82"/>
      <c r="K628" s="213">
        <f>ROUND(138.8*(1-$G$4),2)</f>
        <v>134.64</v>
      </c>
      <c r="L628" s="847">
        <v>2014</v>
      </c>
      <c r="M628" s="847" t="s">
        <v>1231</v>
      </c>
      <c r="N628" s="332">
        <v>14</v>
      </c>
      <c r="O628" s="537" t="s">
        <v>1469</v>
      </c>
      <c r="P628" s="332">
        <v>304</v>
      </c>
      <c r="Q628" s="537" t="s">
        <v>1235</v>
      </c>
      <c r="R628" s="1402" t="s">
        <v>334</v>
      </c>
      <c r="S628" s="1126" t="s">
        <v>1807</v>
      </c>
      <c r="T628" s="307">
        <v>0.213</v>
      </c>
      <c r="U628" s="948" t="s">
        <v>307</v>
      </c>
      <c r="V628" s="360" t="e">
        <f>VLOOKUP(A628,#REF!,10,FALSE)</f>
        <v>#REF!</v>
      </c>
    </row>
    <row r="629" spans="1:22" ht="28.5" customHeight="1" thickBot="1">
      <c r="A629" s="778">
        <v>69098</v>
      </c>
      <c r="B629" s="1025"/>
      <c r="C629" s="779" t="s">
        <v>682</v>
      </c>
      <c r="D629" s="534" t="s">
        <v>681</v>
      </c>
      <c r="E629" s="630" t="s">
        <v>902</v>
      </c>
      <c r="F629" s="630" t="s">
        <v>684</v>
      </c>
      <c r="G629" s="1400"/>
      <c r="H629" s="58" t="s">
        <v>1321</v>
      </c>
      <c r="I629" s="1074"/>
      <c r="J629" s="82"/>
      <c r="K629" s="213">
        <v>35</v>
      </c>
      <c r="L629" s="847">
        <v>2011</v>
      </c>
      <c r="M629" s="847" t="s">
        <v>1231</v>
      </c>
      <c r="N629" s="332">
        <v>14</v>
      </c>
      <c r="O629" s="537" t="s">
        <v>1233</v>
      </c>
      <c r="P629" s="332">
        <v>80</v>
      </c>
      <c r="Q629" s="537" t="s">
        <v>1235</v>
      </c>
      <c r="R629" s="1402" t="s">
        <v>683</v>
      </c>
      <c r="S629" s="1126" t="s">
        <v>1807</v>
      </c>
      <c r="T629" s="307">
        <v>0.227</v>
      </c>
      <c r="U629" s="948" t="s">
        <v>307</v>
      </c>
      <c r="V629" s="360" t="str">
        <f>VLOOKUP(C629,'Прайс-лист'!C:C,1,FALSE)</f>
        <v>978-5-462-01133-7</v>
      </c>
    </row>
  </sheetData>
  <sheetProtection/>
  <autoFilter ref="A9:X629"/>
  <hyperlinks>
    <hyperlink ref="G628" r:id="rId1" display="Обложка"/>
    <hyperlink ref="G445" r:id="rId2" display="Обложка"/>
    <hyperlink ref="G449" r:id="rId3" display="Обложка"/>
    <hyperlink ref="G440" r:id="rId4" display="Обложка"/>
    <hyperlink ref="G437" r:id="rId5" display="Обложка"/>
    <hyperlink ref="G393" r:id="rId6" display="Обложка"/>
    <hyperlink ref="G294" r:id="rId7" display="Обложка"/>
    <hyperlink ref="G177" r:id="rId8" display="Обложка"/>
    <hyperlink ref="G175" r:id="rId9" display="Обложка"/>
    <hyperlink ref="G179" r:id="rId10" display="Обложка"/>
    <hyperlink ref="G141" r:id="rId11" display="Обложка"/>
    <hyperlink ref="G138" r:id="rId12" display="Обложка"/>
    <hyperlink ref="G137" r:id="rId13" display="Обложка"/>
    <hyperlink ref="G140" r:id="rId14" display="Обложка"/>
    <hyperlink ref="G388" r:id="rId15" display="Обложка"/>
    <hyperlink ref="G390" r:id="rId16" display="Обложка"/>
    <hyperlink ref="G452" r:id="rId17" display="Обложка"/>
    <hyperlink ref="G95" r:id="rId18" display="Обложка"/>
    <hyperlink ref="G244" r:id="rId19" display="Обложка"/>
    <hyperlink ref="G301" r:id="rId20" display="Обложка"/>
    <hyperlink ref="G91" r:id="rId21" display="Обложка"/>
    <hyperlink ref="G242" r:id="rId22" display="Обложка"/>
    <hyperlink ref="G263" r:id="rId23" display="Обложка"/>
    <hyperlink ref="G245" r:id="rId24" display="Обложка"/>
    <hyperlink ref="G558" r:id="rId25" display="Обложка"/>
    <hyperlink ref="G557" r:id="rId26" display="Обложка"/>
    <hyperlink ref="G410" r:id="rId27" display="Обложка"/>
    <hyperlink ref="G432" r:id="rId28" display="Обложка"/>
    <hyperlink ref="G134" r:id="rId29" display="Обложка"/>
    <hyperlink ref="G136" r:id="rId30" display="Обложка"/>
    <hyperlink ref="G234" r:id="rId31" display="Обложка"/>
    <hyperlink ref="G163" r:id="rId32" display="Обложка"/>
    <hyperlink ref="G206" r:id="rId33" display="Обложка"/>
    <hyperlink ref="G283" r:id="rId34" display="Обложка"/>
    <hyperlink ref="G239" r:id="rId35" display="Обложка"/>
    <hyperlink ref="G567" r:id="rId36" display="Обложка"/>
    <hyperlink ref="G267" r:id="rId37" display="Обложка"/>
    <hyperlink ref="G467" r:id="rId38" display="Обложка"/>
    <hyperlink ref="G464" r:id="rId39" display="Обложка"/>
    <hyperlink ref="G422" r:id="rId40" display="Обложка"/>
    <hyperlink ref="G421" r:id="rId41" display="Обложка"/>
    <hyperlink ref="G418" r:id="rId42" display="Обложка"/>
    <hyperlink ref="G189" r:id="rId43" display="Обложка"/>
    <hyperlink ref="G194" r:id="rId44" display="Обложка"/>
    <hyperlink ref="G90" r:id="rId45" display="Обложка"/>
    <hyperlink ref="G96" r:id="rId46" display="Обложка"/>
    <hyperlink ref="G280" r:id="rId47" display="Обложка"/>
    <hyperlink ref="G230" r:id="rId48" display="Обложка"/>
    <hyperlink ref="G428" r:id="rId49" display="Обложка"/>
    <hyperlink ref="G89" r:id="rId50" display="Обложка"/>
    <hyperlink ref="G378" r:id="rId51" display="Обложка"/>
    <hyperlink ref="G586" r:id="rId52" display="Обложка"/>
    <hyperlink ref="G276" r:id="rId53" display="Обложка"/>
    <hyperlink ref="G94" r:id="rId54" display="Обложка"/>
    <hyperlink ref="G93" r:id="rId55" display="Обложка"/>
    <hyperlink ref="G92" r:id="rId56" display="Обложка"/>
    <hyperlink ref="G235" r:id="rId57" display="Обложка"/>
    <hyperlink ref="G292" r:id="rId58" display="Обложка"/>
    <hyperlink ref="G204" r:id="rId59" display="Обложка"/>
    <hyperlink ref="G208" r:id="rId60" display="Обложка"/>
    <hyperlink ref="G571" r:id="rId61" display="Обложка"/>
    <hyperlink ref="G282" r:id="rId62" display="Обложка"/>
    <hyperlink ref="G290" r:id="rId63" display="Обложка"/>
    <hyperlink ref="G187" r:id="rId64" display="Обложка"/>
    <hyperlink ref="G446" r:id="rId65" display="Обложка"/>
    <hyperlink ref="G240" r:id="rId66" display="Обложка"/>
    <hyperlink ref="G271" r:id="rId67" display="Обложка"/>
    <hyperlink ref="G295" r:id="rId68" display="Обложка"/>
    <hyperlink ref="G615" r:id="rId69" display="Обложка"/>
    <hyperlink ref="G324" r:id="rId70" display="Обложка"/>
    <hyperlink ref="G322" r:id="rId71" display="Обложка"/>
    <hyperlink ref="G320" r:id="rId72" display="Обложка"/>
    <hyperlink ref="G372" r:id="rId73" display="Обложка"/>
    <hyperlink ref="G297" r:id="rId74" display="Обложка"/>
    <hyperlink ref="G236" r:id="rId75" display="Обложка"/>
    <hyperlink ref="G477" r:id="rId76" display="Обложка"/>
    <hyperlink ref="G285" r:id="rId77" display="Обложка"/>
    <hyperlink ref="G328" r:id="rId78" display="Обложка"/>
    <hyperlink ref="G327" r:id="rId79" display="Обложка"/>
    <hyperlink ref="G326" r:id="rId80" display="Обложка"/>
    <hyperlink ref="G329" r:id="rId81" display="Обложка"/>
    <hyperlink ref="G419" r:id="rId82" display="Обложка"/>
    <hyperlink ref="G299" r:id="rId83" display="Обложка"/>
    <hyperlink ref="G288" r:id="rId84" display="Обложка"/>
    <hyperlink ref="G310" r:id="rId85" display="Обложка"/>
    <hyperlink ref="G377" r:id="rId86" display="Обложка"/>
    <hyperlink ref="G298" r:id="rId87" display="Обложка"/>
    <hyperlink ref="G293" r:id="rId88" display="Обложка"/>
    <hyperlink ref="G337" r:id="rId89" display="Обложка"/>
    <hyperlink ref="G330" r:id="rId90" display="Обожка"/>
    <hyperlink ref="G338" r:id="rId91" display="Обложка"/>
    <hyperlink ref="G341" r:id="rId92" display="Обложка"/>
    <hyperlink ref="G334" r:id="rId93" display="Обложка"/>
    <hyperlink ref="G339" r:id="rId94" display="Обложка"/>
    <hyperlink ref="G340" r:id="rId95" display="Обложка"/>
    <hyperlink ref="G335" r:id="rId96" display="Обложка"/>
    <hyperlink ref="G333" r:id="rId97" display="Обложка"/>
    <hyperlink ref="G336" r:id="rId98" display="Обложка"/>
    <hyperlink ref="G331" r:id="rId99" display="Обложка"/>
    <hyperlink ref="G332" r:id="rId100" display="Обложка"/>
    <hyperlink ref="G475" r:id="rId101" display="Обложка"/>
    <hyperlink ref="G232" r:id="rId102" display="Обложка"/>
    <hyperlink ref="G312" r:id="rId103" display="Обложка"/>
    <hyperlink ref="G185" r:id="rId104" display="Обложка"/>
    <hyperlink ref="G386" r:id="rId105" display="Обложка"/>
    <hyperlink ref="G411" r:id="rId106" display="Обложка"/>
    <hyperlink ref="G455" r:id="rId107" display="Обложка"/>
    <hyperlink ref="G286" r:id="rId108" display="Обложка"/>
    <hyperlink ref="G247" r:id="rId109" display="Обложка"/>
    <hyperlink ref="G459" r:id="rId110" display="Обложка"/>
    <hyperlink ref="G416" r:id="rId111" display="Обложка"/>
    <hyperlink ref="G237" r:id="rId112" display="Обложка"/>
    <hyperlink ref="G462" r:id="rId113" display="Обложка"/>
    <hyperlink ref="G296" r:id="rId114" display="Обложка"/>
    <hyperlink ref="G501" r:id="rId115" display="Обложка"/>
    <hyperlink ref="G499" r:id="rId116" display="Обложка"/>
    <hyperlink ref="G498" r:id="rId117" display="Обложка"/>
    <hyperlink ref="G496" r:id="rId118" display="Обложка"/>
    <hyperlink ref="G495" r:id="rId119" display="Обложка"/>
    <hyperlink ref="G494" r:id="rId120" display="Обложка"/>
    <hyperlink ref="G493" r:id="rId121" display="Обложка"/>
    <hyperlink ref="G492" r:id="rId122" display="Обложка"/>
    <hyperlink ref="G491" r:id="rId123" display="Обложка"/>
    <hyperlink ref="G490" r:id="rId124" display="Обложка"/>
    <hyperlink ref="G488" r:id="rId125" display="Обложка"/>
    <hyperlink ref="G486" r:id="rId126" display="Обложка"/>
    <hyperlink ref="G482" r:id="rId127" display="Обложка"/>
    <hyperlink ref="G483" r:id="rId128" display="Обложка"/>
    <hyperlink ref="G484" r:id="rId129" display="Обложка"/>
    <hyperlink ref="G480" r:id="rId130" display="Обложка"/>
    <hyperlink ref="G479" r:id="rId131" display="Обложка"/>
    <hyperlink ref="G474" r:id="rId132" display="Обложка"/>
    <hyperlink ref="G471" r:id="rId133" display="Обложка"/>
    <hyperlink ref="G470" r:id="rId134" display="Обложка"/>
    <hyperlink ref="G469" r:id="rId135" display="Обложка"/>
    <hyperlink ref="G460" r:id="rId136" display="Обложка"/>
    <hyperlink ref="G613" r:id="rId137" display="Обложка"/>
    <hyperlink ref="G612" r:id="rId138" display="Обложка"/>
    <hyperlink ref="G611" r:id="rId139" display="Обложка"/>
    <hyperlink ref="G610" r:id="rId140" display="Обложка"/>
    <hyperlink ref="G609" r:id="rId141" display="Обложка"/>
    <hyperlink ref="G608" r:id="rId142" display="Обложка"/>
    <hyperlink ref="G572" r:id="rId143" display="Обложка"/>
    <hyperlink ref="G570" r:id="rId144" display="Обложка"/>
    <hyperlink ref="G569" r:id="rId145" display="Обложка"/>
    <hyperlink ref="G623" r:id="rId146" display="Обложка"/>
    <hyperlink ref="G622" r:id="rId147" display="Обложка"/>
    <hyperlink ref="G621" r:id="rId148" display="Обложка"/>
    <hyperlink ref="G620" r:id="rId149" display="Обложка"/>
    <hyperlink ref="G627" r:id="rId150" display="Обложка"/>
    <hyperlink ref="G626" r:id="rId151" display="Обложка"/>
    <hyperlink ref="G625" r:id="rId152" display="Обложка"/>
    <hyperlink ref="G616" r:id="rId153" display="Обложка"/>
    <hyperlink ref="G579" r:id="rId154" display="Обложка"/>
    <hyperlink ref="G580" r:id="rId155" display="Обложка"/>
    <hyperlink ref="G581" r:id="rId156" display="Обложка"/>
    <hyperlink ref="G577" r:id="rId157" display="Обложка"/>
    <hyperlink ref="G583" r:id="rId158" display="Обложка"/>
    <hyperlink ref="G582" r:id="rId159" display="Обложка"/>
    <hyperlink ref="G578" r:id="rId160" display="Обложка"/>
    <hyperlink ref="G575" r:id="rId161" display="Обложка"/>
    <hyperlink ref="G584" r:id="rId162" display="Обложка"/>
    <hyperlink ref="G596" r:id="rId163" display="Обложка"/>
    <hyperlink ref="G595" r:id="rId164" display="Обложка"/>
    <hyperlink ref="G593" r:id="rId165" display="Обложка"/>
    <hyperlink ref="G592" r:id="rId166" display="Обложка"/>
    <hyperlink ref="G606" r:id="rId167" display="Обложка"/>
    <hyperlink ref="G605" r:id="rId168" display="Обложка"/>
    <hyperlink ref="G604" r:id="rId169" display="Обложка"/>
    <hyperlink ref="G603" r:id="rId170" display="Обложка"/>
    <hyperlink ref="G602" r:id="rId171" display="Обложка"/>
    <hyperlink ref="G601" r:id="rId172" display="Обложка"/>
    <hyperlink ref="G600" r:id="rId173" display="Обложка"/>
    <hyperlink ref="G599" r:id="rId174" display="Обложка"/>
    <hyperlink ref="G598" r:id="rId175" display="Обложка"/>
    <hyperlink ref="G597" r:id="rId176" display="Обложка"/>
    <hyperlink ref="G591" r:id="rId177" display="Обложка"/>
    <hyperlink ref="G590" r:id="rId178" display="Обложка"/>
    <hyperlink ref="G589" r:id="rId179" display="Обложка"/>
    <hyperlink ref="G588" r:id="rId180" display="Обложка"/>
    <hyperlink ref="G587" r:id="rId181" display="Обложка"/>
    <hyperlink ref="G585" r:id="rId182" display="Обложка"/>
    <hyperlink ref="G420" r:id="rId183" display="Обложка"/>
    <hyperlink ref="G417" r:id="rId184" display="Обложка"/>
    <hyperlink ref="G415" r:id="rId185" display="Обложка"/>
    <hyperlink ref="G414" r:id="rId186" display="Обложка"/>
    <hyperlink ref="G413" r:id="rId187" display="Обложка"/>
    <hyperlink ref="G409" r:id="rId188" display="Обложка"/>
    <hyperlink ref="G368" r:id="rId189" display="Обложка"/>
    <hyperlink ref="G402" r:id="rId190" display="Обложка"/>
    <hyperlink ref="G396" r:id="rId191" display="Обложка"/>
    <hyperlink ref="G394" r:id="rId192" display="Обложка"/>
    <hyperlink ref="G387" r:id="rId193" display="Обложка"/>
    <hyperlink ref="G398" r:id="rId194" display="Обложка"/>
    <hyperlink ref="G380" r:id="rId195" display="Обложка"/>
    <hyperlink ref="G379" r:id="rId196" display="Обложка"/>
    <hyperlink ref="G365" r:id="rId197" display="Обложка"/>
    <hyperlink ref="G431" r:id="rId198" display="Обложка"/>
    <hyperlink ref="G430" r:id="rId199" display="Обложка"/>
    <hyperlink ref="G429" r:id="rId200" display="Обложка"/>
    <hyperlink ref="G454" r:id="rId201" display="Обложка"/>
    <hyperlink ref="G433" r:id="rId202" display="Обложка"/>
    <hyperlink ref="G618" r:id="rId203" display="Обложка"/>
    <hyperlink ref="G291" r:id="rId204" display="Обложка"/>
    <hyperlink ref="G287" r:id="rId205" display="Обложка"/>
    <hyperlink ref="G284" r:id="rId206" display="Обложка"/>
    <hyperlink ref="G181" r:id="rId207" display="Обложка"/>
    <hyperlink ref="G180" r:id="rId208" display="Обложка"/>
    <hyperlink ref="G178" r:id="rId209" display="Обложка"/>
    <hyperlink ref="G176" r:id="rId210" display="Обложка"/>
    <hyperlink ref="G174" r:id="rId211" display="Обложка"/>
    <hyperlink ref="G173" r:id="rId212" display="Обложка"/>
    <hyperlink ref="G318" r:id="rId213" display="Обложка"/>
    <hyperlink ref="G317" r:id="rId214" display="Обложка"/>
    <hyperlink ref="G316" r:id="rId215" display="Обложка"/>
    <hyperlink ref="G314" r:id="rId216" display="Обложка"/>
    <hyperlink ref="G313" r:id="rId217" display="Обложка"/>
    <hyperlink ref="G311" r:id="rId218" display="Обложка"/>
    <hyperlink ref="G309" r:id="rId219" display="Обложка"/>
    <hyperlink ref="G308" r:id="rId220" display="Обложка"/>
    <hyperlink ref="G307" r:id="rId221" display="Обложка"/>
    <hyperlink ref="G302" r:id="rId222" display="Обложка"/>
    <hyperlink ref="G275" r:id="rId223" display="Обложка"/>
    <hyperlink ref="G274" r:id="rId224" display="Обложка"/>
    <hyperlink ref="G273" r:id="rId225" display="Обложка"/>
    <hyperlink ref="G268" r:id="rId226" display="Обложка"/>
    <hyperlink ref="G266" r:id="rId227" display="Обложка"/>
    <hyperlink ref="G265" r:id="rId228" display="Обложка"/>
    <hyperlink ref="G262" r:id="rId229" display="Обложка"/>
    <hyperlink ref="G260" r:id="rId230" display="Обложка"/>
    <hyperlink ref="G259" r:id="rId231" display="Обложка"/>
    <hyperlink ref="G226" r:id="rId232" display="Обложка"/>
    <hyperlink ref="G225" r:id="rId233" display="Обложка"/>
    <hyperlink ref="G224" r:id="rId234" display="Обложка"/>
    <hyperlink ref="G223" r:id="rId235" display="Обложка"/>
    <hyperlink ref="G222" r:id="rId236" display="Обложка"/>
    <hyperlink ref="G221" r:id="rId237" display="Обложка"/>
    <hyperlink ref="G220" r:id="rId238" display="Обложка"/>
    <hyperlink ref="G218" r:id="rId239" display="Обложка"/>
    <hyperlink ref="G217" r:id="rId240" display="Обложка"/>
    <hyperlink ref="G216" r:id="rId241" display="Обложка"/>
    <hyperlink ref="G213" r:id="rId242" display="Обложка"/>
    <hyperlink ref="G211" r:id="rId243" display="Обложка"/>
    <hyperlink ref="G210" r:id="rId244" display="Обложка"/>
    <hyperlink ref="G209" r:id="rId245" display="Обложка"/>
    <hyperlink ref="G207" r:id="rId246" display="Обложка"/>
    <hyperlink ref="G205" r:id="rId247" display="Обложка"/>
    <hyperlink ref="G203" r:id="rId248" display="Обложка"/>
    <hyperlink ref="G202" r:id="rId249" display="Обложка"/>
    <hyperlink ref="G201" r:id="rId250" display="Обложка"/>
    <hyperlink ref="G200" r:id="rId251" display="Обложка"/>
    <hyperlink ref="G199" r:id="rId252" display="Обложка"/>
    <hyperlink ref="G198" r:id="rId253" display="Обложка"/>
    <hyperlink ref="G197" r:id="rId254" display="Обложка"/>
    <hyperlink ref="G196" r:id="rId255" display="Обложка"/>
    <hyperlink ref="G195" r:id="rId256" display="Обложка"/>
    <hyperlink ref="G193" r:id="rId257" display="Обложка"/>
    <hyperlink ref="G190" r:id="rId258" display="Обложка"/>
    <hyperlink ref="G188" r:id="rId259" display="Обложка"/>
    <hyperlink ref="G186" r:id="rId260" display="Обложка"/>
    <hyperlink ref="G359" r:id="rId261" display="Обложка"/>
    <hyperlink ref="G358" r:id="rId262" display="Обложка"/>
    <hyperlink ref="G357" r:id="rId263" display="Обложка"/>
    <hyperlink ref="G356" r:id="rId264" display="Обложка"/>
    <hyperlink ref="G355" r:id="rId265" display="Обложка"/>
    <hyperlink ref="G354" r:id="rId266" display="Обложка"/>
    <hyperlink ref="G353" r:id="rId267" display="Обложка"/>
    <hyperlink ref="G352" r:id="rId268" display="Обложка"/>
    <hyperlink ref="G351" r:id="rId269" display="Обложка"/>
    <hyperlink ref="G350" r:id="rId270" display="Обложка"/>
    <hyperlink ref="G349" r:id="rId271" display="Обложка"/>
    <hyperlink ref="G348" r:id="rId272" display="Обложка"/>
    <hyperlink ref="G171" r:id="rId273" display="Обложка"/>
    <hyperlink ref="G167" r:id="rId274" display="Обложка"/>
    <hyperlink ref="G170" r:id="rId275" display="Обложка"/>
    <hyperlink ref="G168" r:id="rId276" display="Обложка"/>
    <hyperlink ref="G347" r:id="rId277" display="Обложка"/>
    <hyperlink ref="G346" r:id="rId278" display="Обложка"/>
    <hyperlink ref="G345" r:id="rId279" display="Обложка"/>
    <hyperlink ref="G344" r:id="rId280" display="Обложка"/>
    <hyperlink ref="G343" r:id="rId281" display="Обложка"/>
    <hyperlink ref="G342" r:id="rId282" display="Обложка"/>
    <hyperlink ref="G465" r:id="rId283" display="Обложка"/>
    <hyperlink ref="G519" r:id="rId284" display="Обложка"/>
    <hyperlink ref="G514" r:id="rId285" display="Обложка"/>
    <hyperlink ref="G515" r:id="rId286" display="Обложка"/>
    <hyperlink ref="G521" r:id="rId287" display="Обложка"/>
    <hyperlink ref="G509" r:id="rId288" display="Обложка"/>
    <hyperlink ref="G510" r:id="rId289" display="Обложка"/>
    <hyperlink ref="L8" location="'Прайс-лист'!R503C15" display="смотреть&gt;"/>
  </hyperlinks>
  <printOptions horizontalCentered="1"/>
  <pageMargins left="0.35433070866141736" right="0.35433070866141736" top="0.5905511811023623" bottom="0.5905511811023623" header="0.31496062992125984" footer="0.31496062992125984"/>
  <pageSetup fitToHeight="2" fitToWidth="1" horizontalDpi="600" verticalDpi="600" orientation="landscape" paperSize="9" scale="10" r:id="rId293"/>
  <headerFooter alignWithMargins="0">
    <oddHeader>&amp;CСтраница &amp;P из &amp;N</oddHeader>
  </headerFooter>
  <drawing r:id="rId292"/>
  <legacy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Григорий</cp:lastModifiedBy>
  <cp:lastPrinted>2017-06-30T08:00:18Z</cp:lastPrinted>
  <dcterms:created xsi:type="dcterms:W3CDTF">1996-10-08T23:32:33Z</dcterms:created>
  <dcterms:modified xsi:type="dcterms:W3CDTF">2017-07-10T12:34:29Z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