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" windowWidth="15168" windowHeight="5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G37" i="1"/>
  <c r="H28" i="1"/>
  <c r="H29" i="1"/>
  <c r="H30" i="1"/>
  <c r="H31" i="1"/>
  <c r="H100" i="1"/>
  <c r="H33" i="1"/>
  <c r="H34" i="1"/>
  <c r="H35" i="1"/>
  <c r="H27" i="1"/>
  <c r="H113" i="1" l="1"/>
  <c r="G113" i="1"/>
  <c r="H112" i="1"/>
  <c r="G112" i="1"/>
  <c r="G110" i="1"/>
  <c r="H109" i="1"/>
  <c r="H108" i="1"/>
  <c r="H107" i="1"/>
  <c r="H106" i="1"/>
  <c r="G106" i="1"/>
  <c r="H105" i="1"/>
  <c r="G105" i="1"/>
  <c r="D104" i="1"/>
  <c r="G104" i="1" s="1"/>
  <c r="G103" i="1"/>
  <c r="H102" i="1"/>
  <c r="H101" i="1"/>
  <c r="G101" i="1"/>
  <c r="G91" i="1"/>
  <c r="D86" i="1"/>
  <c r="D84" i="1"/>
  <c r="D85" i="1" s="1"/>
  <c r="G83" i="1"/>
  <c r="G82" i="1"/>
  <c r="H81" i="1"/>
  <c r="D79" i="1"/>
  <c r="D80" i="1" s="1"/>
  <c r="G78" i="1"/>
  <c r="G77" i="1"/>
  <c r="D75" i="1"/>
  <c r="D76" i="1" s="1"/>
  <c r="G76" i="1" s="1"/>
  <c r="G74" i="1"/>
  <c r="D70" i="1"/>
  <c r="G69" i="1"/>
  <c r="G64" i="1"/>
  <c r="G58" i="1"/>
  <c r="D56" i="1"/>
  <c r="D67" i="1" s="1"/>
  <c r="G67" i="1" s="1"/>
  <c r="G55" i="1"/>
  <c r="G54" i="1"/>
  <c r="G53" i="1"/>
  <c r="H52" i="1"/>
  <c r="D48" i="1"/>
  <c r="H48" i="1" s="1"/>
  <c r="D40" i="1"/>
  <c r="D89" i="1" s="1"/>
  <c r="F24" i="1"/>
  <c r="F23" i="1"/>
  <c r="F22" i="1"/>
  <c r="F21" i="1"/>
  <c r="F20" i="1"/>
  <c r="F19" i="1"/>
  <c r="F18" i="1"/>
  <c r="C3" i="1"/>
  <c r="H3" i="1" s="1"/>
  <c r="D44" i="1" l="1"/>
  <c r="D68" i="1"/>
  <c r="G68" i="1" s="1"/>
  <c r="D60" i="1"/>
  <c r="G60" i="1" s="1"/>
  <c r="H86" i="1"/>
  <c r="H40" i="1"/>
  <c r="D49" i="1"/>
  <c r="G49" i="1" s="1"/>
  <c r="D57" i="1"/>
  <c r="G57" i="1" s="1"/>
  <c r="D66" i="1"/>
  <c r="G66" i="1" s="1"/>
  <c r="H75" i="1"/>
  <c r="D87" i="1"/>
  <c r="G87" i="1" s="1"/>
  <c r="D41" i="1"/>
  <c r="G41" i="1" s="1"/>
  <c r="H79" i="1"/>
  <c r="G85" i="1"/>
  <c r="D71" i="1"/>
  <c r="G71" i="1" s="1"/>
  <c r="H70" i="1"/>
  <c r="D72" i="1"/>
  <c r="D90" i="1"/>
  <c r="G90" i="1" s="1"/>
  <c r="D92" i="1"/>
  <c r="H89" i="1"/>
  <c r="D50" i="1"/>
  <c r="G50" i="1" s="1"/>
  <c r="G80" i="1"/>
  <c r="H84" i="1"/>
  <c r="D42" i="1"/>
  <c r="H56" i="1"/>
  <c r="D59" i="1"/>
  <c r="G59" i="1" s="1"/>
  <c r="D61" i="1"/>
  <c r="G61" i="1" s="1"/>
  <c r="D63" i="1"/>
  <c r="D65" i="1"/>
  <c r="G65" i="1" s="1"/>
  <c r="D46" i="1" l="1"/>
  <c r="G46" i="1" s="1"/>
  <c r="D47" i="1"/>
  <c r="G47" i="1" s="1"/>
  <c r="H44" i="1"/>
  <c r="D45" i="1"/>
  <c r="G45" i="1" s="1"/>
  <c r="D62" i="1"/>
  <c r="G62" i="1" s="1"/>
  <c r="G63" i="1"/>
  <c r="D43" i="1"/>
  <c r="G43" i="1" s="1"/>
  <c r="H42" i="1"/>
  <c r="H72" i="1"/>
  <c r="D73" i="1"/>
  <c r="G73" i="1" s="1"/>
  <c r="H92" i="1"/>
  <c r="D94" i="1"/>
  <c r="D93" i="1"/>
  <c r="G93" i="1" s="1"/>
  <c r="D95" i="1" l="1"/>
  <c r="G95" i="1" s="1"/>
  <c r="D97" i="1"/>
  <c r="D96" i="1"/>
  <c r="G96" i="1" s="1"/>
  <c r="H94" i="1"/>
  <c r="D98" i="1" l="1"/>
  <c r="G98" i="1" s="1"/>
  <c r="H97" i="1"/>
  <c r="H114" i="1" s="1"/>
  <c r="H119" i="1" s="1"/>
  <c r="H120" i="1" s="1"/>
  <c r="G114" i="1" l="1"/>
  <c r="G115" i="1" s="1"/>
  <c r="G116" i="1" s="1"/>
  <c r="G117" i="1" s="1"/>
  <c r="G118" i="1" s="1"/>
  <c r="H121" i="1"/>
  <c r="H122" i="1" s="1"/>
  <c r="H123" i="1" l="1"/>
  <c r="H124" i="1" s="1"/>
  <c r="H125" i="1" s="1"/>
</calcChain>
</file>

<file path=xl/sharedStrings.xml><?xml version="1.0" encoding="utf-8"?>
<sst xmlns="http://schemas.openxmlformats.org/spreadsheetml/2006/main" count="224" uniqueCount="143">
  <si>
    <t>ЗАКАЗЧИК</t>
  </si>
  <si>
    <t>ПОДРЯДЧИК</t>
  </si>
  <si>
    <t xml:space="preserve">Утверждаю </t>
  </si>
  <si>
    <t xml:space="preserve">Смету в сумме </t>
  </si>
  <si>
    <t>Директор</t>
  </si>
  <si>
    <t xml:space="preserve">Генеральный директор </t>
  </si>
  <si>
    <t>ООО "АСП-строй"</t>
  </si>
  <si>
    <t>Сорокин О. А.</t>
  </si>
  <si>
    <t>м.п.</t>
  </si>
  <si>
    <t>Смета 1: Капитальный ремонт помещения для размещения структурного подразделения поликлиники - кабинета врача общей практики</t>
  </si>
  <si>
    <t xml:space="preserve">Объект:  г. Н. Новгород,  ул. Гордеевская </t>
  </si>
  <si>
    <t>№</t>
  </si>
  <si>
    <t>Наименование    работ</t>
  </si>
  <si>
    <t xml:space="preserve">Ед. </t>
  </si>
  <si>
    <t>кол- во</t>
  </si>
  <si>
    <t>цена, в рублях</t>
  </si>
  <si>
    <t>стоимость, в рублях</t>
  </si>
  <si>
    <t>изм</t>
  </si>
  <si>
    <t>материала</t>
  </si>
  <si>
    <t>работ</t>
  </si>
  <si>
    <t>Площади помещений</t>
  </si>
  <si>
    <t>пол</t>
  </si>
  <si>
    <t>стены</t>
  </si>
  <si>
    <t>потолок</t>
  </si>
  <si>
    <t>Холл</t>
  </si>
  <si>
    <t>м2</t>
  </si>
  <si>
    <t>Коридор</t>
  </si>
  <si>
    <t>Процедурный кабинет</t>
  </si>
  <si>
    <t>Кабинет приёма врача общей практики</t>
  </si>
  <si>
    <t>Закрытая лоджия</t>
  </si>
  <si>
    <t>Санузел</t>
  </si>
  <si>
    <t>Бордюр 10мм керамогранит светлых тонов</t>
  </si>
  <si>
    <t>м. п.</t>
  </si>
  <si>
    <t>Демонтажные работы</t>
  </si>
  <si>
    <t>Демонтаж дверных блоков</t>
  </si>
  <si>
    <t>шт</t>
  </si>
  <si>
    <t>Демонтаж перегородок бетонных т=100 мм</t>
  </si>
  <si>
    <t xml:space="preserve">Отбивка плитки стеклянной со стен </t>
  </si>
  <si>
    <t>Демонтаж покрытия пола из линолеума</t>
  </si>
  <si>
    <t>Демонтаж покрытия пола из плитки</t>
  </si>
  <si>
    <t>Замена деревянных оконных блоков на металло-пластиковые стеклопакет двухкамерный</t>
  </si>
  <si>
    <t>Очистка стен от старых обоев</t>
  </si>
  <si>
    <t>Очистка стен от старой краски</t>
  </si>
  <si>
    <t>Уборка и вынос мусора</t>
  </si>
  <si>
    <t>тн</t>
  </si>
  <si>
    <t>Вывоз мусора</t>
  </si>
  <si>
    <t>рейс</t>
  </si>
  <si>
    <t>Отделочные работы</t>
  </si>
  <si>
    <t>Полы</t>
  </si>
  <si>
    <t>Грунтовка пола 2 раза</t>
  </si>
  <si>
    <t>кв.м</t>
  </si>
  <si>
    <t>Грунтовка ЕК G100 2раза</t>
  </si>
  <si>
    <t>л</t>
  </si>
  <si>
    <t>Выравнивание полов, стяжка ц/п толщ до 120 мм</t>
  </si>
  <si>
    <t>меш.</t>
  </si>
  <si>
    <t xml:space="preserve">Укладка напольной плитки </t>
  </si>
  <si>
    <t>Плитка напольная, керамогранит</t>
  </si>
  <si>
    <t>кг</t>
  </si>
  <si>
    <t>Устройство бордюра из керамогранита светлых тонов</t>
  </si>
  <si>
    <t>м/п</t>
  </si>
  <si>
    <t>Стены</t>
  </si>
  <si>
    <t>Дюбель-гвоздь "К" 6/40</t>
  </si>
  <si>
    <t xml:space="preserve">Саморез  13 оцинк (пресс-шайба) </t>
  </si>
  <si>
    <t>лист</t>
  </si>
  <si>
    <t xml:space="preserve">Саморез 35 мм </t>
  </si>
  <si>
    <t>Закладка старого входного дверного проёма кирпичом силикатным т=0,5 кирпича</t>
  </si>
  <si>
    <t>Кирпич силикатный</t>
  </si>
  <si>
    <t>Смесь кладочная</t>
  </si>
  <si>
    <t>меш</t>
  </si>
  <si>
    <t>Арматура 8 мм</t>
  </si>
  <si>
    <t>Изготовление перегородки  ГКЛО 2 слоя на металлическом каркасе с прокладкой изоляции на высоту до 9 м, шаг стоек 0,4 м</t>
  </si>
  <si>
    <t xml:space="preserve">Саморез 25 мм </t>
  </si>
  <si>
    <t>Шпатлевка Фуген (25кг)</t>
  </si>
  <si>
    <t>Лента серпянка 153 п. м.</t>
  </si>
  <si>
    <t>рул</t>
  </si>
  <si>
    <t>Шкурка 120</t>
  </si>
  <si>
    <t>кан</t>
  </si>
  <si>
    <t>Лента звукоизол. Дихтунгсбанд (95мм х 30м) (10шт.)</t>
  </si>
  <si>
    <t xml:space="preserve">Выравнивание (штукатурка) стен </t>
  </si>
  <si>
    <t>Маяки штукатурные</t>
  </si>
  <si>
    <t>Облицовка стен плиткой керамической</t>
  </si>
  <si>
    <t xml:space="preserve">Стоимость плитки керамической </t>
  </si>
  <si>
    <t>пач</t>
  </si>
  <si>
    <t xml:space="preserve">Оклейка стен стеклообоями </t>
  </si>
  <si>
    <t>Стоимость Стеклообои GlassBand ёлка крупная (25кв.м.)(185гр/м2)</t>
  </si>
  <si>
    <t>Клей Келид для стеклообоев</t>
  </si>
  <si>
    <t>Окраска стен высококачественная за 3 раза</t>
  </si>
  <si>
    <t>бан</t>
  </si>
  <si>
    <t>Устройство отбойников 300 мм шириной</t>
  </si>
  <si>
    <t>ЛДСП полоса</t>
  </si>
  <si>
    <t>ПОТОЛОК</t>
  </si>
  <si>
    <t>Выравнивание потолка</t>
  </si>
  <si>
    <t>Штукатурка ЕК TG 40 white /30кг</t>
  </si>
  <si>
    <t>Профиль штукатурный (маячок) 6мм (3м) Кнауф</t>
  </si>
  <si>
    <t>Грунтовка потолка за 2 раза</t>
  </si>
  <si>
    <t>Шпатлёвка потолка</t>
  </si>
  <si>
    <t>Шлифовальная сетка STAYER №120, 11х27 см 120</t>
  </si>
  <si>
    <t>Окраска потолка за 2 раза</t>
  </si>
  <si>
    <t>Краска акрил ЭЛИТ базис А велюр 7 ТЕКС 9 л</t>
  </si>
  <si>
    <t>Проёмы</t>
  </si>
  <si>
    <t xml:space="preserve">Установка двери входной стальной утеплённой остеклённой </t>
  </si>
  <si>
    <t>Установка дверей межкомнатных</t>
  </si>
  <si>
    <t>компл</t>
  </si>
  <si>
    <t>Дверь деревянная покрытая пластиком медицинским CPL в комплекте с фурнитурой, обналичкой</t>
  </si>
  <si>
    <t>Пена монтажная пистолетная  противопожарная 850 мл</t>
  </si>
  <si>
    <t>балл</t>
  </si>
  <si>
    <t>Установка отбойников</t>
  </si>
  <si>
    <t>Установка доводчиков</t>
  </si>
  <si>
    <t>Установка подоконников</t>
  </si>
  <si>
    <t>Монтаж отливов</t>
  </si>
  <si>
    <t>Устройство откосов из сендвич-панели 20 мм</t>
  </si>
  <si>
    <t>Прочие работы</t>
  </si>
  <si>
    <t>Установка строительного унитаза</t>
  </si>
  <si>
    <t>Решетки на окна</t>
  </si>
  <si>
    <t>Итого</t>
  </si>
  <si>
    <t>Малоценный материал</t>
  </si>
  <si>
    <t>Итого:</t>
  </si>
  <si>
    <t xml:space="preserve">Транспортно-заготовительные расходы </t>
  </si>
  <si>
    <t>Накладные расходы</t>
  </si>
  <si>
    <t>Плановые накопления</t>
  </si>
  <si>
    <t>Итого работы и материалы:</t>
  </si>
  <si>
    <t>НДС 18%</t>
  </si>
  <si>
    <t>Всего</t>
  </si>
  <si>
    <t>Мешки для мусора</t>
  </si>
  <si>
    <t>Плитка напольная, керамогранит 300х300 7 мм</t>
  </si>
  <si>
    <t xml:space="preserve">ПС 100х50 (3м) </t>
  </si>
  <si>
    <t xml:space="preserve">ПН 100х40 (3м) </t>
  </si>
  <si>
    <t xml:space="preserve">Клей для плитки </t>
  </si>
  <si>
    <t xml:space="preserve">Смесь для пола (25кг) </t>
  </si>
  <si>
    <t xml:space="preserve">Затирка для швов </t>
  </si>
  <si>
    <t>ГКЛ огнестойкий (1,2*2,5) 12,5мм (52)</t>
  </si>
  <si>
    <t>Грунтовка 10л</t>
  </si>
  <si>
    <t xml:space="preserve">Утеплитель </t>
  </si>
  <si>
    <t>Грунтовка стен</t>
  </si>
  <si>
    <t>Грунтовка</t>
  </si>
  <si>
    <t xml:space="preserve">Штукатурка </t>
  </si>
  <si>
    <t xml:space="preserve">Клей плиточный </t>
  </si>
  <si>
    <t>Затирка для швов</t>
  </si>
  <si>
    <t>Шпатлевка стен</t>
  </si>
  <si>
    <t xml:space="preserve">Шпатлевка </t>
  </si>
  <si>
    <t>Краска  9 л</t>
  </si>
  <si>
    <t>Грунтовка 10 л</t>
  </si>
  <si>
    <t>Шпатлёвка (25 кг) (меш.)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</si>
</sst>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0.0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scheme val="minor"/>
    </font>
    <font>
      <sz val="10"/>
      <color indexed="17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3" fillId="0" borderId="0"/>
    <xf numFmtId="0" fontId="17" fillId="0" borderId="0"/>
  </cellStyleXfs>
  <cellXfs count="180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0" fillId="0" borderId="0" xfId="0" applyFill="1"/>
    <xf numFmtId="0" fontId="2" fillId="0" borderId="0" xfId="1" applyFont="1" applyFill="1" applyAlignment="1" applyProtection="1">
      <alignment horizontal="right" vertical="center"/>
      <protection hidden="1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Fill="1"/>
    <xf numFmtId="0" fontId="2" fillId="0" borderId="1" xfId="1" applyFont="1" applyFill="1" applyBorder="1" applyAlignment="1" applyProtection="1">
      <alignment vertical="center"/>
      <protection hidden="1"/>
    </xf>
    <xf numFmtId="0" fontId="2" fillId="0" borderId="1" xfId="1" applyFont="1" applyFill="1" applyBorder="1" applyAlignment="1" applyProtection="1">
      <alignment horizontal="right" vertical="center"/>
      <protection hidden="1"/>
    </xf>
    <xf numFmtId="0" fontId="2" fillId="0" borderId="0" xfId="1" applyFont="1" applyFill="1" applyAlignment="1" applyProtection="1">
      <alignment horizontal="left" vertical="center"/>
      <protection hidden="1"/>
    </xf>
    <xf numFmtId="0" fontId="4" fillId="0" borderId="0" xfId="2" applyFont="1" applyFill="1" applyAlignment="1">
      <alignment horizontal="left"/>
    </xf>
    <xf numFmtId="49" fontId="4" fillId="0" borderId="0" xfId="2" applyNumberFormat="1" applyFont="1" applyFill="1"/>
    <xf numFmtId="2" fontId="4" fillId="0" borderId="0" xfId="2" applyNumberFormat="1" applyFont="1" applyFill="1"/>
    <xf numFmtId="0" fontId="2" fillId="0" borderId="0" xfId="2" applyFont="1" applyFill="1" applyAlignment="1">
      <alignment horizontal="left"/>
    </xf>
    <xf numFmtId="0" fontId="4" fillId="0" borderId="0" xfId="1" applyFont="1" applyFill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3" fontId="4" fillId="0" borderId="0" xfId="1" applyNumberFormat="1" applyFont="1" applyFill="1" applyBorder="1" applyAlignment="1" applyProtection="1">
      <alignment vertical="center"/>
      <protection hidden="1"/>
    </xf>
    <xf numFmtId="0" fontId="3" fillId="0" borderId="0" xfId="2" applyFont="1" applyFill="1"/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/>
    </xf>
    <xf numFmtId="16" fontId="6" fillId="0" borderId="0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right"/>
    </xf>
    <xf numFmtId="0" fontId="4" fillId="0" borderId="5" xfId="2" applyFont="1" applyFill="1" applyBorder="1" applyAlignment="1">
      <alignment horizontal="center"/>
    </xf>
    <xf numFmtId="0" fontId="4" fillId="0" borderId="5" xfId="2" applyFont="1" applyFill="1" applyBorder="1"/>
    <xf numFmtId="0" fontId="4" fillId="0" borderId="5" xfId="2" applyFont="1" applyFill="1" applyBorder="1" applyAlignment="1">
      <alignment horizontal="right"/>
    </xf>
    <xf numFmtId="0" fontId="4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/>
    </xf>
    <xf numFmtId="0" fontId="2" fillId="2" borderId="13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left"/>
    </xf>
    <xf numFmtId="0" fontId="8" fillId="2" borderId="13" xfId="2" applyFont="1" applyFill="1" applyBorder="1" applyAlignment="1">
      <alignment horizontal="center"/>
    </xf>
    <xf numFmtId="0" fontId="8" fillId="0" borderId="14" xfId="2" applyFont="1" applyFill="1" applyBorder="1" applyAlignment="1">
      <alignment horizontal="center"/>
    </xf>
    <xf numFmtId="0" fontId="10" fillId="0" borderId="0" xfId="0" applyFont="1"/>
    <xf numFmtId="0" fontId="4" fillId="0" borderId="13" xfId="0" applyNumberFormat="1" applyFont="1" applyFill="1" applyBorder="1" applyAlignment="1" applyProtection="1">
      <alignment horizontal="justify" vertical="justify"/>
      <protection hidden="1"/>
    </xf>
    <xf numFmtId="0" fontId="4" fillId="0" borderId="12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3" fontId="8" fillId="3" borderId="13" xfId="3" applyNumberFormat="1" applyFont="1" applyFill="1" applyBorder="1" applyAlignment="1">
      <alignment horizontal="right" vertical="center"/>
    </xf>
    <xf numFmtId="0" fontId="4" fillId="0" borderId="14" xfId="2" applyFont="1" applyFill="1" applyBorder="1" applyAlignment="1">
      <alignment horizontal="center"/>
    </xf>
    <xf numFmtId="1" fontId="4" fillId="0" borderId="12" xfId="2" applyNumberFormat="1" applyFont="1" applyFill="1" applyBorder="1" applyAlignment="1">
      <alignment horizontal="center"/>
    </xf>
    <xf numFmtId="0" fontId="12" fillId="3" borderId="13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center"/>
    </xf>
    <xf numFmtId="4" fontId="4" fillId="3" borderId="13" xfId="4" applyNumberFormat="1" applyFont="1" applyFill="1" applyBorder="1" applyAlignment="1">
      <alignment vertical="center"/>
    </xf>
    <xf numFmtId="4" fontId="4" fillId="3" borderId="13" xfId="0" applyNumberFormat="1" applyFont="1" applyFill="1" applyBorder="1" applyAlignment="1">
      <alignment horizontal="right" vertical="center"/>
    </xf>
    <xf numFmtId="3" fontId="4" fillId="3" borderId="14" xfId="3" applyNumberFormat="1" applyFont="1" applyFill="1" applyBorder="1" applyAlignment="1">
      <alignment horizontal="right" vertical="center"/>
    </xf>
    <xf numFmtId="0" fontId="8" fillId="3" borderId="13" xfId="0" applyFont="1" applyFill="1" applyBorder="1" applyAlignment="1" applyProtection="1">
      <alignment horizontal="left" vertical="center"/>
      <protection hidden="1"/>
    </xf>
    <xf numFmtId="0" fontId="8" fillId="3" borderId="13" xfId="0" applyFont="1" applyFill="1" applyBorder="1" applyAlignment="1" applyProtection="1">
      <alignment horizontal="center" vertical="center"/>
      <protection hidden="1"/>
    </xf>
    <xf numFmtId="1" fontId="8" fillId="3" borderId="13" xfId="0" applyNumberFormat="1" applyFont="1" applyFill="1" applyBorder="1" applyAlignment="1" applyProtection="1">
      <alignment horizontal="right" vertical="center"/>
      <protection hidden="1"/>
    </xf>
    <xf numFmtId="0" fontId="14" fillId="0" borderId="14" xfId="0" applyFont="1" applyBorder="1"/>
    <xf numFmtId="0" fontId="4" fillId="3" borderId="13" xfId="0" applyFont="1" applyFill="1" applyBorder="1" applyAlignment="1" applyProtection="1">
      <alignment horizontal="left" vertical="center"/>
      <protection hidden="1"/>
    </xf>
    <xf numFmtId="165" fontId="8" fillId="3" borderId="13" xfId="0" applyNumberFormat="1" applyFont="1" applyFill="1" applyBorder="1" applyAlignment="1" applyProtection="1">
      <alignment horizontal="right" vertical="center"/>
      <protection hidden="1"/>
    </xf>
    <xf numFmtId="0" fontId="15" fillId="0" borderId="14" xfId="0" applyFont="1" applyBorder="1"/>
    <xf numFmtId="2" fontId="8" fillId="3" borderId="13" xfId="0" applyNumberFormat="1" applyFont="1" applyFill="1" applyBorder="1" applyAlignment="1" applyProtection="1">
      <alignment horizontal="right" vertical="center"/>
      <protection hidden="1"/>
    </xf>
    <xf numFmtId="0" fontId="12" fillId="3" borderId="13" xfId="0" applyFont="1" applyFill="1" applyBorder="1" applyAlignment="1">
      <alignment wrapText="1"/>
    </xf>
    <xf numFmtId="0" fontId="8" fillId="3" borderId="13" xfId="0" applyFont="1" applyFill="1" applyBorder="1" applyAlignment="1" applyProtection="1">
      <alignment horizontal="left" vertical="center" wrapText="1"/>
      <protection hidden="1"/>
    </xf>
    <xf numFmtId="165" fontId="4" fillId="3" borderId="13" xfId="4" applyNumberFormat="1" applyFont="1" applyFill="1" applyBorder="1" applyAlignment="1">
      <alignment vertical="center"/>
    </xf>
    <xf numFmtId="166" fontId="4" fillId="0" borderId="13" xfId="4" applyNumberFormat="1" applyFont="1" applyFill="1" applyBorder="1" applyAlignment="1">
      <alignment vertical="center"/>
    </xf>
    <xf numFmtId="0" fontId="4" fillId="0" borderId="13" xfId="2" applyFont="1" applyFill="1" applyBorder="1" applyAlignment="1">
      <alignment horizontal="right"/>
    </xf>
    <xf numFmtId="0" fontId="12" fillId="0" borderId="0" xfId="0" applyFont="1" applyFill="1"/>
    <xf numFmtId="0" fontId="8" fillId="0" borderId="13" xfId="2" quotePrefix="1" applyFont="1" applyFill="1" applyBorder="1" applyAlignment="1">
      <alignment horizontal="left"/>
    </xf>
    <xf numFmtId="0" fontId="8" fillId="0" borderId="13" xfId="2" applyFont="1" applyFill="1" applyBorder="1" applyAlignment="1">
      <alignment horizontal="right"/>
    </xf>
    <xf numFmtId="1" fontId="8" fillId="0" borderId="13" xfId="2" applyNumberFormat="1" applyFont="1" applyFill="1" applyBorder="1" applyAlignment="1">
      <alignment horizontal="right"/>
    </xf>
    <xf numFmtId="0" fontId="8" fillId="0" borderId="13" xfId="2" applyFont="1" applyFill="1" applyBorder="1" applyAlignment="1">
      <alignment horizontal="center"/>
    </xf>
    <xf numFmtId="0" fontId="4" fillId="0" borderId="13" xfId="0" quotePrefix="1" applyFont="1" applyFill="1" applyBorder="1" applyAlignment="1">
      <alignment horizontal="left" wrapText="1"/>
    </xf>
    <xf numFmtId="4" fontId="16" fillId="0" borderId="13" xfId="2" applyNumberFormat="1" applyFont="1" applyFill="1" applyBorder="1" applyAlignment="1">
      <alignment horizontal="right"/>
    </xf>
    <xf numFmtId="2" fontId="4" fillId="0" borderId="14" xfId="3" applyNumberFormat="1" applyFont="1" applyFill="1" applyBorder="1" applyAlignment="1">
      <alignment horizontal="right" vertical="center"/>
    </xf>
    <xf numFmtId="2" fontId="8" fillId="0" borderId="13" xfId="2" applyNumberFormat="1" applyFont="1" applyFill="1" applyBorder="1" applyAlignment="1">
      <alignment horizontal="center" vertical="center"/>
    </xf>
    <xf numFmtId="4" fontId="8" fillId="0" borderId="13" xfId="2" applyNumberFormat="1" applyFont="1" applyFill="1" applyBorder="1" applyAlignment="1">
      <alignment horizontal="right"/>
    </xf>
    <xf numFmtId="2" fontId="8" fillId="0" borderId="13" xfId="2" applyNumberFormat="1" applyFont="1" applyFill="1" applyBorder="1" applyAlignment="1">
      <alignment horizontal="center"/>
    </xf>
    <xf numFmtId="4" fontId="8" fillId="0" borderId="14" xfId="2" applyNumberFormat="1" applyFont="1" applyFill="1" applyBorder="1" applyAlignment="1">
      <alignment horizontal="center"/>
    </xf>
    <xf numFmtId="1" fontId="8" fillId="0" borderId="13" xfId="2" quotePrefix="1" applyNumberFormat="1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center"/>
    </xf>
    <xf numFmtId="0" fontId="8" fillId="0" borderId="13" xfId="0" quotePrefix="1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right"/>
    </xf>
    <xf numFmtId="2" fontId="8" fillId="0" borderId="13" xfId="0" applyNumberFormat="1" applyFont="1" applyFill="1" applyBorder="1" applyAlignment="1">
      <alignment horizontal="center"/>
    </xf>
    <xf numFmtId="4" fontId="8" fillId="0" borderId="14" xfId="0" applyNumberFormat="1" applyFont="1" applyFill="1" applyBorder="1" applyAlignment="1">
      <alignment horizontal="center"/>
    </xf>
    <xf numFmtId="4" fontId="4" fillId="0" borderId="13" xfId="2" applyNumberFormat="1" applyFont="1" applyFill="1" applyBorder="1" applyAlignment="1">
      <alignment horizontal="right"/>
    </xf>
    <xf numFmtId="4" fontId="4" fillId="0" borderId="14" xfId="2" applyNumberFormat="1" applyFont="1" applyFill="1" applyBorder="1" applyAlignment="1">
      <alignment horizontal="center"/>
    </xf>
    <xf numFmtId="2" fontId="8" fillId="0" borderId="13" xfId="2" applyNumberFormat="1" applyFont="1" applyFill="1" applyBorder="1" applyAlignment="1">
      <alignment horizontal="right"/>
    </xf>
    <xf numFmtId="2" fontId="8" fillId="0" borderId="14" xfId="2" applyNumberFormat="1" applyFont="1" applyFill="1" applyBorder="1" applyAlignment="1">
      <alignment horizontal="center"/>
    </xf>
    <xf numFmtId="2" fontId="4" fillId="0" borderId="14" xfId="2" applyNumberFormat="1" applyFont="1" applyFill="1" applyBorder="1" applyAlignment="1">
      <alignment horizontal="center"/>
    </xf>
    <xf numFmtId="4" fontId="4" fillId="0" borderId="13" xfId="2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left" wrapText="1"/>
    </xf>
    <xf numFmtId="2" fontId="8" fillId="0" borderId="1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quotePrefix="1" applyFont="1" applyFill="1" applyBorder="1" applyAlignment="1">
      <alignment horizontal="left" wrapText="1"/>
    </xf>
    <xf numFmtId="0" fontId="8" fillId="0" borderId="13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/>
    </xf>
    <xf numFmtId="0" fontId="2" fillId="0" borderId="13" xfId="2" quotePrefix="1" applyFont="1" applyFill="1" applyBorder="1" applyAlignment="1">
      <alignment horizontal="justify"/>
    </xf>
    <xf numFmtId="0" fontId="2" fillId="0" borderId="13" xfId="2" applyFont="1" applyFill="1" applyBorder="1" applyAlignment="1">
      <alignment horizontal="left"/>
    </xf>
    <xf numFmtId="4" fontId="2" fillId="0" borderId="13" xfId="4" applyNumberFormat="1" applyFont="1" applyFill="1" applyBorder="1" applyAlignment="1"/>
    <xf numFmtId="0" fontId="2" fillId="0" borderId="14" xfId="0" applyFont="1" applyFill="1" applyBorder="1" applyAlignment="1"/>
    <xf numFmtId="0" fontId="8" fillId="0" borderId="12" xfId="2" applyFont="1" applyFill="1" applyBorder="1" applyAlignment="1">
      <alignment horizontal="center"/>
    </xf>
    <xf numFmtId="1" fontId="8" fillId="0" borderId="13" xfId="2" quotePrefix="1" applyNumberFormat="1" applyFont="1" applyFill="1" applyBorder="1" applyAlignment="1">
      <alignment horizontal="justify" vertical="justify" wrapText="1"/>
    </xf>
    <xf numFmtId="0" fontId="8" fillId="0" borderId="13" xfId="2" applyFont="1" applyFill="1" applyBorder="1" applyAlignment="1">
      <alignment horizontal="left"/>
    </xf>
    <xf numFmtId="2" fontId="8" fillId="0" borderId="13" xfId="5" applyNumberFormat="1" applyFont="1" applyFill="1" applyBorder="1" applyAlignment="1"/>
    <xf numFmtId="2" fontId="0" fillId="0" borderId="0" xfId="0" applyNumberFormat="1"/>
    <xf numFmtId="0" fontId="2" fillId="3" borderId="13" xfId="0" applyFont="1" applyFill="1" applyBorder="1" applyAlignment="1" applyProtection="1">
      <alignment horizontal="left" vertical="center"/>
      <protection hidden="1"/>
    </xf>
    <xf numFmtId="1" fontId="2" fillId="0" borderId="13" xfId="2" quotePrefix="1" applyNumberFormat="1" applyFont="1" applyFill="1" applyBorder="1" applyAlignment="1">
      <alignment horizontal="justify" wrapText="1"/>
    </xf>
    <xf numFmtId="0" fontId="8" fillId="0" borderId="13" xfId="2" quotePrefix="1" applyFont="1" applyFill="1" applyBorder="1" applyAlignment="1">
      <alignment horizontal="justify" vertical="justify"/>
    </xf>
    <xf numFmtId="0" fontId="4" fillId="0" borderId="14" xfId="0" applyFont="1" applyFill="1" applyBorder="1" applyAlignment="1"/>
    <xf numFmtId="1" fontId="2" fillId="0" borderId="13" xfId="2" quotePrefix="1" applyNumberFormat="1" applyFont="1" applyFill="1" applyBorder="1" applyAlignment="1">
      <alignment horizontal="justify" vertical="justify" wrapText="1"/>
    </xf>
    <xf numFmtId="1" fontId="2" fillId="0" borderId="13" xfId="2" applyNumberFormat="1" applyFont="1" applyFill="1" applyBorder="1" applyAlignment="1">
      <alignment horizontal="left"/>
    </xf>
    <xf numFmtId="4" fontId="2" fillId="0" borderId="13" xfId="4" applyNumberFormat="1" applyFont="1" applyFill="1" applyBorder="1" applyAlignment="1">
      <alignment vertical="center"/>
    </xf>
    <xf numFmtId="1" fontId="2" fillId="0" borderId="14" xfId="2" applyNumberFormat="1" applyFont="1" applyFill="1" applyBorder="1" applyAlignment="1"/>
    <xf numFmtId="2" fontId="8" fillId="0" borderId="13" xfId="2" applyNumberFormat="1" applyFont="1" applyFill="1" applyBorder="1" applyAlignment="1"/>
    <xf numFmtId="1" fontId="8" fillId="0" borderId="14" xfId="2" applyNumberFormat="1" applyFont="1" applyFill="1" applyBorder="1" applyAlignment="1"/>
    <xf numFmtId="1" fontId="8" fillId="0" borderId="13" xfId="2" applyNumberFormat="1" applyFont="1" applyFill="1" applyBorder="1" applyAlignment="1"/>
    <xf numFmtId="0" fontId="18" fillId="3" borderId="13" xfId="0" applyFont="1" applyFill="1" applyBorder="1" applyAlignment="1">
      <alignment wrapText="1"/>
    </xf>
    <xf numFmtId="3" fontId="8" fillId="3" borderId="14" xfId="3" applyNumberFormat="1" applyFont="1" applyFill="1" applyBorder="1" applyAlignment="1">
      <alignment horizontal="right" vertical="center"/>
    </xf>
    <xf numFmtId="0" fontId="8" fillId="0" borderId="13" xfId="0" applyFont="1" applyBorder="1" applyAlignment="1" applyProtection="1">
      <alignment horizontal="center" vertical="center"/>
      <protection hidden="1"/>
    </xf>
    <xf numFmtId="2" fontId="8" fillId="0" borderId="13" xfId="0" applyNumberFormat="1" applyFont="1" applyFill="1" applyBorder="1" applyAlignment="1" applyProtection="1">
      <alignment horizontal="right" vertical="center"/>
      <protection hidden="1"/>
    </xf>
    <xf numFmtId="0" fontId="4" fillId="4" borderId="12" xfId="1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  <protection hidden="1"/>
    </xf>
    <xf numFmtId="1" fontId="4" fillId="0" borderId="13" xfId="0" applyNumberFormat="1" applyFont="1" applyFill="1" applyBorder="1" applyAlignment="1" applyProtection="1">
      <alignment horizontal="right" vertical="center"/>
      <protection hidden="1"/>
    </xf>
    <xf numFmtId="0" fontId="4" fillId="0" borderId="0" xfId="2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4" fillId="0" borderId="0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2" fillId="0" borderId="0" xfId="2" applyFont="1" applyBorder="1" applyAlignment="1">
      <alignment horizontal="right"/>
    </xf>
    <xf numFmtId="2" fontId="2" fillId="0" borderId="0" xfId="2" applyNumberFormat="1" applyFont="1" applyBorder="1" applyAlignment="1">
      <alignment horizontal="right"/>
    </xf>
    <xf numFmtId="2" fontId="2" fillId="0" borderId="0" xfId="2" applyNumberFormat="1" applyFont="1" applyFill="1" applyBorder="1" applyAlignment="1">
      <alignment horizontal="right"/>
    </xf>
    <xf numFmtId="0" fontId="4" fillId="0" borderId="0" xfId="2" applyFont="1" applyFill="1"/>
    <xf numFmtId="0" fontId="2" fillId="0" borderId="0" xfId="2" applyFont="1" applyBorder="1" applyAlignment="1">
      <alignment wrapText="1"/>
    </xf>
    <xf numFmtId="9" fontId="4" fillId="0" borderId="0" xfId="2" applyNumberFormat="1" applyFont="1" applyBorder="1" applyAlignment="1">
      <alignment horizontal="center"/>
    </xf>
    <xf numFmtId="2" fontId="4" fillId="0" borderId="0" xfId="2" applyNumberFormat="1" applyFont="1" applyBorder="1" applyAlignment="1">
      <alignment horizontal="right"/>
    </xf>
    <xf numFmtId="2" fontId="2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2" fontId="4" fillId="0" borderId="0" xfId="2" applyNumberFormat="1" applyFont="1" applyAlignment="1">
      <alignment horizontal="right"/>
    </xf>
    <xf numFmtId="1" fontId="2" fillId="0" borderId="0" xfId="2" applyNumberFormat="1" applyFont="1" applyBorder="1" applyAlignment="1">
      <alignment horizontal="right"/>
    </xf>
    <xf numFmtId="0" fontId="11" fillId="0" borderId="13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2" fillId="0" borderId="0" xfId="2" applyFont="1" applyFill="1" applyBorder="1" applyAlignment="1">
      <alignment wrapText="1"/>
    </xf>
    <xf numFmtId="2" fontId="20" fillId="0" borderId="0" xfId="0" applyNumberFormat="1" applyFont="1" applyFill="1"/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justify" vertical="justify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3" fontId="4" fillId="0" borderId="4" xfId="2" applyNumberFormat="1" applyFont="1" applyFill="1" applyBorder="1" applyAlignment="1">
      <alignment horizontal="center"/>
    </xf>
    <xf numFmtId="2" fontId="4" fillId="0" borderId="13" xfId="2" applyNumberFormat="1" applyFont="1" applyFill="1" applyBorder="1" applyAlignment="1">
      <alignment horizontal="center"/>
    </xf>
    <xf numFmtId="2" fontId="14" fillId="0" borderId="13" xfId="0" applyNumberFormat="1" applyFont="1" applyBorder="1"/>
    <xf numFmtId="2" fontId="8" fillId="3" borderId="13" xfId="0" applyNumberFormat="1" applyFont="1" applyFill="1" applyBorder="1" applyAlignment="1">
      <alignment horizontal="right" vertical="center"/>
    </xf>
    <xf numFmtId="2" fontId="14" fillId="4" borderId="13" xfId="0" applyNumberFormat="1" applyFont="1" applyFill="1" applyBorder="1"/>
    <xf numFmtId="2" fontId="2" fillId="0" borderId="13" xfId="2" applyNumberFormat="1" applyFont="1" applyFill="1" applyBorder="1" applyAlignment="1"/>
    <xf numFmtId="2" fontId="4" fillId="0" borderId="13" xfId="2" applyNumberFormat="1" applyFont="1" applyFill="1" applyBorder="1" applyAlignment="1">
      <alignment horizontal="right"/>
    </xf>
    <xf numFmtId="4" fontId="14" fillId="0" borderId="13" xfId="0" applyNumberFormat="1" applyFont="1" applyBorder="1"/>
    <xf numFmtId="4" fontId="15" fillId="0" borderId="13" xfId="0" applyNumberFormat="1" applyFont="1" applyBorder="1"/>
    <xf numFmtId="4" fontId="4" fillId="0" borderId="13" xfId="0" applyNumberFormat="1" applyFont="1" applyFill="1" applyBorder="1" applyAlignment="1">
      <alignment horizontal="center"/>
    </xf>
    <xf numFmtId="4" fontId="2" fillId="0" borderId="13" xfId="2" applyNumberFormat="1" applyFont="1" applyFill="1" applyBorder="1" applyAlignment="1"/>
    <xf numFmtId="4" fontId="8" fillId="0" borderId="13" xfId="2" applyNumberFormat="1" applyFont="1" applyFill="1" applyBorder="1" applyAlignment="1"/>
    <xf numFmtId="4" fontId="0" fillId="0" borderId="13" xfId="0" applyNumberFormat="1" applyBorder="1"/>
    <xf numFmtId="4" fontId="2" fillId="0" borderId="13" xfId="0" applyNumberFormat="1" applyFont="1" applyFill="1" applyBorder="1" applyAlignment="1"/>
    <xf numFmtId="4" fontId="4" fillId="0" borderId="13" xfId="0" applyNumberFormat="1" applyFont="1" applyFill="1" applyBorder="1" applyAlignment="1"/>
    <xf numFmtId="4" fontId="19" fillId="0" borderId="13" xfId="0" applyNumberFormat="1" applyFont="1" applyBorder="1"/>
    <xf numFmtId="0" fontId="0" fillId="0" borderId="15" xfId="0" applyBorder="1"/>
    <xf numFmtId="0" fontId="0" fillId="0" borderId="0" xfId="0" applyBorder="1"/>
    <xf numFmtId="4" fontId="0" fillId="0" borderId="0" xfId="0" applyNumberFormat="1" applyBorder="1"/>
    <xf numFmtId="0" fontId="0" fillId="0" borderId="16" xfId="0" applyBorder="1"/>
    <xf numFmtId="0" fontId="4" fillId="4" borderId="17" xfId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12" fillId="3" borderId="18" xfId="0" applyFont="1" applyFill="1" applyBorder="1" applyAlignment="1">
      <alignment horizontal="center"/>
    </xf>
    <xf numFmtId="1" fontId="4" fillId="0" borderId="18" xfId="0" applyNumberFormat="1" applyFont="1" applyFill="1" applyBorder="1" applyAlignment="1" applyProtection="1">
      <alignment horizontal="right" vertical="center"/>
      <protection hidden="1"/>
    </xf>
    <xf numFmtId="2" fontId="14" fillId="0" borderId="18" xfId="0" applyNumberFormat="1" applyFont="1" applyBorder="1"/>
    <xf numFmtId="4" fontId="4" fillId="3" borderId="18" xfId="0" applyNumberFormat="1" applyFont="1" applyFill="1" applyBorder="1" applyAlignment="1">
      <alignment horizontal="right" vertical="center"/>
    </xf>
    <xf numFmtId="3" fontId="8" fillId="3" borderId="18" xfId="3" applyNumberFormat="1" applyFont="1" applyFill="1" applyBorder="1" applyAlignment="1">
      <alignment horizontal="right" vertical="center"/>
    </xf>
    <xf numFmtId="3" fontId="4" fillId="3" borderId="19" xfId="3" applyNumberFormat="1" applyFont="1" applyFill="1" applyBorder="1" applyAlignment="1">
      <alignment horizontal="right" vertical="center"/>
    </xf>
  </cellXfs>
  <cellStyles count="6">
    <cellStyle name="Обычный" xfId="0" builtinId="0"/>
    <cellStyle name="Обычный_АБК" xfId="3"/>
    <cellStyle name="Обычный_Ремонтный бокс 24х27 м  " xfId="4"/>
    <cellStyle name="Обычный_Склад" xfId="1"/>
    <cellStyle name="Обычный_стяжка и металл перегородка" xfId="5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topLeftCell="A48" workbookViewId="0">
      <selection activeCell="C127" sqref="C127"/>
    </sheetView>
  </sheetViews>
  <sheetFormatPr defaultRowHeight="14.4" x14ac:dyDescent="0.3"/>
  <cols>
    <col min="1" max="1" width="3.44140625" customWidth="1"/>
    <col min="2" max="2" width="45.5546875" customWidth="1"/>
    <col min="3" max="3" width="6.109375" customWidth="1"/>
    <col min="4" max="4" width="8.44140625" customWidth="1"/>
    <col min="5" max="5" width="13.109375" bestFit="1" customWidth="1"/>
    <col min="6" max="6" width="11.44140625" customWidth="1"/>
    <col min="7" max="7" width="10.33203125" customWidth="1"/>
    <col min="8" max="8" width="10.6640625" customWidth="1"/>
    <col min="253" max="253" width="3.44140625" customWidth="1"/>
    <col min="254" max="254" width="40.88671875" customWidth="1"/>
    <col min="255" max="255" width="6.109375" customWidth="1"/>
    <col min="256" max="256" width="8.44140625" customWidth="1"/>
    <col min="258" max="258" width="8.44140625" customWidth="1"/>
    <col min="260" max="260" width="9.33203125" customWidth="1"/>
    <col min="509" max="509" width="3.44140625" customWidth="1"/>
    <col min="510" max="510" width="40.88671875" customWidth="1"/>
    <col min="511" max="511" width="6.109375" customWidth="1"/>
    <col min="512" max="512" width="8.44140625" customWidth="1"/>
    <col min="514" max="514" width="8.44140625" customWidth="1"/>
    <col min="516" max="516" width="9.33203125" customWidth="1"/>
    <col min="765" max="765" width="3.44140625" customWidth="1"/>
    <col min="766" max="766" width="40.88671875" customWidth="1"/>
    <col min="767" max="767" width="6.109375" customWidth="1"/>
    <col min="768" max="768" width="8.44140625" customWidth="1"/>
    <col min="770" max="770" width="8.44140625" customWidth="1"/>
    <col min="772" max="772" width="9.33203125" customWidth="1"/>
    <col min="1021" max="1021" width="3.44140625" customWidth="1"/>
    <col min="1022" max="1022" width="40.88671875" customWidth="1"/>
    <col min="1023" max="1023" width="6.109375" customWidth="1"/>
    <col min="1024" max="1024" width="8.44140625" customWidth="1"/>
    <col min="1026" max="1026" width="8.44140625" customWidth="1"/>
    <col min="1028" max="1028" width="9.33203125" customWidth="1"/>
    <col min="1277" max="1277" width="3.44140625" customWidth="1"/>
    <col min="1278" max="1278" width="40.88671875" customWidth="1"/>
    <col min="1279" max="1279" width="6.109375" customWidth="1"/>
    <col min="1280" max="1280" width="8.44140625" customWidth="1"/>
    <col min="1282" max="1282" width="8.44140625" customWidth="1"/>
    <col min="1284" max="1284" width="9.33203125" customWidth="1"/>
    <col min="1533" max="1533" width="3.44140625" customWidth="1"/>
    <col min="1534" max="1534" width="40.88671875" customWidth="1"/>
    <col min="1535" max="1535" width="6.109375" customWidth="1"/>
    <col min="1536" max="1536" width="8.44140625" customWidth="1"/>
    <col min="1538" max="1538" width="8.44140625" customWidth="1"/>
    <col min="1540" max="1540" width="9.33203125" customWidth="1"/>
    <col min="1789" max="1789" width="3.44140625" customWidth="1"/>
    <col min="1790" max="1790" width="40.88671875" customWidth="1"/>
    <col min="1791" max="1791" width="6.109375" customWidth="1"/>
    <col min="1792" max="1792" width="8.44140625" customWidth="1"/>
    <col min="1794" max="1794" width="8.44140625" customWidth="1"/>
    <col min="1796" max="1796" width="9.33203125" customWidth="1"/>
    <col min="2045" max="2045" width="3.44140625" customWidth="1"/>
    <col min="2046" max="2046" width="40.88671875" customWidth="1"/>
    <col min="2047" max="2047" width="6.109375" customWidth="1"/>
    <col min="2048" max="2048" width="8.44140625" customWidth="1"/>
    <col min="2050" max="2050" width="8.44140625" customWidth="1"/>
    <col min="2052" max="2052" width="9.33203125" customWidth="1"/>
    <col min="2301" max="2301" width="3.44140625" customWidth="1"/>
    <col min="2302" max="2302" width="40.88671875" customWidth="1"/>
    <col min="2303" max="2303" width="6.109375" customWidth="1"/>
    <col min="2304" max="2304" width="8.44140625" customWidth="1"/>
    <col min="2306" max="2306" width="8.44140625" customWidth="1"/>
    <col min="2308" max="2308" width="9.33203125" customWidth="1"/>
    <col min="2557" max="2557" width="3.44140625" customWidth="1"/>
    <col min="2558" max="2558" width="40.88671875" customWidth="1"/>
    <col min="2559" max="2559" width="6.109375" customWidth="1"/>
    <col min="2560" max="2560" width="8.44140625" customWidth="1"/>
    <col min="2562" max="2562" width="8.44140625" customWidth="1"/>
    <col min="2564" max="2564" width="9.33203125" customWidth="1"/>
    <col min="2813" max="2813" width="3.44140625" customWidth="1"/>
    <col min="2814" max="2814" width="40.88671875" customWidth="1"/>
    <col min="2815" max="2815" width="6.109375" customWidth="1"/>
    <col min="2816" max="2816" width="8.44140625" customWidth="1"/>
    <col min="2818" max="2818" width="8.44140625" customWidth="1"/>
    <col min="2820" max="2820" width="9.33203125" customWidth="1"/>
    <col min="3069" max="3069" width="3.44140625" customWidth="1"/>
    <col min="3070" max="3070" width="40.88671875" customWidth="1"/>
    <col min="3071" max="3071" width="6.109375" customWidth="1"/>
    <col min="3072" max="3072" width="8.44140625" customWidth="1"/>
    <col min="3074" max="3074" width="8.44140625" customWidth="1"/>
    <col min="3076" max="3076" width="9.33203125" customWidth="1"/>
    <col min="3325" max="3325" width="3.44140625" customWidth="1"/>
    <col min="3326" max="3326" width="40.88671875" customWidth="1"/>
    <col min="3327" max="3327" width="6.109375" customWidth="1"/>
    <col min="3328" max="3328" width="8.44140625" customWidth="1"/>
    <col min="3330" max="3330" width="8.44140625" customWidth="1"/>
    <col min="3332" max="3332" width="9.33203125" customWidth="1"/>
    <col min="3581" max="3581" width="3.44140625" customWidth="1"/>
    <col min="3582" max="3582" width="40.88671875" customWidth="1"/>
    <col min="3583" max="3583" width="6.109375" customWidth="1"/>
    <col min="3584" max="3584" width="8.44140625" customWidth="1"/>
    <col min="3586" max="3586" width="8.44140625" customWidth="1"/>
    <col min="3588" max="3588" width="9.33203125" customWidth="1"/>
    <col min="3837" max="3837" width="3.44140625" customWidth="1"/>
    <col min="3838" max="3838" width="40.88671875" customWidth="1"/>
    <col min="3839" max="3839" width="6.109375" customWidth="1"/>
    <col min="3840" max="3840" width="8.44140625" customWidth="1"/>
    <col min="3842" max="3842" width="8.44140625" customWidth="1"/>
    <col min="3844" max="3844" width="9.33203125" customWidth="1"/>
    <col min="4093" max="4093" width="3.44140625" customWidth="1"/>
    <col min="4094" max="4094" width="40.88671875" customWidth="1"/>
    <col min="4095" max="4095" width="6.109375" customWidth="1"/>
    <col min="4096" max="4096" width="8.44140625" customWidth="1"/>
    <col min="4098" max="4098" width="8.44140625" customWidth="1"/>
    <col min="4100" max="4100" width="9.33203125" customWidth="1"/>
    <col min="4349" max="4349" width="3.44140625" customWidth="1"/>
    <col min="4350" max="4350" width="40.88671875" customWidth="1"/>
    <col min="4351" max="4351" width="6.109375" customWidth="1"/>
    <col min="4352" max="4352" width="8.44140625" customWidth="1"/>
    <col min="4354" max="4354" width="8.44140625" customWidth="1"/>
    <col min="4356" max="4356" width="9.33203125" customWidth="1"/>
    <col min="4605" max="4605" width="3.44140625" customWidth="1"/>
    <col min="4606" max="4606" width="40.88671875" customWidth="1"/>
    <col min="4607" max="4607" width="6.109375" customWidth="1"/>
    <col min="4608" max="4608" width="8.44140625" customWidth="1"/>
    <col min="4610" max="4610" width="8.44140625" customWidth="1"/>
    <col min="4612" max="4612" width="9.33203125" customWidth="1"/>
    <col min="4861" max="4861" width="3.44140625" customWidth="1"/>
    <col min="4862" max="4862" width="40.88671875" customWidth="1"/>
    <col min="4863" max="4863" width="6.109375" customWidth="1"/>
    <col min="4864" max="4864" width="8.44140625" customWidth="1"/>
    <col min="4866" max="4866" width="8.44140625" customWidth="1"/>
    <col min="4868" max="4868" width="9.33203125" customWidth="1"/>
    <col min="5117" max="5117" width="3.44140625" customWidth="1"/>
    <col min="5118" max="5118" width="40.88671875" customWidth="1"/>
    <col min="5119" max="5119" width="6.109375" customWidth="1"/>
    <col min="5120" max="5120" width="8.44140625" customWidth="1"/>
    <col min="5122" max="5122" width="8.44140625" customWidth="1"/>
    <col min="5124" max="5124" width="9.33203125" customWidth="1"/>
    <col min="5373" max="5373" width="3.44140625" customWidth="1"/>
    <col min="5374" max="5374" width="40.88671875" customWidth="1"/>
    <col min="5375" max="5375" width="6.109375" customWidth="1"/>
    <col min="5376" max="5376" width="8.44140625" customWidth="1"/>
    <col min="5378" max="5378" width="8.44140625" customWidth="1"/>
    <col min="5380" max="5380" width="9.33203125" customWidth="1"/>
    <col min="5629" max="5629" width="3.44140625" customWidth="1"/>
    <col min="5630" max="5630" width="40.88671875" customWidth="1"/>
    <col min="5631" max="5631" width="6.109375" customWidth="1"/>
    <col min="5632" max="5632" width="8.44140625" customWidth="1"/>
    <col min="5634" max="5634" width="8.44140625" customWidth="1"/>
    <col min="5636" max="5636" width="9.33203125" customWidth="1"/>
    <col min="5885" max="5885" width="3.44140625" customWidth="1"/>
    <col min="5886" max="5886" width="40.88671875" customWidth="1"/>
    <col min="5887" max="5887" width="6.109375" customWidth="1"/>
    <col min="5888" max="5888" width="8.44140625" customWidth="1"/>
    <col min="5890" max="5890" width="8.44140625" customWidth="1"/>
    <col min="5892" max="5892" width="9.33203125" customWidth="1"/>
    <col min="6141" max="6141" width="3.44140625" customWidth="1"/>
    <col min="6142" max="6142" width="40.88671875" customWidth="1"/>
    <col min="6143" max="6143" width="6.109375" customWidth="1"/>
    <col min="6144" max="6144" width="8.44140625" customWidth="1"/>
    <col min="6146" max="6146" width="8.44140625" customWidth="1"/>
    <col min="6148" max="6148" width="9.33203125" customWidth="1"/>
    <col min="6397" max="6397" width="3.44140625" customWidth="1"/>
    <col min="6398" max="6398" width="40.88671875" customWidth="1"/>
    <col min="6399" max="6399" width="6.109375" customWidth="1"/>
    <col min="6400" max="6400" width="8.44140625" customWidth="1"/>
    <col min="6402" max="6402" width="8.44140625" customWidth="1"/>
    <col min="6404" max="6404" width="9.33203125" customWidth="1"/>
    <col min="6653" max="6653" width="3.44140625" customWidth="1"/>
    <col min="6654" max="6654" width="40.88671875" customWidth="1"/>
    <col min="6655" max="6655" width="6.109375" customWidth="1"/>
    <col min="6656" max="6656" width="8.44140625" customWidth="1"/>
    <col min="6658" max="6658" width="8.44140625" customWidth="1"/>
    <col min="6660" max="6660" width="9.33203125" customWidth="1"/>
    <col min="6909" max="6909" width="3.44140625" customWidth="1"/>
    <col min="6910" max="6910" width="40.88671875" customWidth="1"/>
    <col min="6911" max="6911" width="6.109375" customWidth="1"/>
    <col min="6912" max="6912" width="8.44140625" customWidth="1"/>
    <col min="6914" max="6914" width="8.44140625" customWidth="1"/>
    <col min="6916" max="6916" width="9.33203125" customWidth="1"/>
    <col min="7165" max="7165" width="3.44140625" customWidth="1"/>
    <col min="7166" max="7166" width="40.88671875" customWidth="1"/>
    <col min="7167" max="7167" width="6.109375" customWidth="1"/>
    <col min="7168" max="7168" width="8.44140625" customWidth="1"/>
    <col min="7170" max="7170" width="8.44140625" customWidth="1"/>
    <col min="7172" max="7172" width="9.33203125" customWidth="1"/>
    <col min="7421" max="7421" width="3.44140625" customWidth="1"/>
    <col min="7422" max="7422" width="40.88671875" customWidth="1"/>
    <col min="7423" max="7423" width="6.109375" customWidth="1"/>
    <col min="7424" max="7424" width="8.44140625" customWidth="1"/>
    <col min="7426" max="7426" width="8.44140625" customWidth="1"/>
    <col min="7428" max="7428" width="9.33203125" customWidth="1"/>
    <col min="7677" max="7677" width="3.44140625" customWidth="1"/>
    <col min="7678" max="7678" width="40.88671875" customWidth="1"/>
    <col min="7679" max="7679" width="6.109375" customWidth="1"/>
    <col min="7680" max="7680" width="8.44140625" customWidth="1"/>
    <col min="7682" max="7682" width="8.44140625" customWidth="1"/>
    <col min="7684" max="7684" width="9.33203125" customWidth="1"/>
    <col min="7933" max="7933" width="3.44140625" customWidth="1"/>
    <col min="7934" max="7934" width="40.88671875" customWidth="1"/>
    <col min="7935" max="7935" width="6.109375" customWidth="1"/>
    <col min="7936" max="7936" width="8.44140625" customWidth="1"/>
    <col min="7938" max="7938" width="8.44140625" customWidth="1"/>
    <col min="7940" max="7940" width="9.33203125" customWidth="1"/>
    <col min="8189" max="8189" width="3.44140625" customWidth="1"/>
    <col min="8190" max="8190" width="40.88671875" customWidth="1"/>
    <col min="8191" max="8191" width="6.109375" customWidth="1"/>
    <col min="8192" max="8192" width="8.44140625" customWidth="1"/>
    <col min="8194" max="8194" width="8.44140625" customWidth="1"/>
    <col min="8196" max="8196" width="9.33203125" customWidth="1"/>
    <col min="8445" max="8445" width="3.44140625" customWidth="1"/>
    <col min="8446" max="8446" width="40.88671875" customWidth="1"/>
    <col min="8447" max="8447" width="6.109375" customWidth="1"/>
    <col min="8448" max="8448" width="8.44140625" customWidth="1"/>
    <col min="8450" max="8450" width="8.44140625" customWidth="1"/>
    <col min="8452" max="8452" width="9.33203125" customWidth="1"/>
    <col min="8701" max="8701" width="3.44140625" customWidth="1"/>
    <col min="8702" max="8702" width="40.88671875" customWidth="1"/>
    <col min="8703" max="8703" width="6.109375" customWidth="1"/>
    <col min="8704" max="8704" width="8.44140625" customWidth="1"/>
    <col min="8706" max="8706" width="8.44140625" customWidth="1"/>
    <col min="8708" max="8708" width="9.33203125" customWidth="1"/>
    <col min="8957" max="8957" width="3.44140625" customWidth="1"/>
    <col min="8958" max="8958" width="40.88671875" customWidth="1"/>
    <col min="8959" max="8959" width="6.109375" customWidth="1"/>
    <col min="8960" max="8960" width="8.44140625" customWidth="1"/>
    <col min="8962" max="8962" width="8.44140625" customWidth="1"/>
    <col min="8964" max="8964" width="9.33203125" customWidth="1"/>
    <col min="9213" max="9213" width="3.44140625" customWidth="1"/>
    <col min="9214" max="9214" width="40.88671875" customWidth="1"/>
    <col min="9215" max="9215" width="6.109375" customWidth="1"/>
    <col min="9216" max="9216" width="8.44140625" customWidth="1"/>
    <col min="9218" max="9218" width="8.44140625" customWidth="1"/>
    <col min="9220" max="9220" width="9.33203125" customWidth="1"/>
    <col min="9469" max="9469" width="3.44140625" customWidth="1"/>
    <col min="9470" max="9470" width="40.88671875" customWidth="1"/>
    <col min="9471" max="9471" width="6.109375" customWidth="1"/>
    <col min="9472" max="9472" width="8.44140625" customWidth="1"/>
    <col min="9474" max="9474" width="8.44140625" customWidth="1"/>
    <col min="9476" max="9476" width="9.33203125" customWidth="1"/>
    <col min="9725" max="9725" width="3.44140625" customWidth="1"/>
    <col min="9726" max="9726" width="40.88671875" customWidth="1"/>
    <col min="9727" max="9727" width="6.109375" customWidth="1"/>
    <col min="9728" max="9728" width="8.44140625" customWidth="1"/>
    <col min="9730" max="9730" width="8.44140625" customWidth="1"/>
    <col min="9732" max="9732" width="9.33203125" customWidth="1"/>
    <col min="9981" max="9981" width="3.44140625" customWidth="1"/>
    <col min="9982" max="9982" width="40.88671875" customWidth="1"/>
    <col min="9983" max="9983" width="6.109375" customWidth="1"/>
    <col min="9984" max="9984" width="8.44140625" customWidth="1"/>
    <col min="9986" max="9986" width="8.44140625" customWidth="1"/>
    <col min="9988" max="9988" width="9.33203125" customWidth="1"/>
    <col min="10237" max="10237" width="3.44140625" customWidth="1"/>
    <col min="10238" max="10238" width="40.88671875" customWidth="1"/>
    <col min="10239" max="10239" width="6.109375" customWidth="1"/>
    <col min="10240" max="10240" width="8.44140625" customWidth="1"/>
    <col min="10242" max="10242" width="8.44140625" customWidth="1"/>
    <col min="10244" max="10244" width="9.33203125" customWidth="1"/>
    <col min="10493" max="10493" width="3.44140625" customWidth="1"/>
    <col min="10494" max="10494" width="40.88671875" customWidth="1"/>
    <col min="10495" max="10495" width="6.109375" customWidth="1"/>
    <col min="10496" max="10496" width="8.44140625" customWidth="1"/>
    <col min="10498" max="10498" width="8.44140625" customWidth="1"/>
    <col min="10500" max="10500" width="9.33203125" customWidth="1"/>
    <col min="10749" max="10749" width="3.44140625" customWidth="1"/>
    <col min="10750" max="10750" width="40.88671875" customWidth="1"/>
    <col min="10751" max="10751" width="6.109375" customWidth="1"/>
    <col min="10752" max="10752" width="8.44140625" customWidth="1"/>
    <col min="10754" max="10754" width="8.44140625" customWidth="1"/>
    <col min="10756" max="10756" width="9.33203125" customWidth="1"/>
    <col min="11005" max="11005" width="3.44140625" customWidth="1"/>
    <col min="11006" max="11006" width="40.88671875" customWidth="1"/>
    <col min="11007" max="11007" width="6.109375" customWidth="1"/>
    <col min="11008" max="11008" width="8.44140625" customWidth="1"/>
    <col min="11010" max="11010" width="8.44140625" customWidth="1"/>
    <col min="11012" max="11012" width="9.33203125" customWidth="1"/>
    <col min="11261" max="11261" width="3.44140625" customWidth="1"/>
    <col min="11262" max="11262" width="40.88671875" customWidth="1"/>
    <col min="11263" max="11263" width="6.109375" customWidth="1"/>
    <col min="11264" max="11264" width="8.44140625" customWidth="1"/>
    <col min="11266" max="11266" width="8.44140625" customWidth="1"/>
    <col min="11268" max="11268" width="9.33203125" customWidth="1"/>
    <col min="11517" max="11517" width="3.44140625" customWidth="1"/>
    <col min="11518" max="11518" width="40.88671875" customWidth="1"/>
    <col min="11519" max="11519" width="6.109375" customWidth="1"/>
    <col min="11520" max="11520" width="8.44140625" customWidth="1"/>
    <col min="11522" max="11522" width="8.44140625" customWidth="1"/>
    <col min="11524" max="11524" width="9.33203125" customWidth="1"/>
    <col min="11773" max="11773" width="3.44140625" customWidth="1"/>
    <col min="11774" max="11774" width="40.88671875" customWidth="1"/>
    <col min="11775" max="11775" width="6.109375" customWidth="1"/>
    <col min="11776" max="11776" width="8.44140625" customWidth="1"/>
    <col min="11778" max="11778" width="8.44140625" customWidth="1"/>
    <col min="11780" max="11780" width="9.33203125" customWidth="1"/>
    <col min="12029" max="12029" width="3.44140625" customWidth="1"/>
    <col min="12030" max="12030" width="40.88671875" customWidth="1"/>
    <col min="12031" max="12031" width="6.109375" customWidth="1"/>
    <col min="12032" max="12032" width="8.44140625" customWidth="1"/>
    <col min="12034" max="12034" width="8.44140625" customWidth="1"/>
    <col min="12036" max="12036" width="9.33203125" customWidth="1"/>
    <col min="12285" max="12285" width="3.44140625" customWidth="1"/>
    <col min="12286" max="12286" width="40.88671875" customWidth="1"/>
    <col min="12287" max="12287" width="6.109375" customWidth="1"/>
    <col min="12288" max="12288" width="8.44140625" customWidth="1"/>
    <col min="12290" max="12290" width="8.44140625" customWidth="1"/>
    <col min="12292" max="12292" width="9.33203125" customWidth="1"/>
    <col min="12541" max="12541" width="3.44140625" customWidth="1"/>
    <col min="12542" max="12542" width="40.88671875" customWidth="1"/>
    <col min="12543" max="12543" width="6.109375" customWidth="1"/>
    <col min="12544" max="12544" width="8.44140625" customWidth="1"/>
    <col min="12546" max="12546" width="8.44140625" customWidth="1"/>
    <col min="12548" max="12548" width="9.33203125" customWidth="1"/>
    <col min="12797" max="12797" width="3.44140625" customWidth="1"/>
    <col min="12798" max="12798" width="40.88671875" customWidth="1"/>
    <col min="12799" max="12799" width="6.109375" customWidth="1"/>
    <col min="12800" max="12800" width="8.44140625" customWidth="1"/>
    <col min="12802" max="12802" width="8.44140625" customWidth="1"/>
    <col min="12804" max="12804" width="9.33203125" customWidth="1"/>
    <col min="13053" max="13053" width="3.44140625" customWidth="1"/>
    <col min="13054" max="13054" width="40.88671875" customWidth="1"/>
    <col min="13055" max="13055" width="6.109375" customWidth="1"/>
    <col min="13056" max="13056" width="8.44140625" customWidth="1"/>
    <col min="13058" max="13058" width="8.44140625" customWidth="1"/>
    <col min="13060" max="13060" width="9.33203125" customWidth="1"/>
    <col min="13309" max="13309" width="3.44140625" customWidth="1"/>
    <col min="13310" max="13310" width="40.88671875" customWidth="1"/>
    <col min="13311" max="13311" width="6.109375" customWidth="1"/>
    <col min="13312" max="13312" width="8.44140625" customWidth="1"/>
    <col min="13314" max="13314" width="8.44140625" customWidth="1"/>
    <col min="13316" max="13316" width="9.33203125" customWidth="1"/>
    <col min="13565" max="13565" width="3.44140625" customWidth="1"/>
    <col min="13566" max="13566" width="40.88671875" customWidth="1"/>
    <col min="13567" max="13567" width="6.109375" customWidth="1"/>
    <col min="13568" max="13568" width="8.44140625" customWidth="1"/>
    <col min="13570" max="13570" width="8.44140625" customWidth="1"/>
    <col min="13572" max="13572" width="9.33203125" customWidth="1"/>
    <col min="13821" max="13821" width="3.44140625" customWidth="1"/>
    <col min="13822" max="13822" width="40.88671875" customWidth="1"/>
    <col min="13823" max="13823" width="6.109375" customWidth="1"/>
    <col min="13824" max="13824" width="8.44140625" customWidth="1"/>
    <col min="13826" max="13826" width="8.44140625" customWidth="1"/>
    <col min="13828" max="13828" width="9.33203125" customWidth="1"/>
    <col min="14077" max="14077" width="3.44140625" customWidth="1"/>
    <col min="14078" max="14078" width="40.88671875" customWidth="1"/>
    <col min="14079" max="14079" width="6.109375" customWidth="1"/>
    <col min="14080" max="14080" width="8.44140625" customWidth="1"/>
    <col min="14082" max="14082" width="8.44140625" customWidth="1"/>
    <col min="14084" max="14084" width="9.33203125" customWidth="1"/>
    <col min="14333" max="14333" width="3.44140625" customWidth="1"/>
    <col min="14334" max="14334" width="40.88671875" customWidth="1"/>
    <col min="14335" max="14335" width="6.109375" customWidth="1"/>
    <col min="14336" max="14336" width="8.44140625" customWidth="1"/>
    <col min="14338" max="14338" width="8.44140625" customWidth="1"/>
    <col min="14340" max="14340" width="9.33203125" customWidth="1"/>
    <col min="14589" max="14589" width="3.44140625" customWidth="1"/>
    <col min="14590" max="14590" width="40.88671875" customWidth="1"/>
    <col min="14591" max="14591" width="6.109375" customWidth="1"/>
    <col min="14592" max="14592" width="8.44140625" customWidth="1"/>
    <col min="14594" max="14594" width="8.44140625" customWidth="1"/>
    <col min="14596" max="14596" width="9.33203125" customWidth="1"/>
    <col min="14845" max="14845" width="3.44140625" customWidth="1"/>
    <col min="14846" max="14846" width="40.88671875" customWidth="1"/>
    <col min="14847" max="14847" width="6.109375" customWidth="1"/>
    <col min="14848" max="14848" width="8.44140625" customWidth="1"/>
    <col min="14850" max="14850" width="8.44140625" customWidth="1"/>
    <col min="14852" max="14852" width="9.33203125" customWidth="1"/>
    <col min="15101" max="15101" width="3.44140625" customWidth="1"/>
    <col min="15102" max="15102" width="40.88671875" customWidth="1"/>
    <col min="15103" max="15103" width="6.109375" customWidth="1"/>
    <col min="15104" max="15104" width="8.44140625" customWidth="1"/>
    <col min="15106" max="15106" width="8.44140625" customWidth="1"/>
    <col min="15108" max="15108" width="9.33203125" customWidth="1"/>
    <col min="15357" max="15357" width="3.44140625" customWidth="1"/>
    <col min="15358" max="15358" width="40.88671875" customWidth="1"/>
    <col min="15359" max="15359" width="6.109375" customWidth="1"/>
    <col min="15360" max="15360" width="8.44140625" customWidth="1"/>
    <col min="15362" max="15362" width="8.44140625" customWidth="1"/>
    <col min="15364" max="15364" width="9.33203125" customWidth="1"/>
    <col min="15613" max="15613" width="3.44140625" customWidth="1"/>
    <col min="15614" max="15614" width="40.88671875" customWidth="1"/>
    <col min="15615" max="15615" width="6.109375" customWidth="1"/>
    <col min="15616" max="15616" width="8.44140625" customWidth="1"/>
    <col min="15618" max="15618" width="8.44140625" customWidth="1"/>
    <col min="15620" max="15620" width="9.33203125" customWidth="1"/>
    <col min="15869" max="15869" width="3.44140625" customWidth="1"/>
    <col min="15870" max="15870" width="40.88671875" customWidth="1"/>
    <col min="15871" max="15871" width="6.109375" customWidth="1"/>
    <col min="15872" max="15872" width="8.44140625" customWidth="1"/>
    <col min="15874" max="15874" width="8.44140625" customWidth="1"/>
    <col min="15876" max="15876" width="9.33203125" customWidth="1"/>
    <col min="16125" max="16125" width="3.44140625" customWidth="1"/>
    <col min="16126" max="16126" width="40.88671875" customWidth="1"/>
    <col min="16127" max="16127" width="6.109375" customWidth="1"/>
    <col min="16128" max="16128" width="8.44140625" customWidth="1"/>
    <col min="16130" max="16130" width="8.44140625" customWidth="1"/>
    <col min="16132" max="16132" width="9.33203125" customWidth="1"/>
  </cols>
  <sheetData>
    <row r="1" spans="1:8" s="2" customFormat="1" x14ac:dyDescent="0.3">
      <c r="A1" s="1" t="s">
        <v>0</v>
      </c>
      <c r="B1" s="1"/>
      <c r="E1" s="1"/>
      <c r="F1" s="1" t="s">
        <v>1</v>
      </c>
      <c r="G1" s="3"/>
      <c r="H1" s="3"/>
    </row>
    <row r="2" spans="1:8" s="2" customFormat="1" x14ac:dyDescent="0.3">
      <c r="A2" s="1" t="s">
        <v>2</v>
      </c>
      <c r="B2" s="1"/>
      <c r="E2" s="1"/>
      <c r="F2" s="1" t="s">
        <v>2</v>
      </c>
      <c r="G2" s="3"/>
      <c r="H2" s="3"/>
    </row>
    <row r="3" spans="1:8" s="2" customFormat="1" x14ac:dyDescent="0.3">
      <c r="A3" s="1" t="s">
        <v>3</v>
      </c>
      <c r="B3" s="1"/>
      <c r="C3" s="147" t="e">
        <f>#REF!</f>
        <v>#REF!</v>
      </c>
      <c r="D3" s="147"/>
      <c r="F3" s="1" t="s">
        <v>3</v>
      </c>
      <c r="G3" s="3"/>
      <c r="H3" s="4" t="e">
        <f>C3</f>
        <v>#REF!</v>
      </c>
    </row>
    <row r="4" spans="1:8" s="2" customFormat="1" x14ac:dyDescent="0.3">
      <c r="A4" s="1" t="s">
        <v>4</v>
      </c>
      <c r="B4" s="1"/>
      <c r="E4" s="1"/>
      <c r="F4" s="1" t="s">
        <v>5</v>
      </c>
      <c r="G4" s="3"/>
      <c r="H4" s="3"/>
    </row>
    <row r="5" spans="1:8" s="2" customFormat="1" x14ac:dyDescent="0.3">
      <c r="A5" s="1"/>
      <c r="B5" s="1"/>
      <c r="D5" s="5"/>
      <c r="E5" s="1"/>
      <c r="F5" s="1" t="s">
        <v>6</v>
      </c>
      <c r="G5" s="3"/>
      <c r="H5" s="3"/>
    </row>
    <row r="6" spans="1:8" s="2" customFormat="1" x14ac:dyDescent="0.3">
      <c r="A6" s="1"/>
      <c r="B6" s="1"/>
      <c r="D6" s="5"/>
      <c r="E6" s="1"/>
      <c r="F6" s="1"/>
      <c r="G6" s="3"/>
      <c r="H6" s="3"/>
    </row>
    <row r="7" spans="1:8" s="2" customFormat="1" x14ac:dyDescent="0.3">
      <c r="A7" s="6"/>
      <c r="B7" s="6"/>
      <c r="C7" s="1"/>
      <c r="D7" s="5"/>
      <c r="F7" s="6"/>
      <c r="G7" s="7"/>
      <c r="H7" s="8" t="s">
        <v>7</v>
      </c>
    </row>
    <row r="8" spans="1:8" s="2" customFormat="1" x14ac:dyDescent="0.3">
      <c r="A8" s="9" t="s">
        <v>8</v>
      </c>
      <c r="B8" s="9"/>
      <c r="E8" s="10"/>
      <c r="F8" s="9" t="s">
        <v>8</v>
      </c>
      <c r="G8" s="11"/>
      <c r="H8" s="10"/>
    </row>
    <row r="9" spans="1:8" s="2" customFormat="1" x14ac:dyDescent="0.3">
      <c r="E9" s="10"/>
      <c r="F9" s="9"/>
      <c r="G9" s="11"/>
      <c r="H9" s="10"/>
    </row>
    <row r="10" spans="1:8" x14ac:dyDescent="0.3">
      <c r="A10" s="148" t="s">
        <v>9</v>
      </c>
      <c r="B10" s="148"/>
      <c r="C10" s="148"/>
      <c r="D10" s="148"/>
      <c r="E10" s="148"/>
      <c r="F10" s="148"/>
      <c r="G10" s="148"/>
      <c r="H10" s="148"/>
    </row>
    <row r="11" spans="1:8" x14ac:dyDescent="0.3">
      <c r="A11" s="12" t="s">
        <v>10</v>
      </c>
      <c r="B11" s="13"/>
      <c r="C11" s="14"/>
      <c r="D11" s="15"/>
      <c r="E11" s="15"/>
      <c r="F11" s="16"/>
    </row>
    <row r="12" spans="1:8" ht="15" thickBot="1" x14ac:dyDescent="0.35">
      <c r="A12" s="17"/>
      <c r="B12" s="18"/>
      <c r="C12" s="17"/>
      <c r="D12" s="17"/>
      <c r="E12" s="19"/>
      <c r="F12" s="17"/>
      <c r="G12" s="20"/>
      <c r="H12" s="20"/>
    </row>
    <row r="13" spans="1:8" ht="15" thickBot="1" x14ac:dyDescent="0.35">
      <c r="A13" s="21" t="s">
        <v>11</v>
      </c>
      <c r="B13" s="21" t="s">
        <v>12</v>
      </c>
      <c r="C13" s="21" t="s">
        <v>13</v>
      </c>
      <c r="D13" s="22" t="s">
        <v>14</v>
      </c>
      <c r="E13" s="149" t="s">
        <v>15</v>
      </c>
      <c r="F13" s="150"/>
      <c r="G13" s="151" t="s">
        <v>16</v>
      </c>
      <c r="H13" s="152"/>
    </row>
    <row r="14" spans="1:8" ht="15" thickBot="1" x14ac:dyDescent="0.35">
      <c r="A14" s="23"/>
      <c r="B14" s="24"/>
      <c r="C14" s="23" t="s">
        <v>17</v>
      </c>
      <c r="D14" s="25"/>
      <c r="E14" s="26" t="s">
        <v>18</v>
      </c>
      <c r="F14" s="27" t="s">
        <v>19</v>
      </c>
      <c r="G14" s="26" t="s">
        <v>18</v>
      </c>
      <c r="H14" s="27" t="s">
        <v>19</v>
      </c>
    </row>
    <row r="15" spans="1:8" ht="15" thickBot="1" x14ac:dyDescent="0.35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9">
        <v>8</v>
      </c>
    </row>
    <row r="16" spans="1:8" ht="15.6" x14ac:dyDescent="0.3">
      <c r="A16" s="30"/>
      <c r="B16" s="31" t="s">
        <v>20</v>
      </c>
      <c r="C16" s="32"/>
      <c r="D16" s="32"/>
      <c r="E16" s="32"/>
      <c r="F16" s="32"/>
      <c r="G16" s="144"/>
      <c r="H16" s="33"/>
    </row>
    <row r="17" spans="1:8" ht="15.6" x14ac:dyDescent="0.3">
      <c r="A17" s="34"/>
      <c r="B17" s="35"/>
      <c r="C17" s="36"/>
      <c r="D17" s="37" t="s">
        <v>21</v>
      </c>
      <c r="E17" s="37" t="s">
        <v>22</v>
      </c>
      <c r="F17" s="37" t="s">
        <v>23</v>
      </c>
      <c r="G17" s="46"/>
      <c r="H17" s="48"/>
    </row>
    <row r="18" spans="1:8" s="42" customFormat="1" ht="16.2" x14ac:dyDescent="0.35">
      <c r="A18" s="38"/>
      <c r="B18" s="39" t="s">
        <v>24</v>
      </c>
      <c r="C18" s="40" t="s">
        <v>25</v>
      </c>
      <c r="D18" s="40">
        <v>13.15</v>
      </c>
      <c r="E18" s="40">
        <v>32.35</v>
      </c>
      <c r="F18" s="40">
        <f>D18</f>
        <v>13.15</v>
      </c>
      <c r="G18" s="72"/>
      <c r="H18" s="41"/>
    </row>
    <row r="19" spans="1:8" s="42" customFormat="1" ht="16.2" x14ac:dyDescent="0.35">
      <c r="A19" s="38"/>
      <c r="B19" s="39" t="s">
        <v>26</v>
      </c>
      <c r="C19" s="40" t="s">
        <v>25</v>
      </c>
      <c r="D19" s="40">
        <v>7.05</v>
      </c>
      <c r="E19" s="40">
        <v>24.08</v>
      </c>
      <c r="F19" s="40">
        <f t="shared" ref="F19:F24" si="0">D19</f>
        <v>7.05</v>
      </c>
      <c r="G19" s="72"/>
      <c r="H19" s="41"/>
    </row>
    <row r="20" spans="1:8" s="42" customFormat="1" ht="16.2" x14ac:dyDescent="0.35">
      <c r="A20" s="38"/>
      <c r="B20" s="39" t="s">
        <v>27</v>
      </c>
      <c r="C20" s="40" t="s">
        <v>25</v>
      </c>
      <c r="D20" s="40">
        <v>13.34</v>
      </c>
      <c r="E20" s="40">
        <v>44.76</v>
      </c>
      <c r="F20" s="40">
        <f t="shared" si="0"/>
        <v>13.34</v>
      </c>
      <c r="G20" s="72"/>
      <c r="H20" s="41"/>
    </row>
    <row r="21" spans="1:8" s="42" customFormat="1" ht="16.2" x14ac:dyDescent="0.35">
      <c r="A21" s="38"/>
      <c r="B21" s="39" t="s">
        <v>28</v>
      </c>
      <c r="C21" s="40" t="s">
        <v>25</v>
      </c>
      <c r="D21" s="40">
        <v>10.69</v>
      </c>
      <c r="E21" s="40">
        <v>32.340000000000003</v>
      </c>
      <c r="F21" s="40">
        <f t="shared" si="0"/>
        <v>10.69</v>
      </c>
      <c r="G21" s="72"/>
      <c r="H21" s="41"/>
    </row>
    <row r="22" spans="1:8" s="42" customFormat="1" ht="16.2" x14ac:dyDescent="0.35">
      <c r="A22" s="38"/>
      <c r="B22" s="39" t="s">
        <v>28</v>
      </c>
      <c r="C22" s="40" t="s">
        <v>25</v>
      </c>
      <c r="D22" s="40">
        <v>17.22</v>
      </c>
      <c r="E22" s="40">
        <v>33.97</v>
      </c>
      <c r="F22" s="40">
        <f t="shared" si="0"/>
        <v>17.22</v>
      </c>
      <c r="G22" s="72"/>
      <c r="H22" s="41"/>
    </row>
    <row r="23" spans="1:8" s="42" customFormat="1" ht="16.2" x14ac:dyDescent="0.35">
      <c r="A23" s="38"/>
      <c r="B23" s="39" t="s">
        <v>29</v>
      </c>
      <c r="C23" s="40" t="s">
        <v>25</v>
      </c>
      <c r="D23" s="40">
        <v>4.0199999999999996</v>
      </c>
      <c r="E23" s="40">
        <v>9.74</v>
      </c>
      <c r="F23" s="40">
        <f t="shared" si="0"/>
        <v>4.0199999999999996</v>
      </c>
      <c r="G23" s="72"/>
      <c r="H23" s="41"/>
    </row>
    <row r="24" spans="1:8" s="42" customFormat="1" ht="16.2" x14ac:dyDescent="0.35">
      <c r="A24" s="38"/>
      <c r="B24" s="39" t="s">
        <v>30</v>
      </c>
      <c r="C24" s="40" t="s">
        <v>25</v>
      </c>
      <c r="D24" s="40">
        <v>2.63</v>
      </c>
      <c r="E24" s="40">
        <v>15.44</v>
      </c>
      <c r="F24" s="40">
        <f t="shared" si="0"/>
        <v>2.63</v>
      </c>
      <c r="G24" s="72"/>
      <c r="H24" s="41"/>
    </row>
    <row r="25" spans="1:8" s="42" customFormat="1" ht="16.2" x14ac:dyDescent="0.35">
      <c r="A25" s="38"/>
      <c r="B25" s="39" t="s">
        <v>31</v>
      </c>
      <c r="C25" s="40" t="s">
        <v>32</v>
      </c>
      <c r="D25" s="40">
        <v>58.14</v>
      </c>
      <c r="E25" s="40"/>
      <c r="F25" s="40"/>
      <c r="G25" s="72"/>
      <c r="H25" s="41"/>
    </row>
    <row r="26" spans="1:8" ht="17.399999999999999" x14ac:dyDescent="0.3">
      <c r="A26" s="44"/>
      <c r="B26" s="143" t="s">
        <v>33</v>
      </c>
      <c r="C26" s="46"/>
      <c r="D26" s="46"/>
      <c r="E26" s="46"/>
      <c r="F26" s="46"/>
      <c r="G26" s="46"/>
      <c r="H26" s="48"/>
    </row>
    <row r="27" spans="1:8" x14ac:dyDescent="0.3">
      <c r="A27" s="44">
        <v>1</v>
      </c>
      <c r="B27" s="43" t="s">
        <v>34</v>
      </c>
      <c r="C27" s="46" t="s">
        <v>35</v>
      </c>
      <c r="D27" s="46">
        <v>0</v>
      </c>
      <c r="E27" s="46"/>
      <c r="F27" s="91">
        <v>254.23728813559325</v>
      </c>
      <c r="G27" s="46"/>
      <c r="H27" s="48">
        <f>F27*D27</f>
        <v>0</v>
      </c>
    </row>
    <row r="28" spans="1:8" x14ac:dyDescent="0.3">
      <c r="A28" s="44">
        <v>2</v>
      </c>
      <c r="B28" s="43" t="s">
        <v>36</v>
      </c>
      <c r="C28" s="46" t="s">
        <v>25</v>
      </c>
      <c r="D28" s="46">
        <v>24.94</v>
      </c>
      <c r="E28" s="46"/>
      <c r="F28" s="91">
        <v>254.23728813559325</v>
      </c>
      <c r="G28" s="46"/>
      <c r="H28" s="48">
        <f t="shared" ref="H28:H35" si="1">F28*D28</f>
        <v>6340.6779661016963</v>
      </c>
    </row>
    <row r="29" spans="1:8" x14ac:dyDescent="0.3">
      <c r="A29" s="44">
        <v>4</v>
      </c>
      <c r="B29" s="43" t="s">
        <v>37</v>
      </c>
      <c r="C29" s="46" t="s">
        <v>25</v>
      </c>
      <c r="D29" s="46">
        <v>0</v>
      </c>
      <c r="E29" s="46"/>
      <c r="F29" s="91">
        <v>84.745762711864415</v>
      </c>
      <c r="G29" s="46"/>
      <c r="H29" s="48">
        <f t="shared" si="1"/>
        <v>0</v>
      </c>
    </row>
    <row r="30" spans="1:8" x14ac:dyDescent="0.3">
      <c r="A30" s="44">
        <v>5</v>
      </c>
      <c r="B30" s="43" t="s">
        <v>38</v>
      </c>
      <c r="C30" s="46" t="s">
        <v>25</v>
      </c>
      <c r="D30" s="46">
        <v>0</v>
      </c>
      <c r="E30" s="46"/>
      <c r="F30" s="91">
        <v>33.898305084745765</v>
      </c>
      <c r="G30" s="46"/>
      <c r="H30" s="48">
        <f t="shared" si="1"/>
        <v>0</v>
      </c>
    </row>
    <row r="31" spans="1:8" x14ac:dyDescent="0.3">
      <c r="A31" s="44">
        <v>6</v>
      </c>
      <c r="B31" s="43" t="s">
        <v>39</v>
      </c>
      <c r="C31" s="46" t="s">
        <v>25</v>
      </c>
      <c r="D31" s="46">
        <v>3</v>
      </c>
      <c r="E31" s="46"/>
      <c r="F31" s="91">
        <v>84.745762711864415</v>
      </c>
      <c r="G31" s="46"/>
      <c r="H31" s="48">
        <f t="shared" si="1"/>
        <v>254.23728813559325</v>
      </c>
    </row>
    <row r="32" spans="1:8" x14ac:dyDescent="0.3">
      <c r="A32" s="168"/>
      <c r="B32" s="169"/>
      <c r="C32" s="169"/>
      <c r="D32" s="169"/>
      <c r="E32" s="169"/>
      <c r="F32" s="170">
        <v>0</v>
      </c>
      <c r="G32" s="169"/>
      <c r="H32" s="171"/>
    </row>
    <row r="33" spans="1:8" x14ac:dyDescent="0.3">
      <c r="A33" s="44">
        <v>9</v>
      </c>
      <c r="B33" s="43" t="s">
        <v>41</v>
      </c>
      <c r="C33" s="46" t="s">
        <v>25</v>
      </c>
      <c r="D33" s="46">
        <v>101</v>
      </c>
      <c r="E33" s="46"/>
      <c r="F33" s="91">
        <v>16.949152542372882</v>
      </c>
      <c r="G33" s="46"/>
      <c r="H33" s="48">
        <f t="shared" si="1"/>
        <v>1711.8644067796611</v>
      </c>
    </row>
    <row r="34" spans="1:8" x14ac:dyDescent="0.3">
      <c r="A34" s="44">
        <v>10</v>
      </c>
      <c r="B34" s="43" t="s">
        <v>42</v>
      </c>
      <c r="C34" s="46" t="s">
        <v>25</v>
      </c>
      <c r="D34" s="46">
        <v>91.68</v>
      </c>
      <c r="E34" s="46"/>
      <c r="F34" s="91">
        <v>16.949152542372882</v>
      </c>
      <c r="G34" s="46"/>
      <c r="H34" s="48">
        <f t="shared" si="1"/>
        <v>1553.898305084746</v>
      </c>
    </row>
    <row r="35" spans="1:8" x14ac:dyDescent="0.3">
      <c r="A35" s="44">
        <v>11</v>
      </c>
      <c r="B35" s="43" t="s">
        <v>43</v>
      </c>
      <c r="C35" s="46" t="s">
        <v>44</v>
      </c>
      <c r="D35" s="46">
        <v>14</v>
      </c>
      <c r="E35" s="46"/>
      <c r="F35" s="91">
        <v>508.47457627118649</v>
      </c>
      <c r="G35" s="46"/>
      <c r="H35" s="48">
        <f t="shared" si="1"/>
        <v>7118.6440677966111</v>
      </c>
    </row>
    <row r="36" spans="1:8" x14ac:dyDescent="0.3">
      <c r="A36" s="44"/>
      <c r="B36" s="43" t="s">
        <v>123</v>
      </c>
      <c r="C36" s="46" t="s">
        <v>35</v>
      </c>
      <c r="D36" s="46">
        <v>300</v>
      </c>
      <c r="E36" s="158">
        <v>6.9337442218798158</v>
      </c>
      <c r="F36" s="91">
        <v>0</v>
      </c>
      <c r="G36" s="47">
        <f t="shared" ref="G36:G91" si="2">E36*D36</f>
        <v>2080.1232665639445</v>
      </c>
      <c r="H36" s="48"/>
    </row>
    <row r="37" spans="1:8" x14ac:dyDescent="0.3">
      <c r="A37" s="44">
        <v>12</v>
      </c>
      <c r="B37" s="43" t="s">
        <v>45</v>
      </c>
      <c r="C37" s="46" t="s">
        <v>46</v>
      </c>
      <c r="D37" s="46">
        <v>3</v>
      </c>
      <c r="E37" s="158">
        <v>4622.4961479198764</v>
      </c>
      <c r="F37" s="91">
        <v>0</v>
      </c>
      <c r="G37" s="47">
        <f t="shared" si="2"/>
        <v>13867.48844375963</v>
      </c>
      <c r="H37" s="48"/>
    </row>
    <row r="38" spans="1:8" ht="15.6" x14ac:dyDescent="0.3">
      <c r="A38" s="44"/>
      <c r="B38" s="45" t="s">
        <v>47</v>
      </c>
      <c r="C38" s="46"/>
      <c r="D38" s="46"/>
      <c r="E38" s="158"/>
      <c r="F38" s="91">
        <v>0</v>
      </c>
      <c r="G38" s="47"/>
      <c r="H38" s="48"/>
    </row>
    <row r="39" spans="1:8" ht="15.6" x14ac:dyDescent="0.3">
      <c r="A39" s="44"/>
      <c r="B39" s="45" t="s">
        <v>48</v>
      </c>
      <c r="C39" s="46"/>
      <c r="D39" s="46"/>
      <c r="E39" s="158"/>
      <c r="F39" s="91">
        <v>0</v>
      </c>
      <c r="G39" s="47"/>
      <c r="H39" s="48"/>
    </row>
    <row r="40" spans="1:8" x14ac:dyDescent="0.3">
      <c r="A40" s="49">
        <v>13</v>
      </c>
      <c r="B40" s="50" t="s">
        <v>49</v>
      </c>
      <c r="C40" s="51" t="s">
        <v>50</v>
      </c>
      <c r="D40" s="52">
        <f>D18+D19+D20+D21+D22+D23+D24</f>
        <v>68.099999999999994</v>
      </c>
      <c r="E40" s="154"/>
      <c r="F40" s="53">
        <v>25.423728813559322</v>
      </c>
      <c r="G40" s="47"/>
      <c r="H40" s="54">
        <f>D40*F40</f>
        <v>1731.3559322033896</v>
      </c>
    </row>
    <row r="41" spans="1:8" x14ac:dyDescent="0.3">
      <c r="A41" s="44"/>
      <c r="B41" s="55" t="s">
        <v>51</v>
      </c>
      <c r="C41" s="56" t="s">
        <v>52</v>
      </c>
      <c r="D41" s="57">
        <f>D40*0.2</f>
        <v>13.62</v>
      </c>
      <c r="E41" s="155">
        <v>42.449922958397536</v>
      </c>
      <c r="F41" s="159">
        <v>0</v>
      </c>
      <c r="G41" s="47">
        <f t="shared" si="2"/>
        <v>578.16795069337445</v>
      </c>
      <c r="H41" s="58"/>
    </row>
    <row r="42" spans="1:8" x14ac:dyDescent="0.3">
      <c r="A42" s="49">
        <v>14</v>
      </c>
      <c r="B42" s="59" t="s">
        <v>53</v>
      </c>
      <c r="C42" s="56" t="s">
        <v>25</v>
      </c>
      <c r="D42" s="60">
        <f>D40</f>
        <v>68.099999999999994</v>
      </c>
      <c r="E42" s="155">
        <v>0</v>
      </c>
      <c r="F42" s="160">
        <v>254.23728813559325</v>
      </c>
      <c r="G42" s="47"/>
      <c r="H42" s="61">
        <f>D42*F42</f>
        <v>17313.5593220339</v>
      </c>
    </row>
    <row r="43" spans="1:8" x14ac:dyDescent="0.3">
      <c r="A43" s="49"/>
      <c r="B43" s="55" t="s">
        <v>128</v>
      </c>
      <c r="C43" s="56" t="s">
        <v>54</v>
      </c>
      <c r="D43" s="62">
        <f>D42*1.8*120/25</f>
        <v>588.38400000000001</v>
      </c>
      <c r="E43" s="155">
        <v>92.449922958397536</v>
      </c>
      <c r="F43" s="159">
        <v>0</v>
      </c>
      <c r="G43" s="47">
        <f t="shared" si="2"/>
        <v>54396.055469953775</v>
      </c>
      <c r="H43" s="61"/>
    </row>
    <row r="44" spans="1:8" x14ac:dyDescent="0.3">
      <c r="A44" s="49">
        <v>15</v>
      </c>
      <c r="B44" s="63" t="s">
        <v>55</v>
      </c>
      <c r="C44" s="51" t="s">
        <v>50</v>
      </c>
      <c r="D44" s="52">
        <f>D40</f>
        <v>68.099999999999994</v>
      </c>
      <c r="E44" s="154">
        <v>0</v>
      </c>
      <c r="F44" s="53">
        <v>508.47457627118649</v>
      </c>
      <c r="G44" s="47"/>
      <c r="H44" s="54">
        <f>D44*F44</f>
        <v>34627.118644067799</v>
      </c>
    </row>
    <row r="45" spans="1:8" x14ac:dyDescent="0.3">
      <c r="A45" s="44"/>
      <c r="B45" s="64" t="s">
        <v>124</v>
      </c>
      <c r="C45" s="56" t="s">
        <v>50</v>
      </c>
      <c r="D45" s="62">
        <f>D44*1.03</f>
        <v>70.143000000000001</v>
      </c>
      <c r="E45" s="155">
        <v>308.16640986132512</v>
      </c>
      <c r="F45" s="159">
        <v>0</v>
      </c>
      <c r="G45" s="47">
        <f t="shared" si="2"/>
        <v>21615.716486902929</v>
      </c>
      <c r="H45" s="58"/>
    </row>
    <row r="46" spans="1:8" x14ac:dyDescent="0.3">
      <c r="A46" s="49"/>
      <c r="B46" s="55" t="s">
        <v>127</v>
      </c>
      <c r="C46" s="56" t="s">
        <v>54</v>
      </c>
      <c r="D46" s="62">
        <f>D44*8/25</f>
        <v>21.791999999999998</v>
      </c>
      <c r="E46" s="155">
        <v>211.0939907550077</v>
      </c>
      <c r="F46" s="159">
        <v>0</v>
      </c>
      <c r="G46" s="47">
        <f t="shared" si="2"/>
        <v>4600.1602465331271</v>
      </c>
      <c r="H46" s="58"/>
    </row>
    <row r="47" spans="1:8" x14ac:dyDescent="0.3">
      <c r="A47" s="44"/>
      <c r="B47" s="55" t="s">
        <v>129</v>
      </c>
      <c r="C47" s="56" t="s">
        <v>57</v>
      </c>
      <c r="D47" s="57">
        <f>D44*0.199385</f>
        <v>13.578118499999999</v>
      </c>
      <c r="E47" s="155">
        <v>146.37904468412944</v>
      </c>
      <c r="F47" s="159">
        <v>0</v>
      </c>
      <c r="G47" s="47">
        <f t="shared" si="2"/>
        <v>1987.5520146379044</v>
      </c>
      <c r="H47" s="58"/>
    </row>
    <row r="48" spans="1:8" x14ac:dyDescent="0.3">
      <c r="A48" s="49">
        <v>16</v>
      </c>
      <c r="B48" s="63" t="s">
        <v>58</v>
      </c>
      <c r="C48" s="51" t="s">
        <v>59</v>
      </c>
      <c r="D48" s="52">
        <f>D25</f>
        <v>58.14</v>
      </c>
      <c r="E48" s="156">
        <v>0</v>
      </c>
      <c r="F48" s="53">
        <v>118.64406779661017</v>
      </c>
      <c r="G48" s="47"/>
      <c r="H48" s="54">
        <f>D48*F48</f>
        <v>6897.9661016949158</v>
      </c>
    </row>
    <row r="49" spans="1:8" x14ac:dyDescent="0.3">
      <c r="A49" s="44"/>
      <c r="B49" s="64" t="s">
        <v>56</v>
      </c>
      <c r="C49" s="56" t="s">
        <v>50</v>
      </c>
      <c r="D49" s="62">
        <f>D48*0.2</f>
        <v>11.628</v>
      </c>
      <c r="E49" s="155">
        <v>308.16640986132512</v>
      </c>
      <c r="F49" s="159">
        <v>0</v>
      </c>
      <c r="G49" s="47">
        <f t="shared" si="2"/>
        <v>3583.3590138674886</v>
      </c>
      <c r="H49" s="58"/>
    </row>
    <row r="50" spans="1:8" x14ac:dyDescent="0.3">
      <c r="A50" s="49"/>
      <c r="B50" s="55" t="s">
        <v>127</v>
      </c>
      <c r="C50" s="56" t="s">
        <v>54</v>
      </c>
      <c r="D50" s="62">
        <f>D48*1.5/25</f>
        <v>3.4884000000000004</v>
      </c>
      <c r="E50" s="155">
        <v>211.0939907550077</v>
      </c>
      <c r="F50" s="159">
        <v>0</v>
      </c>
      <c r="G50" s="47">
        <f t="shared" si="2"/>
        <v>736.3802773497689</v>
      </c>
      <c r="H50" s="58"/>
    </row>
    <row r="51" spans="1:8" ht="15.6" x14ac:dyDescent="0.3">
      <c r="A51" s="44"/>
      <c r="B51" s="45" t="s">
        <v>60</v>
      </c>
      <c r="C51" s="51"/>
      <c r="D51" s="65"/>
      <c r="E51" s="154">
        <v>0</v>
      </c>
      <c r="F51" s="53">
        <v>0</v>
      </c>
      <c r="G51" s="47"/>
      <c r="H51" s="54"/>
    </row>
    <row r="52" spans="1:8" s="68" customFormat="1" ht="26.4" x14ac:dyDescent="0.25">
      <c r="A52" s="44">
        <v>18</v>
      </c>
      <c r="B52" s="73" t="s">
        <v>65</v>
      </c>
      <c r="C52" s="67" t="s">
        <v>25</v>
      </c>
      <c r="D52" s="74">
        <v>2.2000000000000002</v>
      </c>
      <c r="E52" s="78">
        <v>0</v>
      </c>
      <c r="F52" s="91">
        <v>593.22033898305085</v>
      </c>
      <c r="G52" s="47"/>
      <c r="H52" s="75">
        <f t="shared" ref="H52" si="3">D52*F52</f>
        <v>1305.0847457627119</v>
      </c>
    </row>
    <row r="53" spans="1:8" s="68" customFormat="1" ht="13.2" x14ac:dyDescent="0.25">
      <c r="A53" s="44"/>
      <c r="B53" s="69" t="s">
        <v>66</v>
      </c>
      <c r="C53" s="70" t="s">
        <v>35</v>
      </c>
      <c r="D53" s="71">
        <v>110</v>
      </c>
      <c r="E53" s="78">
        <v>12.326656394453005</v>
      </c>
      <c r="F53" s="161">
        <v>0</v>
      </c>
      <c r="G53" s="47">
        <f t="shared" si="2"/>
        <v>1355.9322033898306</v>
      </c>
      <c r="H53" s="75"/>
    </row>
    <row r="54" spans="1:8" s="68" customFormat="1" ht="13.2" x14ac:dyDescent="0.25">
      <c r="A54" s="44"/>
      <c r="B54" s="69" t="s">
        <v>67</v>
      </c>
      <c r="C54" s="70" t="s">
        <v>68</v>
      </c>
      <c r="D54" s="71">
        <v>2</v>
      </c>
      <c r="E54" s="78">
        <v>77.04160246533128</v>
      </c>
      <c r="F54" s="161">
        <v>0</v>
      </c>
      <c r="G54" s="47">
        <f t="shared" si="2"/>
        <v>154.08320493066256</v>
      </c>
      <c r="H54" s="75"/>
    </row>
    <row r="55" spans="1:8" s="68" customFormat="1" ht="13.2" x14ac:dyDescent="0.25">
      <c r="A55" s="44"/>
      <c r="B55" s="69" t="s">
        <v>69</v>
      </c>
      <c r="C55" s="70" t="s">
        <v>32</v>
      </c>
      <c r="D55" s="71">
        <v>16</v>
      </c>
      <c r="E55" s="78">
        <v>18.489984591679505</v>
      </c>
      <c r="F55" s="161">
        <v>0</v>
      </c>
      <c r="G55" s="47">
        <f t="shared" si="2"/>
        <v>295.83975346687208</v>
      </c>
      <c r="H55" s="75"/>
    </row>
    <row r="56" spans="1:8" s="68" customFormat="1" ht="39.6" x14ac:dyDescent="0.25">
      <c r="A56" s="44">
        <v>19</v>
      </c>
      <c r="B56" s="73" t="s">
        <v>70</v>
      </c>
      <c r="C56" s="67" t="s">
        <v>25</v>
      </c>
      <c r="D56" s="74">
        <f>(1.21+1.6+1.5+0.84+1.54+1.54)*2.54-4.8</f>
        <v>16.104200000000002</v>
      </c>
      <c r="E56" s="78">
        <v>0</v>
      </c>
      <c r="F56" s="91">
        <v>533.89830508474574</v>
      </c>
      <c r="G56" s="76"/>
      <c r="H56" s="75">
        <f>D56*F56</f>
        <v>8598.0050847457642</v>
      </c>
    </row>
    <row r="57" spans="1:8" s="68" customFormat="1" ht="13.2" x14ac:dyDescent="0.25">
      <c r="A57" s="44"/>
      <c r="B57" s="69" t="s">
        <v>126</v>
      </c>
      <c r="C57" s="70" t="s">
        <v>35</v>
      </c>
      <c r="D57" s="77">
        <f>(1.3*D56)/3+16</f>
        <v>22.978486666666669</v>
      </c>
      <c r="E57" s="78">
        <v>184.89984591679507</v>
      </c>
      <c r="F57" s="161">
        <v>0</v>
      </c>
      <c r="G57" s="78">
        <f>D57*E57</f>
        <v>4248.718644067797</v>
      </c>
      <c r="H57" s="79"/>
    </row>
    <row r="58" spans="1:8" s="68" customFormat="1" ht="13.2" x14ac:dyDescent="0.25">
      <c r="A58" s="44"/>
      <c r="B58" s="69" t="s">
        <v>125</v>
      </c>
      <c r="C58" s="70" t="s">
        <v>35</v>
      </c>
      <c r="D58" s="77">
        <v>31</v>
      </c>
      <c r="E58" s="78">
        <v>104.00616332819723</v>
      </c>
      <c r="F58" s="161">
        <v>0</v>
      </c>
      <c r="G58" s="78">
        <f t="shared" ref="G58:G69" si="4">D58*E58</f>
        <v>3224.1910631741143</v>
      </c>
      <c r="H58" s="79"/>
    </row>
    <row r="59" spans="1:8" s="68" customFormat="1" ht="13.2" x14ac:dyDescent="0.25">
      <c r="A59" s="44"/>
      <c r="B59" s="69" t="s">
        <v>61</v>
      </c>
      <c r="C59" s="70" t="s">
        <v>35</v>
      </c>
      <c r="D59" s="77">
        <f>D56*2.45</f>
        <v>39.455290000000005</v>
      </c>
      <c r="E59" s="78">
        <v>0.70107858243451471</v>
      </c>
      <c r="F59" s="161">
        <v>0</v>
      </c>
      <c r="G59" s="78">
        <f t="shared" si="4"/>
        <v>27.661258782742689</v>
      </c>
      <c r="H59" s="79"/>
    </row>
    <row r="60" spans="1:8" s="68" customFormat="1" ht="13.2" x14ac:dyDescent="0.25">
      <c r="A60" s="44"/>
      <c r="B60" s="69" t="s">
        <v>62</v>
      </c>
      <c r="C60" s="70" t="s">
        <v>35</v>
      </c>
      <c r="D60" s="77">
        <f>D56*10.5</f>
        <v>169.09410000000003</v>
      </c>
      <c r="E60" s="78">
        <v>0.20801232665639446</v>
      </c>
      <c r="F60" s="161">
        <v>0</v>
      </c>
      <c r="G60" s="78">
        <f t="shared" si="4"/>
        <v>35.173657164869034</v>
      </c>
      <c r="H60" s="79"/>
    </row>
    <row r="61" spans="1:8" s="68" customFormat="1" ht="13.2" x14ac:dyDescent="0.25">
      <c r="A61" s="44"/>
      <c r="B61" s="80" t="s">
        <v>130</v>
      </c>
      <c r="C61" s="70" t="s">
        <v>63</v>
      </c>
      <c r="D61" s="77">
        <f>D56*4.1/3</f>
        <v>22.009073333333333</v>
      </c>
      <c r="E61" s="78">
        <v>279.66101694915255</v>
      </c>
      <c r="F61" s="161">
        <v>0</v>
      </c>
      <c r="G61" s="78">
        <f t="shared" si="4"/>
        <v>6155.0798305084745</v>
      </c>
      <c r="H61" s="79"/>
    </row>
    <row r="62" spans="1:8" s="68" customFormat="1" ht="13.2" x14ac:dyDescent="0.25">
      <c r="A62" s="44"/>
      <c r="B62" s="80" t="s">
        <v>71</v>
      </c>
      <c r="C62" s="70" t="s">
        <v>35</v>
      </c>
      <c r="D62" s="77">
        <f>D63/2</f>
        <v>273.77140000000003</v>
      </c>
      <c r="E62" s="78">
        <v>0.22342064714946069</v>
      </c>
      <c r="F62" s="161">
        <v>0</v>
      </c>
      <c r="G62" s="78">
        <f t="shared" si="4"/>
        <v>61.166183359013871</v>
      </c>
      <c r="H62" s="79"/>
    </row>
    <row r="63" spans="1:8" s="68" customFormat="1" ht="13.2" x14ac:dyDescent="0.25">
      <c r="A63" s="44"/>
      <c r="B63" s="69" t="s">
        <v>64</v>
      </c>
      <c r="C63" s="70" t="s">
        <v>35</v>
      </c>
      <c r="D63" s="77">
        <f>D56*34</f>
        <v>547.54280000000006</v>
      </c>
      <c r="E63" s="78">
        <v>0.24653312788906009</v>
      </c>
      <c r="F63" s="161">
        <v>0</v>
      </c>
      <c r="G63" s="78">
        <f t="shared" si="4"/>
        <v>134.98743913713406</v>
      </c>
      <c r="H63" s="79"/>
    </row>
    <row r="64" spans="1:8" s="68" customFormat="1" ht="13.2" x14ac:dyDescent="0.25">
      <c r="A64" s="81"/>
      <c r="B64" s="82" t="s">
        <v>72</v>
      </c>
      <c r="C64" s="83" t="s">
        <v>68</v>
      </c>
      <c r="D64" s="77">
        <v>1</v>
      </c>
      <c r="E64" s="84">
        <v>342.06471494607086</v>
      </c>
      <c r="F64" s="161">
        <v>0</v>
      </c>
      <c r="G64" s="78">
        <f t="shared" si="4"/>
        <v>342.06471494607086</v>
      </c>
      <c r="H64" s="85"/>
    </row>
    <row r="65" spans="1:8" s="68" customFormat="1" ht="13.2" x14ac:dyDescent="0.25">
      <c r="A65" s="44"/>
      <c r="B65" s="80" t="s">
        <v>73</v>
      </c>
      <c r="C65" s="71" t="s">
        <v>74</v>
      </c>
      <c r="D65" s="77">
        <f>D56*0.06</f>
        <v>0.96625200000000011</v>
      </c>
      <c r="E65" s="78">
        <v>106.31741140215716</v>
      </c>
      <c r="F65" s="161">
        <v>0</v>
      </c>
      <c r="G65" s="78">
        <f t="shared" si="4"/>
        <v>102.72941140215717</v>
      </c>
      <c r="H65" s="79"/>
    </row>
    <row r="66" spans="1:8" s="68" customFormat="1" ht="13.2" x14ac:dyDescent="0.25">
      <c r="A66" s="44"/>
      <c r="B66" s="69" t="s">
        <v>75</v>
      </c>
      <c r="C66" s="70" t="s">
        <v>25</v>
      </c>
      <c r="D66" s="86">
        <f>D56*0.04</f>
        <v>0.64416800000000007</v>
      </c>
      <c r="E66" s="78">
        <v>92.449922958397536</v>
      </c>
      <c r="F66" s="161">
        <v>0</v>
      </c>
      <c r="G66" s="78">
        <f t="shared" si="4"/>
        <v>59.553281972265033</v>
      </c>
      <c r="H66" s="79"/>
    </row>
    <row r="67" spans="1:8" s="68" customFormat="1" ht="13.2" x14ac:dyDescent="0.25">
      <c r="A67" s="44"/>
      <c r="B67" s="69" t="s">
        <v>131</v>
      </c>
      <c r="C67" s="70" t="s">
        <v>76</v>
      </c>
      <c r="D67" s="86">
        <f>D56*0.02</f>
        <v>0.32208400000000004</v>
      </c>
      <c r="E67" s="78">
        <v>517.00539291217251</v>
      </c>
      <c r="F67" s="161">
        <v>0</v>
      </c>
      <c r="G67" s="78">
        <f t="shared" si="4"/>
        <v>166.51916497072418</v>
      </c>
      <c r="H67" s="87"/>
    </row>
    <row r="68" spans="1:8" s="68" customFormat="1" ht="13.2" x14ac:dyDescent="0.25">
      <c r="A68" s="44"/>
      <c r="B68" s="80" t="s">
        <v>132</v>
      </c>
      <c r="C68" s="71" t="s">
        <v>63</v>
      </c>
      <c r="D68" s="88">
        <f>D56/0.6*1.05</f>
        <v>28.182350000000007</v>
      </c>
      <c r="E68" s="78">
        <v>104.00616332819723</v>
      </c>
      <c r="F68" s="161">
        <v>0</v>
      </c>
      <c r="G68" s="78">
        <f t="shared" si="4"/>
        <v>2931.1380970724199</v>
      </c>
      <c r="H68" s="89"/>
    </row>
    <row r="69" spans="1:8" s="68" customFormat="1" ht="13.2" customHeight="1" x14ac:dyDescent="0.25">
      <c r="A69" s="44"/>
      <c r="B69" s="80" t="s">
        <v>77</v>
      </c>
      <c r="C69" s="71" t="s">
        <v>74</v>
      </c>
      <c r="D69" s="88">
        <v>2</v>
      </c>
      <c r="E69" s="78">
        <v>210.32357473035438</v>
      </c>
      <c r="F69" s="161">
        <v>0</v>
      </c>
      <c r="G69" s="78">
        <f t="shared" si="4"/>
        <v>420.64714946070876</v>
      </c>
      <c r="H69" s="89"/>
    </row>
    <row r="70" spans="1:8" x14ac:dyDescent="0.3">
      <c r="A70" s="49">
        <v>20</v>
      </c>
      <c r="B70" s="59" t="s">
        <v>133</v>
      </c>
      <c r="C70" s="51" t="s">
        <v>50</v>
      </c>
      <c r="D70" s="52">
        <f>32.35+24.08+44.76+31+1.34+30.77+3.2+9.74+15.44</f>
        <v>192.68</v>
      </c>
      <c r="E70" s="154">
        <v>0</v>
      </c>
      <c r="F70" s="53">
        <v>25.423728813559322</v>
      </c>
      <c r="G70" s="47"/>
      <c r="H70" s="54">
        <f>D70*F70</f>
        <v>4898.6440677966102</v>
      </c>
    </row>
    <row r="71" spans="1:8" x14ac:dyDescent="0.3">
      <c r="A71" s="44"/>
      <c r="B71" s="55" t="s">
        <v>134</v>
      </c>
      <c r="C71" s="56" t="s">
        <v>52</v>
      </c>
      <c r="D71" s="62">
        <f>D70*0.2</f>
        <v>38.536000000000001</v>
      </c>
      <c r="E71" s="155">
        <v>42.449922958397536</v>
      </c>
      <c r="F71" s="159">
        <v>0</v>
      </c>
      <c r="G71" s="47">
        <f t="shared" si="2"/>
        <v>1635.8502311248076</v>
      </c>
      <c r="H71" s="90"/>
    </row>
    <row r="72" spans="1:8" x14ac:dyDescent="0.3">
      <c r="A72" s="44">
        <v>21</v>
      </c>
      <c r="B72" s="63" t="s">
        <v>78</v>
      </c>
      <c r="C72" s="46" t="s">
        <v>25</v>
      </c>
      <c r="D72" s="91">
        <f>D70</f>
        <v>192.68</v>
      </c>
      <c r="E72" s="154">
        <v>0</v>
      </c>
      <c r="F72" s="91">
        <v>254.23728813559325</v>
      </c>
      <c r="G72" s="47"/>
      <c r="H72" s="90">
        <f>D72*F72</f>
        <v>48986.440677966108</v>
      </c>
    </row>
    <row r="73" spans="1:8" x14ac:dyDescent="0.3">
      <c r="A73" s="44"/>
      <c r="B73" s="55" t="s">
        <v>135</v>
      </c>
      <c r="C73" s="56" t="s">
        <v>54</v>
      </c>
      <c r="D73" s="62">
        <f>D72*1.2*10/25</f>
        <v>92.486399999999989</v>
      </c>
      <c r="E73" s="155">
        <v>211.86440677966101</v>
      </c>
      <c r="F73" s="159">
        <v>0</v>
      </c>
      <c r="G73" s="47">
        <f t="shared" si="2"/>
        <v>19594.576271186437</v>
      </c>
      <c r="H73" s="90"/>
    </row>
    <row r="74" spans="1:8" x14ac:dyDescent="0.3">
      <c r="A74" s="44"/>
      <c r="B74" s="55" t="s">
        <v>79</v>
      </c>
      <c r="C74" s="56" t="s">
        <v>35</v>
      </c>
      <c r="D74" s="62">
        <v>58</v>
      </c>
      <c r="E74" s="155">
        <v>14.637904468412941</v>
      </c>
      <c r="F74" s="159">
        <v>0</v>
      </c>
      <c r="G74" s="47">
        <f t="shared" si="2"/>
        <v>848.99845916795061</v>
      </c>
      <c r="H74" s="90"/>
    </row>
    <row r="75" spans="1:8" s="2" customFormat="1" x14ac:dyDescent="0.3">
      <c r="A75" s="44">
        <v>22</v>
      </c>
      <c r="B75" s="92" t="s">
        <v>80</v>
      </c>
      <c r="C75" s="67" t="s">
        <v>25</v>
      </c>
      <c r="D75" s="66">
        <f>E24+2</f>
        <v>17.439999999999998</v>
      </c>
      <c r="E75" s="153">
        <v>0</v>
      </c>
      <c r="F75" s="161">
        <v>508.47457627118649</v>
      </c>
      <c r="G75" s="47"/>
      <c r="H75" s="90">
        <f>D75*F75</f>
        <v>8867.796610169491</v>
      </c>
    </row>
    <row r="76" spans="1:8" s="2" customFormat="1" x14ac:dyDescent="0.3">
      <c r="A76" s="49"/>
      <c r="B76" s="80" t="s">
        <v>81</v>
      </c>
      <c r="C76" s="71" t="s">
        <v>25</v>
      </c>
      <c r="D76" s="88">
        <f>D75*1.05</f>
        <v>18.311999999999998</v>
      </c>
      <c r="E76" s="78">
        <v>346.68721109399075</v>
      </c>
      <c r="F76" s="161">
        <v>0</v>
      </c>
      <c r="G76" s="47">
        <f t="shared" si="2"/>
        <v>6348.5362095531582</v>
      </c>
      <c r="H76" s="93"/>
    </row>
    <row r="77" spans="1:8" s="2" customFormat="1" x14ac:dyDescent="0.3">
      <c r="A77" s="49"/>
      <c r="B77" s="69" t="s">
        <v>136</v>
      </c>
      <c r="C77" s="70" t="s">
        <v>68</v>
      </c>
      <c r="D77" s="70">
        <v>12</v>
      </c>
      <c r="E77" s="78">
        <v>186.44067796610167</v>
      </c>
      <c r="F77" s="161">
        <v>0</v>
      </c>
      <c r="G77" s="47">
        <f t="shared" si="2"/>
        <v>2237.28813559322</v>
      </c>
      <c r="H77" s="94"/>
    </row>
    <row r="78" spans="1:8" s="2" customFormat="1" x14ac:dyDescent="0.3">
      <c r="A78" s="95"/>
      <c r="B78" s="96" t="s">
        <v>137</v>
      </c>
      <c r="C78" s="97" t="s">
        <v>82</v>
      </c>
      <c r="D78" s="76">
        <v>2</v>
      </c>
      <c r="E78" s="76">
        <v>146.37904468412944</v>
      </c>
      <c r="F78" s="161">
        <v>0</v>
      </c>
      <c r="G78" s="47">
        <f t="shared" si="2"/>
        <v>292.75808936825888</v>
      </c>
      <c r="H78" s="90"/>
    </row>
    <row r="79" spans="1:8" x14ac:dyDescent="0.3">
      <c r="A79" s="49">
        <v>23</v>
      </c>
      <c r="B79" s="59" t="s">
        <v>138</v>
      </c>
      <c r="C79" s="51" t="s">
        <v>50</v>
      </c>
      <c r="D79" s="52">
        <f>D81</f>
        <v>177.24</v>
      </c>
      <c r="E79" s="156">
        <v>0</v>
      </c>
      <c r="F79" s="53">
        <v>152.54237288135593</v>
      </c>
      <c r="G79" s="47"/>
      <c r="H79" s="54">
        <f>D79*F79</f>
        <v>27036.610169491527</v>
      </c>
    </row>
    <row r="80" spans="1:8" x14ac:dyDescent="0.3">
      <c r="A80" s="44"/>
      <c r="B80" s="55" t="s">
        <v>139</v>
      </c>
      <c r="C80" s="56" t="s">
        <v>54</v>
      </c>
      <c r="D80" s="57">
        <f>D79*1.4/25</f>
        <v>9.92544</v>
      </c>
      <c r="E80" s="155">
        <v>561.63328197226497</v>
      </c>
      <c r="F80" s="159">
        <v>0</v>
      </c>
      <c r="G80" s="47">
        <f t="shared" si="2"/>
        <v>5574.457442218798</v>
      </c>
      <c r="H80" s="54"/>
    </row>
    <row r="81" spans="1:9" x14ac:dyDescent="0.3">
      <c r="A81" s="49">
        <v>24</v>
      </c>
      <c r="B81" s="59" t="s">
        <v>83</v>
      </c>
      <c r="C81" s="51" t="s">
        <v>25</v>
      </c>
      <c r="D81" s="52">
        <v>177.24</v>
      </c>
      <c r="E81" s="156">
        <v>0</v>
      </c>
      <c r="F81" s="53">
        <v>169.49152542372883</v>
      </c>
      <c r="G81" s="47"/>
      <c r="H81" s="54">
        <f t="shared" ref="H81" si="5">D81*F81</f>
        <v>30040.677966101699</v>
      </c>
    </row>
    <row r="82" spans="1:9" x14ac:dyDescent="0.3">
      <c r="A82" s="49"/>
      <c r="B82" s="55" t="s">
        <v>84</v>
      </c>
      <c r="C82" s="56" t="s">
        <v>74</v>
      </c>
      <c r="D82" s="62">
        <v>8</v>
      </c>
      <c r="E82" s="155">
        <v>1926.040061633282</v>
      </c>
      <c r="F82" s="160">
        <v>0</v>
      </c>
      <c r="G82" s="47">
        <f t="shared" si="2"/>
        <v>15408.320493066256</v>
      </c>
      <c r="H82" s="61"/>
    </row>
    <row r="83" spans="1:9" x14ac:dyDescent="0.3">
      <c r="A83" s="49"/>
      <c r="B83" s="55" t="s">
        <v>85</v>
      </c>
      <c r="C83" s="56" t="s">
        <v>82</v>
      </c>
      <c r="D83" s="62">
        <v>9</v>
      </c>
      <c r="E83" s="155">
        <v>169.4915254237288</v>
      </c>
      <c r="F83" s="160">
        <v>0</v>
      </c>
      <c r="G83" s="47">
        <f t="shared" si="2"/>
        <v>1525.4237288135591</v>
      </c>
      <c r="H83" s="61"/>
    </row>
    <row r="84" spans="1:9" x14ac:dyDescent="0.3">
      <c r="A84" s="98">
        <v>25</v>
      </c>
      <c r="B84" s="99" t="s">
        <v>86</v>
      </c>
      <c r="C84" s="100" t="s">
        <v>25</v>
      </c>
      <c r="D84" s="101">
        <f>D81</f>
        <v>177.24</v>
      </c>
      <c r="E84" s="157">
        <v>0</v>
      </c>
      <c r="F84" s="162">
        <v>186.4406779661017</v>
      </c>
      <c r="G84" s="47"/>
      <c r="H84" s="102">
        <f>F84*D84</f>
        <v>33044.745762711871</v>
      </c>
    </row>
    <row r="85" spans="1:9" x14ac:dyDescent="0.3">
      <c r="A85" s="103"/>
      <c r="B85" s="104" t="s">
        <v>140</v>
      </c>
      <c r="C85" s="105" t="s">
        <v>87</v>
      </c>
      <c r="D85" s="106">
        <f>D84*0.45/9</f>
        <v>8.8620000000000019</v>
      </c>
      <c r="E85" s="116">
        <v>3012.0184899845917</v>
      </c>
      <c r="F85" s="163">
        <v>0</v>
      </c>
      <c r="G85" s="47">
        <f t="shared" ref="G85:G87" si="6">E85*D85</f>
        <v>26692.507858243458</v>
      </c>
      <c r="H85" s="102"/>
      <c r="I85" s="107"/>
    </row>
    <row r="86" spans="1:9" x14ac:dyDescent="0.3">
      <c r="A86" s="98">
        <v>26</v>
      </c>
      <c r="B86" s="99" t="s">
        <v>88</v>
      </c>
      <c r="C86" s="100" t="s">
        <v>32</v>
      </c>
      <c r="D86" s="101">
        <f>D25</f>
        <v>58.14</v>
      </c>
      <c r="E86" s="157">
        <v>0</v>
      </c>
      <c r="F86" s="162">
        <v>144.06779661016949</v>
      </c>
      <c r="G86" s="47"/>
      <c r="H86" s="102">
        <f t="shared" ref="H86:H89" si="7">F86*D86</f>
        <v>8376.1016949152545</v>
      </c>
    </row>
    <row r="87" spans="1:9" x14ac:dyDescent="0.3">
      <c r="A87" s="103"/>
      <c r="B87" s="104" t="s">
        <v>89</v>
      </c>
      <c r="C87" s="105" t="s">
        <v>32</v>
      </c>
      <c r="D87" s="106">
        <f>D86*1.15</f>
        <v>66.86099999999999</v>
      </c>
      <c r="E87" s="116">
        <v>130.97072419106317</v>
      </c>
      <c r="F87" s="164">
        <v>0</v>
      </c>
      <c r="G87" s="47">
        <f t="shared" si="6"/>
        <v>8756.8335901386727</v>
      </c>
      <c r="H87" s="102"/>
      <c r="I87" s="107"/>
    </row>
    <row r="88" spans="1:9" x14ac:dyDescent="0.3">
      <c r="A88" s="49"/>
      <c r="B88" s="108" t="s">
        <v>90</v>
      </c>
      <c r="C88" s="56"/>
      <c r="D88" s="62"/>
      <c r="E88" s="155"/>
      <c r="F88" s="160"/>
      <c r="G88" s="47"/>
      <c r="H88" s="102"/>
    </row>
    <row r="89" spans="1:9" x14ac:dyDescent="0.3">
      <c r="A89" s="44">
        <v>27</v>
      </c>
      <c r="B89" s="63" t="s">
        <v>91</v>
      </c>
      <c r="C89" s="56" t="s">
        <v>50</v>
      </c>
      <c r="D89" s="60">
        <f>D40</f>
        <v>68.099999999999994</v>
      </c>
      <c r="E89" s="155">
        <v>0</v>
      </c>
      <c r="F89" s="159">
        <v>254.23728813559325</v>
      </c>
      <c r="G89" s="47"/>
      <c r="H89" s="102">
        <f t="shared" si="7"/>
        <v>17313.5593220339</v>
      </c>
    </row>
    <row r="90" spans="1:9" x14ac:dyDescent="0.3">
      <c r="A90" s="103"/>
      <c r="B90" s="104" t="s">
        <v>92</v>
      </c>
      <c r="C90" s="105" t="s">
        <v>68</v>
      </c>
      <c r="D90" s="106">
        <f>D89*10*1.6/25</f>
        <v>43.584000000000003</v>
      </c>
      <c r="E90" s="116">
        <v>278.89060092449921</v>
      </c>
      <c r="F90" s="163">
        <v>0</v>
      </c>
      <c r="G90" s="47">
        <f t="shared" si="2"/>
        <v>12155.167950693374</v>
      </c>
      <c r="H90" s="102"/>
      <c r="I90" s="107"/>
    </row>
    <row r="91" spans="1:9" x14ac:dyDescent="0.3">
      <c r="A91" s="103"/>
      <c r="B91" s="104" t="s">
        <v>93</v>
      </c>
      <c r="C91" s="105" t="s">
        <v>35</v>
      </c>
      <c r="D91" s="106">
        <v>14</v>
      </c>
      <c r="E91" s="116">
        <v>96.687211093990754</v>
      </c>
      <c r="F91" s="163">
        <v>0</v>
      </c>
      <c r="G91" s="47">
        <f t="shared" si="2"/>
        <v>1353.6209553158706</v>
      </c>
      <c r="H91" s="102"/>
      <c r="I91" s="107"/>
    </row>
    <row r="92" spans="1:9" x14ac:dyDescent="0.3">
      <c r="A92" s="98">
        <v>28</v>
      </c>
      <c r="B92" s="109" t="s">
        <v>94</v>
      </c>
      <c r="C92" s="100" t="s">
        <v>25</v>
      </c>
      <c r="D92" s="101">
        <f>D89</f>
        <v>68.099999999999994</v>
      </c>
      <c r="E92" s="157">
        <v>0</v>
      </c>
      <c r="F92" s="162">
        <v>42.372881355932208</v>
      </c>
      <c r="G92" s="47"/>
      <c r="H92" s="102">
        <f>F92*D92</f>
        <v>2885.593220338983</v>
      </c>
    </row>
    <row r="93" spans="1:9" x14ac:dyDescent="0.3">
      <c r="A93" s="103"/>
      <c r="B93" s="110" t="s">
        <v>141</v>
      </c>
      <c r="C93" s="105" t="s">
        <v>76</v>
      </c>
      <c r="D93" s="106">
        <f>D92*0.3/10</f>
        <v>2.0429999999999997</v>
      </c>
      <c r="E93" s="116">
        <v>240.36979969183361</v>
      </c>
      <c r="F93" s="163">
        <v>0</v>
      </c>
      <c r="G93" s="47">
        <f t="shared" ref="G93:G113" si="8">E93*D93</f>
        <v>491.075500770416</v>
      </c>
      <c r="H93" s="111"/>
    </row>
    <row r="94" spans="1:9" x14ac:dyDescent="0.3">
      <c r="A94" s="98">
        <v>29</v>
      </c>
      <c r="B94" s="112" t="s">
        <v>95</v>
      </c>
      <c r="C94" s="113" t="s">
        <v>25</v>
      </c>
      <c r="D94" s="114">
        <f>D92</f>
        <v>68.099999999999994</v>
      </c>
      <c r="E94" s="157">
        <v>0</v>
      </c>
      <c r="F94" s="165">
        <v>169.49152542372883</v>
      </c>
      <c r="G94" s="47"/>
      <c r="H94" s="115">
        <f>D94*F94</f>
        <v>11542.372881355932</v>
      </c>
    </row>
    <row r="95" spans="1:9" x14ac:dyDescent="0.3">
      <c r="A95" s="44"/>
      <c r="B95" s="110" t="s">
        <v>142</v>
      </c>
      <c r="C95" s="105" t="s">
        <v>35</v>
      </c>
      <c r="D95" s="116">
        <f>D94*1.4/25</f>
        <v>3.8135999999999997</v>
      </c>
      <c r="E95" s="116">
        <v>441.44838212634824</v>
      </c>
      <c r="F95" s="166">
        <v>0</v>
      </c>
      <c r="G95" s="47">
        <f t="shared" si="8"/>
        <v>1683.5075500770415</v>
      </c>
      <c r="H95" s="117"/>
    </row>
    <row r="96" spans="1:9" x14ac:dyDescent="0.3">
      <c r="A96" s="44"/>
      <c r="B96" s="110" t="s">
        <v>96</v>
      </c>
      <c r="C96" s="105" t="s">
        <v>35</v>
      </c>
      <c r="D96" s="118">
        <f>D94*2/3</f>
        <v>45.4</v>
      </c>
      <c r="E96" s="116">
        <v>18.335901386748844</v>
      </c>
      <c r="F96" s="166">
        <v>0</v>
      </c>
      <c r="G96" s="47">
        <f t="shared" si="8"/>
        <v>832.44992295839745</v>
      </c>
      <c r="H96" s="117"/>
    </row>
    <row r="97" spans="1:9" x14ac:dyDescent="0.3">
      <c r="A97" s="98">
        <v>31</v>
      </c>
      <c r="B97" s="99" t="s">
        <v>97</v>
      </c>
      <c r="C97" s="100" t="s">
        <v>25</v>
      </c>
      <c r="D97" s="101">
        <f>D94</f>
        <v>68.099999999999994</v>
      </c>
      <c r="E97" s="157">
        <v>0</v>
      </c>
      <c r="F97" s="162">
        <v>127.11864406779662</v>
      </c>
      <c r="G97" s="47"/>
      <c r="H97" s="102">
        <f>F97*D97</f>
        <v>8656.7796610169498</v>
      </c>
    </row>
    <row r="98" spans="1:9" x14ac:dyDescent="0.3">
      <c r="A98" s="103"/>
      <c r="B98" s="104" t="s">
        <v>98</v>
      </c>
      <c r="C98" s="105" t="s">
        <v>87</v>
      </c>
      <c r="D98" s="106">
        <f>D97*0.35/9</f>
        <v>2.648333333333333</v>
      </c>
      <c r="E98" s="116">
        <v>1771.1864406779662</v>
      </c>
      <c r="F98" s="163">
        <v>0</v>
      </c>
      <c r="G98" s="47">
        <f t="shared" si="8"/>
        <v>4690.6920903954797</v>
      </c>
      <c r="H98" s="111"/>
      <c r="I98" s="107"/>
    </row>
    <row r="99" spans="1:9" ht="15.6" x14ac:dyDescent="0.3">
      <c r="A99" s="44"/>
      <c r="B99" s="45" t="s">
        <v>99</v>
      </c>
      <c r="C99" s="56"/>
      <c r="D99" s="57"/>
      <c r="E99" s="155"/>
      <c r="F99" s="159"/>
      <c r="G99" s="47"/>
      <c r="H99" s="90"/>
    </row>
    <row r="100" spans="1:9" ht="26.4" x14ac:dyDescent="0.3">
      <c r="A100" s="44">
        <v>8</v>
      </c>
      <c r="B100" s="43" t="s">
        <v>40</v>
      </c>
      <c r="C100" s="46" t="s">
        <v>25</v>
      </c>
      <c r="D100" s="46">
        <v>7.75</v>
      </c>
      <c r="E100" s="153">
        <v>0</v>
      </c>
      <c r="F100" s="159">
        <v>7542.3728813559328</v>
      </c>
      <c r="G100" s="46"/>
      <c r="H100" s="48">
        <f>F100*D100</f>
        <v>58453.38983050848</v>
      </c>
    </row>
    <row r="101" spans="1:9" s="68" customFormat="1" ht="27" x14ac:dyDescent="0.3">
      <c r="A101" s="44"/>
      <c r="B101" s="73" t="s">
        <v>100</v>
      </c>
      <c r="C101" s="67" t="s">
        <v>35</v>
      </c>
      <c r="D101" s="74">
        <v>1</v>
      </c>
      <c r="E101" s="78">
        <v>16949.152542372882</v>
      </c>
      <c r="F101" s="159">
        <v>4237.2881355932204</v>
      </c>
      <c r="G101" s="47">
        <f t="shared" si="8"/>
        <v>16949.152542372882</v>
      </c>
      <c r="H101" s="54">
        <f t="shared" ref="H101" si="9">D101*F101</f>
        <v>4237.2881355932204</v>
      </c>
    </row>
    <row r="102" spans="1:9" x14ac:dyDescent="0.3">
      <c r="A102" s="44">
        <v>32</v>
      </c>
      <c r="B102" s="63" t="s">
        <v>101</v>
      </c>
      <c r="C102" s="56" t="s">
        <v>102</v>
      </c>
      <c r="D102" s="60">
        <v>4</v>
      </c>
      <c r="E102" s="155">
        <v>0</v>
      </c>
      <c r="F102" s="159">
        <v>1694.9152542372883</v>
      </c>
      <c r="G102" s="47"/>
      <c r="H102" s="54">
        <f>D102*F102</f>
        <v>6779.6610169491532</v>
      </c>
    </row>
    <row r="103" spans="1:9" ht="28.2" customHeight="1" x14ac:dyDescent="0.3">
      <c r="A103" s="44"/>
      <c r="B103" s="119" t="s">
        <v>103</v>
      </c>
      <c r="C103" s="56" t="s">
        <v>35</v>
      </c>
      <c r="D103" s="60">
        <v>4</v>
      </c>
      <c r="E103" s="155">
        <v>4237.2881355932204</v>
      </c>
      <c r="F103" s="159">
        <v>0</v>
      </c>
      <c r="G103" s="47">
        <f t="shared" si="8"/>
        <v>16949.152542372882</v>
      </c>
      <c r="H103" s="54"/>
    </row>
    <row r="104" spans="1:9" s="42" customFormat="1" ht="27" x14ac:dyDescent="0.3">
      <c r="A104" s="103"/>
      <c r="B104" s="119" t="s">
        <v>104</v>
      </c>
      <c r="C104" s="56" t="s">
        <v>105</v>
      </c>
      <c r="D104" s="60">
        <f>D102</f>
        <v>4</v>
      </c>
      <c r="E104" s="155">
        <v>423.72881355932202</v>
      </c>
      <c r="F104" s="167">
        <v>0</v>
      </c>
      <c r="G104" s="47">
        <f t="shared" si="8"/>
        <v>1694.9152542372881</v>
      </c>
      <c r="H104" s="54"/>
    </row>
    <row r="105" spans="1:9" x14ac:dyDescent="0.3">
      <c r="A105" s="44">
        <v>33</v>
      </c>
      <c r="B105" s="63" t="s">
        <v>106</v>
      </c>
      <c r="C105" s="56" t="s">
        <v>35</v>
      </c>
      <c r="D105" s="60">
        <v>6</v>
      </c>
      <c r="E105" s="155">
        <v>154.08320493066256</v>
      </c>
      <c r="F105" s="159">
        <v>169.49152542372883</v>
      </c>
      <c r="G105" s="47">
        <f t="shared" si="8"/>
        <v>924.49922958397542</v>
      </c>
      <c r="H105" s="54">
        <f t="shared" ref="H105:H109" si="10">D105*F105</f>
        <v>1016.949152542373</v>
      </c>
    </row>
    <row r="106" spans="1:9" x14ac:dyDescent="0.3">
      <c r="A106" s="44">
        <v>34</v>
      </c>
      <c r="B106" s="63" t="s">
        <v>107</v>
      </c>
      <c r="C106" s="56" t="s">
        <v>35</v>
      </c>
      <c r="D106" s="60">
        <v>6</v>
      </c>
      <c r="E106" s="155">
        <v>924.49922958397531</v>
      </c>
      <c r="F106" s="159">
        <v>338.98305084745766</v>
      </c>
      <c r="G106" s="47">
        <f t="shared" si="8"/>
        <v>5546.9953775038521</v>
      </c>
      <c r="H106" s="54">
        <f t="shared" si="10"/>
        <v>2033.898305084746</v>
      </c>
    </row>
    <row r="107" spans="1:9" x14ac:dyDescent="0.3">
      <c r="A107" s="44">
        <v>35</v>
      </c>
      <c r="B107" s="63" t="s">
        <v>108</v>
      </c>
      <c r="C107" s="56" t="s">
        <v>32</v>
      </c>
      <c r="D107" s="60">
        <v>8</v>
      </c>
      <c r="E107" s="155">
        <v>308.16640986132512</v>
      </c>
      <c r="F107" s="159">
        <v>296.61016949152543</v>
      </c>
      <c r="G107" s="47"/>
      <c r="H107" s="54">
        <f t="shared" si="10"/>
        <v>2372.8813559322034</v>
      </c>
    </row>
    <row r="108" spans="1:9" x14ac:dyDescent="0.3">
      <c r="A108" s="44">
        <v>36</v>
      </c>
      <c r="B108" s="63" t="s">
        <v>109</v>
      </c>
      <c r="C108" s="56" t="s">
        <v>32</v>
      </c>
      <c r="D108" s="60">
        <v>8</v>
      </c>
      <c r="E108" s="155">
        <v>154.08320493066256</v>
      </c>
      <c r="F108" s="159">
        <v>296.61016949152543</v>
      </c>
      <c r="G108" s="47"/>
      <c r="H108" s="54">
        <f t="shared" si="10"/>
        <v>2372.8813559322034</v>
      </c>
    </row>
    <row r="109" spans="1:9" x14ac:dyDescent="0.3">
      <c r="A109" s="44">
        <v>37</v>
      </c>
      <c r="B109" s="63" t="s">
        <v>110</v>
      </c>
      <c r="C109" s="56" t="s">
        <v>32</v>
      </c>
      <c r="D109" s="60">
        <v>16</v>
      </c>
      <c r="E109" s="155">
        <v>269.64560862865943</v>
      </c>
      <c r="F109" s="159">
        <v>296.61016949152543</v>
      </c>
      <c r="G109" s="47"/>
      <c r="H109" s="54">
        <f t="shared" si="10"/>
        <v>4745.7627118644068</v>
      </c>
    </row>
    <row r="110" spans="1:9" s="42" customFormat="1" ht="27" x14ac:dyDescent="0.3">
      <c r="A110" s="103"/>
      <c r="B110" s="119" t="s">
        <v>104</v>
      </c>
      <c r="C110" s="56" t="s">
        <v>105</v>
      </c>
      <c r="D110" s="60">
        <v>4</v>
      </c>
      <c r="E110" s="155">
        <v>423.72881355932202</v>
      </c>
      <c r="F110" s="167">
        <v>0</v>
      </c>
      <c r="G110" s="47">
        <f t="shared" ref="G110" si="11">E110*D110</f>
        <v>1694.9152542372881</v>
      </c>
      <c r="H110" s="120"/>
    </row>
    <row r="111" spans="1:9" ht="15.6" x14ac:dyDescent="0.3">
      <c r="A111" s="49"/>
      <c r="B111" s="45" t="s">
        <v>111</v>
      </c>
      <c r="C111" s="121"/>
      <c r="D111" s="122"/>
      <c r="E111" s="155">
        <v>0</v>
      </c>
      <c r="F111" s="159">
        <v>0</v>
      </c>
      <c r="G111" s="47"/>
      <c r="H111" s="58"/>
    </row>
    <row r="112" spans="1:9" x14ac:dyDescent="0.3">
      <c r="A112" s="123">
        <v>38</v>
      </c>
      <c r="B112" s="124" t="s">
        <v>112</v>
      </c>
      <c r="C112" s="51" t="s">
        <v>35</v>
      </c>
      <c r="D112" s="125">
        <v>1</v>
      </c>
      <c r="E112" s="154">
        <v>1540.8320493066255</v>
      </c>
      <c r="F112" s="53">
        <v>847.45762711864415</v>
      </c>
      <c r="G112" s="47">
        <f t="shared" si="8"/>
        <v>1540.8320493066255</v>
      </c>
      <c r="H112" s="54">
        <f t="shared" ref="H112:H113" si="12">D112*F112</f>
        <v>847.45762711864415</v>
      </c>
    </row>
    <row r="113" spans="1:8" ht="15" thickBot="1" x14ac:dyDescent="0.35">
      <c r="A113" s="172">
        <v>39</v>
      </c>
      <c r="B113" s="173" t="s">
        <v>113</v>
      </c>
      <c r="C113" s="174" t="s">
        <v>25</v>
      </c>
      <c r="D113" s="175">
        <v>8</v>
      </c>
      <c r="E113" s="176">
        <v>3081.6640986132511</v>
      </c>
      <c r="F113" s="177">
        <v>1694.9152542372883</v>
      </c>
      <c r="G113" s="178">
        <f t="shared" si="8"/>
        <v>24653.312788906009</v>
      </c>
      <c r="H113" s="179">
        <f t="shared" si="12"/>
        <v>13559.322033898306</v>
      </c>
    </row>
    <row r="114" spans="1:8" s="133" customFormat="1" ht="13.2" x14ac:dyDescent="0.25">
      <c r="A114" s="126"/>
      <c r="B114" s="127"/>
      <c r="C114" s="126"/>
      <c r="D114" s="128"/>
      <c r="E114" s="129"/>
      <c r="F114" s="130" t="s">
        <v>114</v>
      </c>
      <c r="G114" s="131">
        <f>SUM(G17:G113)</f>
        <v>303236.32774527377</v>
      </c>
      <c r="H114" s="132">
        <f>SUM(H17:H113)</f>
        <v>385521.22542372893</v>
      </c>
    </row>
    <row r="115" spans="1:8" s="133" customFormat="1" ht="13.2" x14ac:dyDescent="0.25">
      <c r="A115" s="126"/>
      <c r="B115" s="134" t="s">
        <v>115</v>
      </c>
      <c r="C115" s="135"/>
      <c r="D115" s="128">
        <v>0.05</v>
      </c>
      <c r="E115" s="129"/>
      <c r="F115" s="130"/>
      <c r="G115" s="136">
        <f>G114*D115</f>
        <v>15161.816387263689</v>
      </c>
      <c r="H115" s="137"/>
    </row>
    <row r="116" spans="1:8" s="133" customFormat="1" ht="13.2" x14ac:dyDescent="0.25">
      <c r="A116" s="126"/>
      <c r="B116" s="134" t="s">
        <v>116</v>
      </c>
      <c r="C116" s="126"/>
      <c r="D116" s="128"/>
      <c r="E116" s="129"/>
      <c r="F116" s="130"/>
      <c r="G116" s="131">
        <f>SUM(G114:G115)</f>
        <v>318398.14413253748</v>
      </c>
      <c r="H116" s="137"/>
    </row>
    <row r="117" spans="1:8" s="133" customFormat="1" ht="13.2" x14ac:dyDescent="0.25">
      <c r="A117" s="126"/>
      <c r="B117" s="134" t="s">
        <v>117</v>
      </c>
      <c r="C117" s="135"/>
      <c r="D117" s="128">
        <v>7.0000000000000007E-2</v>
      </c>
      <c r="E117" s="129"/>
      <c r="F117" s="130"/>
      <c r="G117" s="136">
        <f>G116*D117</f>
        <v>22287.870089277625</v>
      </c>
      <c r="H117" s="137"/>
    </row>
    <row r="118" spans="1:8" s="133" customFormat="1" ht="13.2" x14ac:dyDescent="0.25">
      <c r="A118" s="126"/>
      <c r="B118" s="134" t="s">
        <v>116</v>
      </c>
      <c r="C118" s="138"/>
      <c r="D118" s="139"/>
      <c r="E118" s="140"/>
      <c r="F118" s="139"/>
      <c r="G118" s="131">
        <f>SUM(G116:G117)</f>
        <v>340686.0142218151</v>
      </c>
      <c r="H118" s="137"/>
    </row>
    <row r="119" spans="1:8" s="133" customFormat="1" ht="13.2" x14ac:dyDescent="0.25">
      <c r="A119" s="126"/>
      <c r="B119" s="134" t="s">
        <v>118</v>
      </c>
      <c r="C119" s="138"/>
      <c r="D119" s="139">
        <v>0.1</v>
      </c>
      <c r="E119" s="140"/>
      <c r="F119" s="139"/>
      <c r="G119" s="131"/>
      <c r="H119" s="141">
        <f>H114*D119</f>
        <v>38552.122542372897</v>
      </c>
    </row>
    <row r="120" spans="1:8" s="133" customFormat="1" ht="13.2" x14ac:dyDescent="0.25">
      <c r="A120" s="126"/>
      <c r="B120" s="134" t="s">
        <v>116</v>
      </c>
      <c r="C120" s="138"/>
      <c r="D120" s="139"/>
      <c r="E120" s="140"/>
      <c r="F120" s="139"/>
      <c r="G120" s="131"/>
      <c r="H120" s="137">
        <f>SUM(H114:H119)</f>
        <v>424073.34796610184</v>
      </c>
    </row>
    <row r="121" spans="1:8" s="133" customFormat="1" ht="13.2" x14ac:dyDescent="0.25">
      <c r="A121" s="126"/>
      <c r="B121" s="134" t="s">
        <v>119</v>
      </c>
      <c r="C121" s="138"/>
      <c r="D121" s="139">
        <v>0</v>
      </c>
      <c r="E121" s="140"/>
      <c r="F121" s="139"/>
      <c r="G121" s="131"/>
      <c r="H121" s="137">
        <f>H120*D121</f>
        <v>0</v>
      </c>
    </row>
    <row r="122" spans="1:8" s="133" customFormat="1" ht="13.2" x14ac:dyDescent="0.25">
      <c r="A122" s="126"/>
      <c r="B122" s="134" t="s">
        <v>116</v>
      </c>
      <c r="C122" s="138"/>
      <c r="D122" s="139"/>
      <c r="E122" s="140"/>
      <c r="F122" s="139"/>
      <c r="G122" s="131"/>
      <c r="H122" s="137">
        <f>SUM(H120:H121)</f>
        <v>424073.34796610184</v>
      </c>
    </row>
    <row r="123" spans="1:8" s="133" customFormat="1" ht="13.2" x14ac:dyDescent="0.25">
      <c r="A123" s="138"/>
      <c r="B123" s="134" t="s">
        <v>120</v>
      </c>
      <c r="C123" s="138"/>
      <c r="D123" s="139"/>
      <c r="E123" s="140"/>
      <c r="F123" s="139"/>
      <c r="G123" s="142"/>
      <c r="H123" s="132">
        <f>H122+G118</f>
        <v>764759.36218791688</v>
      </c>
    </row>
    <row r="124" spans="1:8" s="2" customFormat="1" x14ac:dyDescent="0.3">
      <c r="B124" s="145" t="s">
        <v>121</v>
      </c>
      <c r="H124" s="5">
        <f>H123*0.18</f>
        <v>137656.68519382505</v>
      </c>
    </row>
    <row r="125" spans="1:8" s="2" customFormat="1" x14ac:dyDescent="0.3">
      <c r="B125" s="145" t="s">
        <v>122</v>
      </c>
      <c r="H125" s="146">
        <f>SUM(H123:H124)</f>
        <v>902416.04738174193</v>
      </c>
    </row>
  </sheetData>
  <mergeCells count="4">
    <mergeCell ref="C3:D3"/>
    <mergeCell ref="A10:H10"/>
    <mergeCell ref="E13:F13"/>
    <mergeCell ref="G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2018-02-02T03:20:29Z</dcterms:created>
  <dcterms:modified xsi:type="dcterms:W3CDTF">2018-02-13T09:07:58Z</dcterms:modified>
</cp:coreProperties>
</file>